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D:\Gurcan Dosyalar\ozel\satis\yeni_yönetmelige_gore_hesaplar(sifreli)\celik2016(yeni_yonetmelik)\"/>
    </mc:Choice>
  </mc:AlternateContent>
  <xr:revisionPtr revIDLastSave="0" documentId="13_ncr:1_{5A0B1388-4E4A-4E98-B10F-29857CBD9F4F}" xr6:coauthVersionLast="47" xr6:coauthVersionMax="47" xr10:uidLastSave="{00000000-0000-0000-0000-000000000000}"/>
  <bookViews>
    <workbookView xWindow="-120" yWindow="-120" windowWidth="29040" windowHeight="15840" xr2:uid="{CC876D63-7F8F-4E04-877A-5930E4EF3DBA}"/>
  </bookViews>
  <sheets>
    <sheet name="Sheet1" sheetId="1" r:id="rId1"/>
    <sheet name="Sheet2"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E741" i="1" l="1"/>
  <c r="BE732" i="1"/>
  <c r="BE547" i="1"/>
  <c r="BE539" i="1"/>
  <c r="BE358" i="1"/>
  <c r="BE347" i="1"/>
  <c r="BE165" i="1"/>
  <c r="BE156" i="1"/>
  <c r="BE527" i="1"/>
  <c r="BE330" i="1"/>
  <c r="BE143" i="1"/>
  <c r="BH180" i="1"/>
  <c r="AD180" i="1"/>
  <c r="BH953" i="1"/>
  <c r="AD953" i="1"/>
  <c r="R868" i="1"/>
  <c r="Q866" i="1"/>
  <c r="Q671" i="1"/>
  <c r="Q482" i="1"/>
  <c r="Q289" i="1"/>
  <c r="R673" i="1"/>
  <c r="AD757" i="1" s="1"/>
  <c r="R484" i="1"/>
  <c r="AD562" i="1" s="1"/>
  <c r="R291" i="1"/>
  <c r="AD373" i="1" s="1"/>
  <c r="R103" i="1"/>
  <c r="Q101" i="1"/>
  <c r="F866" i="1"/>
  <c r="F671" i="1"/>
  <c r="F482" i="1"/>
  <c r="F289" i="1"/>
  <c r="F101" i="1" l="1"/>
  <c r="X956" i="1"/>
  <c r="X760" i="1"/>
  <c r="BA760" i="1" s="1"/>
  <c r="X376" i="1"/>
  <c r="BA376" i="1" s="1"/>
  <c r="X565" i="1"/>
  <c r="BA565" i="1" s="1"/>
  <c r="X183" i="1"/>
  <c r="BA183" i="1" s="1"/>
  <c r="BE735" i="1"/>
  <c r="BX735" i="1" s="1"/>
  <c r="BE734" i="1"/>
  <c r="BE722" i="1"/>
  <c r="BN722" i="1" s="1"/>
  <c r="BX722" i="1" s="1"/>
  <c r="BE721" i="1"/>
  <c r="BN721" i="1" s="1"/>
  <c r="BX721" i="1" s="1"/>
  <c r="BE352" i="1"/>
  <c r="BX352" i="1" s="1"/>
  <c r="BE351" i="1"/>
  <c r="BX351" i="1" s="1"/>
  <c r="BE338" i="1"/>
  <c r="BN338" i="1" s="1"/>
  <c r="BX338" i="1" s="1"/>
  <c r="BE337" i="1"/>
  <c r="BN337" i="1" s="1"/>
  <c r="BX337" i="1" s="1"/>
  <c r="BE159" i="1"/>
  <c r="BX159" i="1" s="1"/>
  <c r="BE158" i="1"/>
  <c r="BE146" i="1"/>
  <c r="BE147" i="1"/>
  <c r="BN147" i="1" s="1"/>
  <c r="BX147" i="1" s="1"/>
  <c r="BE937" i="1"/>
  <c r="BE929" i="1"/>
  <c r="BE526" i="1"/>
  <c r="BE910" i="1"/>
  <c r="BH909" i="1"/>
  <c r="BH908" i="1"/>
  <c r="BH525" i="1"/>
  <c r="BH524" i="1"/>
  <c r="BE357" i="1" a="1"/>
  <c r="BE357" i="1" s="1"/>
  <c r="BE935" i="1" a="1"/>
  <c r="BE935" i="1" s="1"/>
  <c r="BE739" i="1" a="1"/>
  <c r="BE739" i="1" s="1"/>
  <c r="BX739" i="1" s="1"/>
  <c r="BE545" i="1" a="1"/>
  <c r="BE545" i="1" s="1"/>
  <c r="BX545" i="1" s="1"/>
  <c r="BE356" i="1" a="1"/>
  <c r="BE356" i="1" s="1"/>
  <c r="BX356" i="1" s="1"/>
  <c r="BE163" i="1" a="1"/>
  <c r="BE163" i="1" s="1"/>
  <c r="BX163" i="1" s="1"/>
  <c r="BE162" i="1" a="1"/>
  <c r="BE162" i="1" s="1"/>
  <c r="BE346" i="1" a="1"/>
  <c r="BE346" i="1" s="1"/>
  <c r="BE938" i="1"/>
  <c r="BE742" i="1"/>
  <c r="K376" i="1" a="1"/>
  <c r="K376" i="1" s="1"/>
  <c r="K375" i="1" a="1"/>
  <c r="K375" i="1" s="1"/>
  <c r="BE155" i="1" a="1"/>
  <c r="BE155" i="1" s="1"/>
  <c r="BE927" i="1" a="1"/>
  <c r="BE927" i="1" s="1"/>
  <c r="BE730" i="1" a="1"/>
  <c r="BE730" i="1" s="1"/>
  <c r="BE537" i="1" a="1"/>
  <c r="BE537" i="1" s="1"/>
  <c r="BE345" i="1" a="1"/>
  <c r="BE345" i="1" s="1"/>
  <c r="BE154" i="1" a="1"/>
  <c r="BE154" i="1" s="1"/>
  <c r="BE940" i="1"/>
  <c r="BE744" i="1"/>
  <c r="BE549" i="1"/>
  <c r="BE360" i="1"/>
  <c r="BX360" i="1" s="1"/>
  <c r="BE167" i="1"/>
  <c r="BE740" i="1" a="1"/>
  <c r="BE740" i="1" s="1"/>
  <c r="BE731" i="1" a="1"/>
  <c r="BE731" i="1" s="1"/>
  <c r="BE738" i="1" a="1"/>
  <c r="BE738" i="1" s="1"/>
  <c r="BE737" i="1"/>
  <c r="BE729" i="1"/>
  <c r="BE736" i="1" a="1"/>
  <c r="BE736" i="1" s="1"/>
  <c r="BE728" i="1" a="1"/>
  <c r="BE728" i="1" s="1"/>
  <c r="BE936" i="1" a="1"/>
  <c r="BE936" i="1" s="1"/>
  <c r="BE928" i="1" a="1"/>
  <c r="BE928" i="1" s="1"/>
  <c r="BE934" i="1" a="1"/>
  <c r="BE934" i="1" s="1"/>
  <c r="BE932" i="1" a="1"/>
  <c r="BE932" i="1" s="1"/>
  <c r="BE925" i="1" a="1"/>
  <c r="BE925" i="1" s="1"/>
  <c r="BE546" i="1" a="1"/>
  <c r="BE546" i="1" s="1"/>
  <c r="BE538" i="1" a="1"/>
  <c r="BE538" i="1" s="1"/>
  <c r="BE544" i="1" a="1"/>
  <c r="BE544" i="1" s="1"/>
  <c r="BE542" i="1" a="1"/>
  <c r="BE542" i="1" s="1"/>
  <c r="BE535" i="1" a="1"/>
  <c r="BE535" i="1" s="1"/>
  <c r="BX358" i="1"/>
  <c r="BE355" i="1" a="1"/>
  <c r="BE355" i="1" s="1"/>
  <c r="BE354" i="1"/>
  <c r="BE344" i="1"/>
  <c r="BE353" i="1" a="1"/>
  <c r="BE353" i="1" s="1"/>
  <c r="BE343" i="1" a="1"/>
  <c r="BE343" i="1" s="1"/>
  <c r="BE164" i="1" a="1"/>
  <c r="BE164" i="1" s="1"/>
  <c r="BE161" i="1"/>
  <c r="BE160" i="1" a="1"/>
  <c r="BE160" i="1" s="1"/>
  <c r="BE153" i="1"/>
  <c r="BE152" i="1" a="1"/>
  <c r="BE152" i="1" s="1"/>
  <c r="BM408" i="1"/>
  <c r="BE541" i="1" s="1"/>
  <c r="BK790" i="1"/>
  <c r="BE931" i="1" s="1"/>
  <c r="BE350" i="1"/>
  <c r="BX350" i="1" s="1"/>
  <c r="BE349" i="1"/>
  <c r="BN349" i="1" s="1"/>
  <c r="BX349" i="1" s="1"/>
  <c r="AS225" i="1"/>
  <c r="BH335" i="1" s="1"/>
  <c r="BE335" i="1"/>
  <c r="BE334" i="1"/>
  <c r="BE333" i="1"/>
  <c r="BE332" i="1"/>
  <c r="BB335" i="1" a="1"/>
  <c r="BB335" i="1" s="1"/>
  <c r="BB334" i="1" a="1"/>
  <c r="BB334" i="1" s="1"/>
  <c r="BB333" i="1" a="1"/>
  <c r="BB333" i="1" s="1"/>
  <c r="BB332" i="1" a="1"/>
  <c r="BB332" i="1" s="1"/>
  <c r="AH199" i="1"/>
  <c r="AH202" i="1" s="1"/>
  <c r="AH204" i="1" s="1"/>
  <c r="S374" i="1"/>
  <c r="Q374" i="1"/>
  <c r="BB374" i="1" s="1"/>
  <c r="S373" i="1"/>
  <c r="Q373" i="1"/>
  <c r="BB373" i="1" s="1"/>
  <c r="AB372" i="1"/>
  <c r="AJ373" i="1" s="1"/>
  <c r="Q372" i="1"/>
  <c r="BB372" i="1" s="1"/>
  <c r="O372" i="1"/>
  <c r="W371" i="1"/>
  <c r="AN370" i="1"/>
  <c r="AB370" i="1"/>
  <c r="S370" i="1"/>
  <c r="O370" i="1"/>
  <c r="AJ370" i="1" s="1"/>
  <c r="W369" i="1"/>
  <c r="O369" i="1"/>
  <c r="AA368" i="1"/>
  <c r="AA369" i="1" s="1"/>
  <c r="W368" i="1"/>
  <c r="O368" i="1"/>
  <c r="T363" i="1"/>
  <c r="BN363" i="1" s="1"/>
  <c r="BX363" i="1" s="1"/>
  <c r="BE342" i="1" a="1"/>
  <c r="BE342" i="1" s="1"/>
  <c r="BN342" i="1" s="1"/>
  <c r="BX342" i="1" s="1"/>
  <c r="BE341" i="1" a="1"/>
  <c r="BE341" i="1" s="1"/>
  <c r="BN341" i="1" s="1"/>
  <c r="BX341" i="1" s="1"/>
  <c r="BE340" i="1"/>
  <c r="BN340" i="1" s="1"/>
  <c r="BX340" i="1" s="1"/>
  <c r="BH336" i="1"/>
  <c r="BB336" i="1" a="1"/>
  <c r="BB336" i="1" s="1"/>
  <c r="BH331" i="1"/>
  <c r="BK331" i="1" s="1"/>
  <c r="BB331" i="1" a="1"/>
  <c r="BB331" i="1" s="1"/>
  <c r="BH330" i="1"/>
  <c r="BK330" i="1" s="1"/>
  <c r="BB330" i="1" a="1"/>
  <c r="BB330" i="1" s="1"/>
  <c r="BE329" i="1"/>
  <c r="BB329" i="1" a="1"/>
  <c r="BB329" i="1" s="1"/>
  <c r="BH328" i="1"/>
  <c r="BK328" i="1" s="1"/>
  <c r="BB328" i="1" a="1"/>
  <c r="BB328" i="1" s="1"/>
  <c r="BB327" i="1" a="1"/>
  <c r="BB327" i="1" s="1"/>
  <c r="BE326" i="1" a="1"/>
  <c r="BE326" i="1" s="1"/>
  <c r="BB326" i="1" a="1"/>
  <c r="BB326" i="1" s="1"/>
  <c r="BE325" i="1" a="1"/>
  <c r="BE325" i="1" s="1"/>
  <c r="BB325" i="1" a="1"/>
  <c r="BB325" i="1" s="1"/>
  <c r="BE324" i="1" a="1"/>
  <c r="BE324" i="1" s="1"/>
  <c r="BB324" i="1" a="1"/>
  <c r="BB324" i="1" s="1"/>
  <c r="BE323" i="1" a="1"/>
  <c r="BE323" i="1" s="1"/>
  <c r="BB323" i="1" a="1"/>
  <c r="BB323" i="1" s="1"/>
  <c r="BH322" i="1"/>
  <c r="BE322" i="1"/>
  <c r="BE339" i="1" s="1"/>
  <c r="BB322" i="1" a="1"/>
  <c r="BB322" i="1" s="1"/>
  <c r="BE321" i="1"/>
  <c r="BB321" i="1" a="1"/>
  <c r="BB321" i="1" s="1"/>
  <c r="BE320" i="1"/>
  <c r="BB320" i="1" a="1"/>
  <c r="BB320" i="1" s="1"/>
  <c r="BE319" i="1"/>
  <c r="BB319" i="1"/>
  <c r="J312" i="1"/>
  <c r="C301" i="1"/>
  <c r="S368" i="1" s="1"/>
  <c r="S300" i="1"/>
  <c r="Q294" i="1"/>
  <c r="L293" i="1"/>
  <c r="O374" i="1" s="1"/>
  <c r="G291" i="1"/>
  <c r="W372" i="1" s="1"/>
  <c r="BH372" i="1" s="1"/>
  <c r="O373" i="1"/>
  <c r="K286" i="1"/>
  <c r="AF370" i="1" s="1"/>
  <c r="S271" i="1"/>
  <c r="N269" i="1" s="1"/>
  <c r="AD269" i="1" s="1"/>
  <c r="D261" i="1"/>
  <c r="D263" i="1" s="1"/>
  <c r="D266" i="1" s="1"/>
  <c r="E257" i="1"/>
  <c r="C234" i="1"/>
  <c r="C229" i="1" s="1"/>
  <c r="E223" i="1"/>
  <c r="E228" i="1" s="1"/>
  <c r="E233" i="1" s="1"/>
  <c r="S212" i="1"/>
  <c r="H214" i="1" s="1"/>
  <c r="AM207" i="1"/>
  <c r="AQ207" i="1" s="1"/>
  <c r="Y207" i="1"/>
  <c r="N207" i="1"/>
  <c r="AB198" i="1" s="1"/>
  <c r="C199" i="1"/>
  <c r="C261" i="1" s="1"/>
  <c r="AH195" i="1"/>
  <c r="Q871" i="1"/>
  <c r="Q676" i="1"/>
  <c r="Q487" i="1"/>
  <c r="Q106" i="1"/>
  <c r="L870" i="1"/>
  <c r="L675" i="1"/>
  <c r="O758" i="1" s="1"/>
  <c r="L486" i="1"/>
  <c r="O563" i="1" s="1"/>
  <c r="L105" i="1"/>
  <c r="O181" i="1" s="1"/>
  <c r="K183" i="1" a="1"/>
  <c r="K183" i="1" s="1"/>
  <c r="K182" i="1" a="1"/>
  <c r="K182" i="1" s="1"/>
  <c r="O757" i="1"/>
  <c r="O562" i="1"/>
  <c r="O180" i="1"/>
  <c r="S181" i="1"/>
  <c r="S563" i="1"/>
  <c r="S758" i="1"/>
  <c r="S954" i="1"/>
  <c r="BH913" i="1"/>
  <c r="BB913" i="1" a="1"/>
  <c r="BB913" i="1" s="1"/>
  <c r="BH715" i="1"/>
  <c r="BB715" i="1" a="1"/>
  <c r="BB715" i="1" s="1"/>
  <c r="BH529" i="1"/>
  <c r="BB529" i="1" a="1"/>
  <c r="BB529" i="1" s="1"/>
  <c r="BH145" i="1"/>
  <c r="BB145" i="1" a="1"/>
  <c r="BB145" i="1" s="1"/>
  <c r="S877" i="1"/>
  <c r="S682" i="1"/>
  <c r="S493" i="1"/>
  <c r="S112" i="1"/>
  <c r="J694" i="1"/>
  <c r="J505" i="1"/>
  <c r="J124" i="1"/>
  <c r="K760" i="1" a="1"/>
  <c r="K760" i="1" s="1"/>
  <c r="K759" i="1" a="1"/>
  <c r="K759" i="1" s="1"/>
  <c r="K565" i="1" a="1"/>
  <c r="K565" i="1" s="1"/>
  <c r="K564" i="1" a="1"/>
  <c r="K564" i="1" s="1"/>
  <c r="K956" i="1" a="1"/>
  <c r="K956" i="1" s="1"/>
  <c r="K955" i="1" a="1"/>
  <c r="K955" i="1" s="1"/>
  <c r="Q758" i="1"/>
  <c r="BB758" i="1" s="1"/>
  <c r="Q181" i="1"/>
  <c r="BB181" i="1" s="1"/>
  <c r="S180" i="1"/>
  <c r="Q180" i="1"/>
  <c r="BB180" i="1" s="1"/>
  <c r="Q563" i="1"/>
  <c r="BB563" i="1" s="1"/>
  <c r="S562" i="1"/>
  <c r="Q562" i="1"/>
  <c r="BB562" i="1" s="1"/>
  <c r="S757" i="1"/>
  <c r="Q757" i="1"/>
  <c r="BB757" i="1" s="1"/>
  <c r="AB179" i="1"/>
  <c r="AD181" i="1" s="1"/>
  <c r="Q179" i="1"/>
  <c r="BB179" i="1" s="1"/>
  <c r="O179" i="1"/>
  <c r="AB561" i="1"/>
  <c r="AD563" i="1" s="1"/>
  <c r="Q561" i="1"/>
  <c r="BB561" i="1" s="1"/>
  <c r="O561" i="1"/>
  <c r="AB756" i="1"/>
  <c r="AD758" i="1" s="1"/>
  <c r="Q756" i="1"/>
  <c r="BB756" i="1" s="1"/>
  <c r="O756" i="1"/>
  <c r="W178" i="1"/>
  <c r="W560" i="1"/>
  <c r="W755" i="1"/>
  <c r="AN177" i="1"/>
  <c r="AN559" i="1"/>
  <c r="AN754" i="1"/>
  <c r="AB177" i="1"/>
  <c r="AB559" i="1"/>
  <c r="AB754" i="1"/>
  <c r="S177" i="1"/>
  <c r="O177" i="1"/>
  <c r="AJ177" i="1" s="1"/>
  <c r="S559" i="1"/>
  <c r="O559" i="1"/>
  <c r="AJ559" i="1" s="1"/>
  <c r="S754" i="1"/>
  <c r="O754" i="1"/>
  <c r="AJ754" i="1" s="1"/>
  <c r="W176" i="1"/>
  <c r="O176" i="1"/>
  <c r="W558" i="1"/>
  <c r="O558" i="1"/>
  <c r="W753" i="1"/>
  <c r="O753" i="1"/>
  <c r="AA557" i="1"/>
  <c r="AA752" i="1"/>
  <c r="AA753" i="1" s="1"/>
  <c r="W752" i="1"/>
  <c r="O752" i="1"/>
  <c r="W557" i="1"/>
  <c r="O557" i="1"/>
  <c r="AA175" i="1"/>
  <c r="AA176" i="1" s="1"/>
  <c r="W175" i="1"/>
  <c r="O175" i="1"/>
  <c r="C113" i="1"/>
  <c r="R102" i="1" s="1"/>
  <c r="G103" i="1"/>
  <c r="W179" i="1" s="1"/>
  <c r="BH179" i="1" s="1"/>
  <c r="K98" i="1"/>
  <c r="M106" i="1" s="1"/>
  <c r="C494" i="1"/>
  <c r="R483" i="1" s="1"/>
  <c r="G484" i="1"/>
  <c r="W561" i="1" s="1"/>
  <c r="BH561" i="1" s="1"/>
  <c r="K479" i="1"/>
  <c r="M487" i="1" s="1"/>
  <c r="Y563" i="1" s="1"/>
  <c r="BH563" i="1" s="1"/>
  <c r="C683" i="1"/>
  <c r="R672" i="1" s="1"/>
  <c r="G673" i="1"/>
  <c r="W756" i="1" s="1"/>
  <c r="BH756" i="1" s="1"/>
  <c r="K668" i="1"/>
  <c r="M676" i="1" s="1"/>
  <c r="Y758" i="1" s="1"/>
  <c r="BH758" i="1" s="1"/>
  <c r="AN950" i="1"/>
  <c r="AB950" i="1"/>
  <c r="J889" i="1"/>
  <c r="C878" i="1"/>
  <c r="R867" i="1" s="1"/>
  <c r="BN330" i="1" l="1"/>
  <c r="BX330" i="1" s="1"/>
  <c r="BN344" i="1"/>
  <c r="BX344" i="1" s="1"/>
  <c r="AF368" i="1"/>
  <c r="BX368" i="1" s="1"/>
  <c r="R290" i="1"/>
  <c r="Y373" i="1" s="1"/>
  <c r="BH373" i="1" s="1"/>
  <c r="BN328" i="1"/>
  <c r="BX328" i="1" s="1"/>
  <c r="BK335" i="1"/>
  <c r="BN335" i="1"/>
  <c r="BX335" i="1" s="1"/>
  <c r="W370" i="1"/>
  <c r="S376" i="1" s="1"/>
  <c r="AW376" i="1" s="1"/>
  <c r="BN376" i="1" s="1"/>
  <c r="BX376" i="1" s="1"/>
  <c r="AY209" i="1"/>
  <c r="BH320" i="1"/>
  <c r="BN320" i="1" s="1"/>
  <c r="BX320" i="1" s="1"/>
  <c r="BN347" i="1"/>
  <c r="BX347" i="1" s="1"/>
  <c r="BK322" i="1"/>
  <c r="K269" i="1"/>
  <c r="H269" i="1" s="1"/>
  <c r="N198" i="1"/>
  <c r="BE372" i="1"/>
  <c r="BK372" i="1" s="1"/>
  <c r="BE373" i="1"/>
  <c r="BN322" i="1"/>
  <c r="BX322" i="1" s="1"/>
  <c r="BN331" i="1"/>
  <c r="BX331" i="1" s="1"/>
  <c r="BN346" i="1"/>
  <c r="BX346" i="1" s="1"/>
  <c r="BX357" i="1"/>
  <c r="BH324" i="1"/>
  <c r="BK324" i="1" s="1"/>
  <c r="AU207" i="1"/>
  <c r="BN339" i="1"/>
  <c r="BX339" i="1" s="1"/>
  <c r="BE348" i="1"/>
  <c r="BN348" i="1" s="1"/>
  <c r="BX348" i="1" s="1"/>
  <c r="BH329" i="1"/>
  <c r="BK329" i="1" s="1"/>
  <c r="BH327" i="1"/>
  <c r="BK327" i="1" s="1"/>
  <c r="BN343" i="1"/>
  <c r="BX343" i="1" s="1"/>
  <c r="BX353" i="1"/>
  <c r="BH323" i="1"/>
  <c r="BK323" i="1" s="1"/>
  <c r="K214" i="1"/>
  <c r="N214" i="1" s="1"/>
  <c r="Q214" i="1" s="1"/>
  <c r="T214" i="1" s="1"/>
  <c r="W214" i="1" s="1"/>
  <c r="Z214" i="1" s="1"/>
  <c r="AC214" i="1" s="1"/>
  <c r="E238" i="1"/>
  <c r="E243" i="1" s="1"/>
  <c r="E248" i="1" s="1"/>
  <c r="BX355" i="1"/>
  <c r="BN345" i="1"/>
  <c r="BX345" i="1" s="1"/>
  <c r="BE336" i="1"/>
  <c r="BK336" i="1" s="1"/>
  <c r="AD374" i="1"/>
  <c r="BE374" i="1" s="1"/>
  <c r="AA269" i="1"/>
  <c r="M294" i="1"/>
  <c r="Y374" i="1" s="1"/>
  <c r="BH374" i="1" s="1"/>
  <c r="W362" i="1"/>
  <c r="BX362" i="1" s="1"/>
  <c r="S375" i="1"/>
  <c r="BN366" i="1"/>
  <c r="O371" i="1"/>
  <c r="X375" i="1"/>
  <c r="BA375" i="1" s="1"/>
  <c r="BH325" i="1"/>
  <c r="BN325" i="1" s="1"/>
  <c r="BX325" i="1" s="1"/>
  <c r="BH326" i="1"/>
  <c r="BK326" i="1" s="1"/>
  <c r="BX354" i="1"/>
  <c r="S371" i="1"/>
  <c r="X269" i="1"/>
  <c r="BE359" i="1"/>
  <c r="BX359" i="1" s="1"/>
  <c r="S369" i="1"/>
  <c r="AF369" i="1" s="1"/>
  <c r="BX369" i="1" s="1"/>
  <c r="Y181" i="1"/>
  <c r="BH181" i="1" s="1"/>
  <c r="Y180" i="1"/>
  <c r="Y562" i="1"/>
  <c r="BH562" i="1" s="1"/>
  <c r="Y757" i="1"/>
  <c r="BH757" i="1" s="1"/>
  <c r="BE179" i="1"/>
  <c r="BK179" i="1" s="1"/>
  <c r="S557" i="1"/>
  <c r="AF557" i="1" s="1"/>
  <c r="BX557" i="1" s="1"/>
  <c r="S176" i="1"/>
  <c r="AF176" i="1" s="1"/>
  <c r="BX176" i="1" s="1"/>
  <c r="AF177" i="1"/>
  <c r="S753" i="1"/>
  <c r="AF753" i="1" s="1"/>
  <c r="BX753" i="1" s="1"/>
  <c r="AF559" i="1"/>
  <c r="S752" i="1"/>
  <c r="AF752" i="1" s="1"/>
  <c r="BX752" i="1" s="1"/>
  <c r="S558" i="1"/>
  <c r="S175" i="1"/>
  <c r="AF175" i="1" s="1"/>
  <c r="BX175" i="1" s="1"/>
  <c r="AF754" i="1"/>
  <c r="BE181" i="1"/>
  <c r="AJ180" i="1"/>
  <c r="BE563" i="1"/>
  <c r="BK563" i="1" s="1"/>
  <c r="BE561" i="1"/>
  <c r="BK561" i="1" s="1"/>
  <c r="AJ562" i="1"/>
  <c r="BE562" i="1" s="1"/>
  <c r="AA558" i="1"/>
  <c r="BE756" i="1"/>
  <c r="BK756" i="1" s="1"/>
  <c r="BE758" i="1"/>
  <c r="BK758" i="1" s="1"/>
  <c r="AJ757" i="1"/>
  <c r="BE757" i="1" s="1"/>
  <c r="BA956" i="1"/>
  <c r="O953" i="1"/>
  <c r="S953" i="1"/>
  <c r="Q953" i="1"/>
  <c r="BB953" i="1" s="1"/>
  <c r="Q954" i="1"/>
  <c r="BB954" i="1" s="1"/>
  <c r="O954" i="1"/>
  <c r="O952" i="1"/>
  <c r="Q952" i="1"/>
  <c r="BB952" i="1" s="1"/>
  <c r="AB952" i="1"/>
  <c r="AJ953" i="1" s="1"/>
  <c r="Y953" i="1"/>
  <c r="G868" i="1"/>
  <c r="W952" i="1" s="1"/>
  <c r="BH952" i="1" s="1"/>
  <c r="W951" i="1"/>
  <c r="S950" i="1"/>
  <c r="O950" i="1"/>
  <c r="W949" i="1"/>
  <c r="O949" i="1"/>
  <c r="AA948" i="1"/>
  <c r="AA949" i="1" s="1"/>
  <c r="W948" i="1"/>
  <c r="S948" i="1"/>
  <c r="O948" i="1"/>
  <c r="K863" i="1"/>
  <c r="BX160" i="1"/>
  <c r="BX542" i="1"/>
  <c r="BX736" i="1"/>
  <c r="BH917" i="1"/>
  <c r="BE918" i="1"/>
  <c r="BE917" i="1"/>
  <c r="BE916" i="1"/>
  <c r="BE915" i="1"/>
  <c r="BE914" i="1"/>
  <c r="BH719" i="1"/>
  <c r="BE720" i="1"/>
  <c r="BE719" i="1"/>
  <c r="BE718" i="1"/>
  <c r="BE717" i="1"/>
  <c r="BE716" i="1"/>
  <c r="BX934" i="1"/>
  <c r="BX937" i="1"/>
  <c r="BX740" i="1"/>
  <c r="BX738" i="1"/>
  <c r="BN729" i="1"/>
  <c r="BX729" i="1" s="1"/>
  <c r="BX741" i="1"/>
  <c r="BX547" i="1"/>
  <c r="BX165" i="1"/>
  <c r="BX164" i="1"/>
  <c r="BX162" i="1"/>
  <c r="BX161" i="1"/>
  <c r="D840" i="1"/>
  <c r="D838" i="1" s="1"/>
  <c r="BU837" i="1" s="1"/>
  <c r="BE924" i="1"/>
  <c r="BX938" i="1" s="1"/>
  <c r="BE727" i="1"/>
  <c r="BN727" i="1" s="1"/>
  <c r="BX727" i="1" s="1"/>
  <c r="BX940" i="1"/>
  <c r="BE922" i="1" a="1"/>
  <c r="BE922" i="1" s="1"/>
  <c r="BN922" i="1" s="1"/>
  <c r="BX922" i="1" s="1"/>
  <c r="BE921" i="1" a="1"/>
  <c r="BE921" i="1" s="1"/>
  <c r="BN921" i="1" s="1"/>
  <c r="BX921" i="1" s="1"/>
  <c r="BE920" i="1"/>
  <c r="BB918" i="1" a="1"/>
  <c r="BB918" i="1" s="1"/>
  <c r="BB917" i="1" a="1"/>
  <c r="BB917" i="1" s="1"/>
  <c r="BB916" i="1" a="1"/>
  <c r="BB916" i="1" s="1"/>
  <c r="BB915" i="1" a="1"/>
  <c r="BB915" i="1" s="1"/>
  <c r="BB914" i="1" a="1"/>
  <c r="BB914" i="1" s="1"/>
  <c r="BB912" i="1" a="1"/>
  <c r="BB912" i="1" s="1"/>
  <c r="BH911" i="1"/>
  <c r="BK911" i="1" s="1"/>
  <c r="BB911" i="1" a="1"/>
  <c r="BB911" i="1" s="1"/>
  <c r="BB910" i="1" a="1"/>
  <c r="BB910" i="1" s="1"/>
  <c r="BB909" i="1" a="1"/>
  <c r="BB909" i="1" s="1"/>
  <c r="BB908" i="1" a="1"/>
  <c r="BB908" i="1" s="1"/>
  <c r="BE907" i="1" a="1"/>
  <c r="BE907" i="1" s="1"/>
  <c r="BB907" i="1" a="1"/>
  <c r="BB907" i="1" s="1"/>
  <c r="BE906" i="1" a="1"/>
  <c r="BE906" i="1" s="1"/>
  <c r="BB906" i="1" a="1"/>
  <c r="BB906" i="1" s="1"/>
  <c r="BE905" i="1" a="1"/>
  <c r="BE905" i="1" s="1"/>
  <c r="BB905" i="1" a="1"/>
  <c r="BB905" i="1" s="1"/>
  <c r="BB904" i="1" a="1"/>
  <c r="BB904" i="1" s="1"/>
  <c r="BE903" i="1" a="1"/>
  <c r="BE903" i="1" s="1"/>
  <c r="BB903" i="1" a="1"/>
  <c r="BB903" i="1" s="1"/>
  <c r="BH902" i="1"/>
  <c r="BE902" i="1"/>
  <c r="BE913" i="1" s="1"/>
  <c r="BB902" i="1" a="1"/>
  <c r="BB902" i="1" s="1"/>
  <c r="BE901" i="1"/>
  <c r="BB901" i="1" a="1"/>
  <c r="BB901" i="1" s="1"/>
  <c r="BE900" i="1"/>
  <c r="BB900" i="1" a="1"/>
  <c r="BB900" i="1" s="1"/>
  <c r="BE899" i="1"/>
  <c r="BB899" i="1" a="1"/>
  <c r="BB899" i="1" s="1"/>
  <c r="BE898" i="1"/>
  <c r="BB898" i="1" a="1"/>
  <c r="BB898" i="1" s="1"/>
  <c r="BB897" i="1" a="1"/>
  <c r="BB897" i="1" s="1"/>
  <c r="BE896" i="1"/>
  <c r="BB896" i="1"/>
  <c r="S848" i="1"/>
  <c r="N846" i="1" s="1"/>
  <c r="AW843" i="1"/>
  <c r="BA843" i="1" s="1"/>
  <c r="BS840" i="1"/>
  <c r="E834" i="1"/>
  <c r="BV833" i="1" s="1"/>
  <c r="C811" i="1"/>
  <c r="C806" i="1" s="1"/>
  <c r="E800" i="1"/>
  <c r="E805" i="1" s="1"/>
  <c r="E810" i="1" s="1"/>
  <c r="AL798" i="1"/>
  <c r="BI790" i="1"/>
  <c r="BE923" i="1" s="1"/>
  <c r="BN923" i="1" s="1"/>
  <c r="BX923" i="1" s="1"/>
  <c r="BG790" i="1"/>
  <c r="BH899" i="1" s="1"/>
  <c r="AY790" i="1"/>
  <c r="S789" i="1"/>
  <c r="S951" i="1" s="1"/>
  <c r="AO784" i="1"/>
  <c r="BH907" i="1" s="1"/>
  <c r="Y784" i="1"/>
  <c r="N784" i="1"/>
  <c r="AC773" i="1" s="1"/>
  <c r="L778" i="1"/>
  <c r="AJ776" i="1"/>
  <c r="AJ778" i="1" s="1"/>
  <c r="AJ781" i="1" s="1"/>
  <c r="C776" i="1"/>
  <c r="C838" i="1" s="1"/>
  <c r="AJ772" i="1"/>
  <c r="BX744" i="1"/>
  <c r="BX734" i="1"/>
  <c r="BE726" i="1" a="1"/>
  <c r="BE726" i="1" s="1"/>
  <c r="BN726" i="1" s="1"/>
  <c r="BX726" i="1" s="1"/>
  <c r="BE725" i="1" a="1"/>
  <c r="BE725" i="1" s="1"/>
  <c r="BN725" i="1" s="1"/>
  <c r="BX725" i="1" s="1"/>
  <c r="BE724" i="1"/>
  <c r="BN724" i="1" s="1"/>
  <c r="BX724" i="1" s="1"/>
  <c r="BB720" i="1" a="1"/>
  <c r="BB720" i="1" s="1"/>
  <c r="BB719" i="1" a="1"/>
  <c r="BB719" i="1" s="1"/>
  <c r="BB718" i="1" a="1"/>
  <c r="BB718" i="1" s="1"/>
  <c r="BB717" i="1" a="1"/>
  <c r="BB717" i="1" s="1"/>
  <c r="BB716" i="1" a="1"/>
  <c r="BB716" i="1" s="1"/>
  <c r="BB714" i="1" a="1"/>
  <c r="BB714" i="1" s="1"/>
  <c r="BH713" i="1"/>
  <c r="BK713" i="1" s="1"/>
  <c r="BB713" i="1" a="1"/>
  <c r="BB713" i="1" s="1"/>
  <c r="BE712" i="1"/>
  <c r="BB712" i="1" a="1"/>
  <c r="BB712" i="1" s="1"/>
  <c r="BB711" i="1" a="1"/>
  <c r="BB711" i="1" s="1"/>
  <c r="BB710" i="1" a="1"/>
  <c r="BB710" i="1" s="1"/>
  <c r="BE709" i="1" a="1"/>
  <c r="BE709" i="1" s="1"/>
  <c r="BB709" i="1" a="1"/>
  <c r="BB709" i="1" s="1"/>
  <c r="BE708" i="1" a="1"/>
  <c r="BE708" i="1" s="1"/>
  <c r="BB708" i="1" a="1"/>
  <c r="BB708" i="1" s="1"/>
  <c r="BE707" i="1" a="1"/>
  <c r="BE707" i="1" s="1"/>
  <c r="BB707" i="1" a="1"/>
  <c r="BB707" i="1" s="1"/>
  <c r="BB706" i="1" a="1"/>
  <c r="BB706" i="1" s="1"/>
  <c r="BE705" i="1" a="1"/>
  <c r="BE705" i="1" s="1"/>
  <c r="BB705" i="1" a="1"/>
  <c r="BB705" i="1" s="1"/>
  <c r="BH704" i="1"/>
  <c r="BE704" i="1"/>
  <c r="BE715" i="1" s="1"/>
  <c r="BB704" i="1" a="1"/>
  <c r="BB704" i="1" s="1"/>
  <c r="BE703" i="1"/>
  <c r="BB703" i="1" a="1"/>
  <c r="BB703" i="1" s="1"/>
  <c r="BE702" i="1"/>
  <c r="BB702" i="1" a="1"/>
  <c r="BB702" i="1" s="1"/>
  <c r="BE701" i="1"/>
  <c r="BB701" i="1"/>
  <c r="S653" i="1"/>
  <c r="N651" i="1" s="1"/>
  <c r="K651" i="1" s="1"/>
  <c r="AW648" i="1"/>
  <c r="BA648" i="1" s="1"/>
  <c r="BS645" i="1"/>
  <c r="E639" i="1"/>
  <c r="BV638" i="1" s="1"/>
  <c r="C616" i="1"/>
  <c r="C611" i="1" s="1"/>
  <c r="E605" i="1"/>
  <c r="E610" i="1" s="1"/>
  <c r="E615" i="1" s="1"/>
  <c r="S594" i="1"/>
  <c r="AM589" i="1"/>
  <c r="BH709" i="1" s="1"/>
  <c r="Y589" i="1"/>
  <c r="N589" i="1"/>
  <c r="N580" i="1" s="1"/>
  <c r="AH581" i="1"/>
  <c r="AH583" i="1" s="1"/>
  <c r="AH586" i="1" s="1"/>
  <c r="C581" i="1"/>
  <c r="C643" i="1" s="1"/>
  <c r="AH577" i="1"/>
  <c r="BN373" i="1" l="1"/>
  <c r="BX373" i="1" s="1"/>
  <c r="BE897" i="1"/>
  <c r="BE933" i="1"/>
  <c r="BX933" i="1" s="1"/>
  <c r="BE926" i="1"/>
  <c r="BN372" i="1"/>
  <c r="BX372" i="1" s="1"/>
  <c r="AS370" i="1"/>
  <c r="BX370" i="1" s="1"/>
  <c r="BK320" i="1"/>
  <c r="AA371" i="1"/>
  <c r="BX371" i="1" s="1"/>
  <c r="BK373" i="1"/>
  <c r="BK181" i="1"/>
  <c r="AY207" i="1"/>
  <c r="BC207" i="1" s="1"/>
  <c r="BG207" i="1" s="1"/>
  <c r="BK207" i="1" s="1"/>
  <c r="BB219" i="1"/>
  <c r="BN329" i="1"/>
  <c r="BX329" i="1" s="1"/>
  <c r="BN336" i="1"/>
  <c r="BX336" i="1" s="1"/>
  <c r="BN324" i="1"/>
  <c r="BX324" i="1" s="1"/>
  <c r="W361" i="1"/>
  <c r="BX361" i="1" s="1"/>
  <c r="BH321" i="1"/>
  <c r="BK757" i="1"/>
  <c r="BK325" i="1"/>
  <c r="BK374" i="1"/>
  <c r="BH319" i="1"/>
  <c r="BN374" i="1"/>
  <c r="BX374" i="1" s="1"/>
  <c r="BN323" i="1"/>
  <c r="BX323" i="1" s="1"/>
  <c r="BN327" i="1"/>
  <c r="BX327" i="1" s="1"/>
  <c r="AW375" i="1"/>
  <c r="BN375" i="1" s="1"/>
  <c r="BX375" i="1" s="1"/>
  <c r="BN326" i="1"/>
  <c r="BX326" i="1" s="1"/>
  <c r="BN920" i="1"/>
  <c r="BX920" i="1" s="1"/>
  <c r="BN179" i="1"/>
  <c r="BX179" i="1" s="1"/>
  <c r="BE939" i="1"/>
  <c r="BX939" i="1" s="1"/>
  <c r="BE723" i="1"/>
  <c r="AF558" i="1"/>
  <c r="BX558" i="1" s="1"/>
  <c r="H596" i="1"/>
  <c r="BH705" i="1" s="1"/>
  <c r="BN705" i="1" s="1"/>
  <c r="BX705" i="1" s="1"/>
  <c r="S759" i="1"/>
  <c r="S755" i="1"/>
  <c r="O755" i="1"/>
  <c r="X759" i="1"/>
  <c r="BA759" i="1" s="1"/>
  <c r="W754" i="1"/>
  <c r="BE180" i="1"/>
  <c r="BN180" i="1" s="1"/>
  <c r="BN181" i="1"/>
  <c r="BX181" i="1" s="1"/>
  <c r="BN757" i="1"/>
  <c r="BX757" i="1" s="1"/>
  <c r="BK562" i="1"/>
  <c r="BN562" i="1"/>
  <c r="BX562" i="1" s="1"/>
  <c r="BN561" i="1"/>
  <c r="BN563" i="1"/>
  <c r="BX563" i="1" s="1"/>
  <c r="BN756" i="1"/>
  <c r="BX756" i="1" s="1"/>
  <c r="BN758" i="1"/>
  <c r="BX758" i="1" s="1"/>
  <c r="BN946" i="1"/>
  <c r="W950" i="1"/>
  <c r="S956" i="1" s="1"/>
  <c r="AW956" i="1" s="1"/>
  <c r="BN956" i="1" s="1"/>
  <c r="BX956" i="1" s="1"/>
  <c r="AJ950" i="1"/>
  <c r="S949" i="1"/>
  <c r="AF949" i="1" s="1"/>
  <c r="BX949" i="1" s="1"/>
  <c r="AF950" i="1"/>
  <c r="BH904" i="1"/>
  <c r="BN904" i="1" s="1"/>
  <c r="BX904" i="1" s="1"/>
  <c r="BH918" i="1"/>
  <c r="BK918" i="1" s="1"/>
  <c r="BE953" i="1"/>
  <c r="BN953" i="1" s="1"/>
  <c r="BX953" i="1" s="1"/>
  <c r="AD954" i="1"/>
  <c r="BE954" i="1" s="1"/>
  <c r="BX742" i="1"/>
  <c r="BE952" i="1"/>
  <c r="BN952" i="1" s="1"/>
  <c r="S955" i="1"/>
  <c r="X955" i="1"/>
  <c r="BA955" i="1" s="1"/>
  <c r="M871" i="1"/>
  <c r="Y954" i="1" s="1"/>
  <c r="BH954" i="1" s="1"/>
  <c r="AF948" i="1"/>
  <c r="O951" i="1"/>
  <c r="BN917" i="1"/>
  <c r="BX917" i="1" s="1"/>
  <c r="BN925" i="1"/>
  <c r="BX925" i="1" s="1"/>
  <c r="BX932" i="1"/>
  <c r="BX936" i="1"/>
  <c r="BN928" i="1"/>
  <c r="BX928" i="1" s="1"/>
  <c r="BN929" i="1"/>
  <c r="BX929" i="1" s="1"/>
  <c r="BN927" i="1"/>
  <c r="BX927" i="1" s="1"/>
  <c r="BX737" i="1"/>
  <c r="BN728" i="1"/>
  <c r="BX728" i="1" s="1"/>
  <c r="BN731" i="1"/>
  <c r="BX731" i="1" s="1"/>
  <c r="BN535" i="1"/>
  <c r="BX535" i="1" s="1"/>
  <c r="BN732" i="1"/>
  <c r="BX732" i="1" s="1"/>
  <c r="BN539" i="1"/>
  <c r="BX539" i="1" s="1"/>
  <c r="BN730" i="1"/>
  <c r="BX730" i="1" s="1"/>
  <c r="BN911" i="1"/>
  <c r="BX911" i="1" s="1"/>
  <c r="BX546" i="1"/>
  <c r="BN538" i="1"/>
  <c r="BX538" i="1" s="1"/>
  <c r="BN537" i="1"/>
  <c r="BX537" i="1" s="1"/>
  <c r="BX544" i="1"/>
  <c r="BN153" i="1"/>
  <c r="BX153" i="1" s="1"/>
  <c r="BN155" i="1"/>
  <c r="BX155" i="1" s="1"/>
  <c r="BN156" i="1"/>
  <c r="BX156" i="1" s="1"/>
  <c r="BK917" i="1"/>
  <c r="BN152" i="1"/>
  <c r="BX152" i="1" s="1"/>
  <c r="BN154" i="1"/>
  <c r="BX154" i="1" s="1"/>
  <c r="AS784" i="1"/>
  <c r="BH905" i="1" s="1"/>
  <c r="BK905" i="1" s="1"/>
  <c r="H791" i="1"/>
  <c r="BH903" i="1" s="1"/>
  <c r="BN903" i="1" s="1"/>
  <c r="BX903" i="1" s="1"/>
  <c r="BK719" i="1"/>
  <c r="BK907" i="1"/>
  <c r="BN713" i="1"/>
  <c r="BX713" i="1" s="1"/>
  <c r="Z770" i="1"/>
  <c r="W941" i="1" s="1"/>
  <c r="BX941" i="1" s="1"/>
  <c r="AB580" i="1"/>
  <c r="BN902" i="1"/>
  <c r="BX902" i="1" s="1"/>
  <c r="BN750" i="1"/>
  <c r="AY591" i="1"/>
  <c r="BN907" i="1"/>
  <c r="BX907" i="1" s="1"/>
  <c r="BN709" i="1"/>
  <c r="BX709" i="1" s="1"/>
  <c r="AQ589" i="1"/>
  <c r="BH707" i="1" s="1"/>
  <c r="BN707" i="1" s="1"/>
  <c r="BX707" i="1" s="1"/>
  <c r="BA786" i="1"/>
  <c r="BN899" i="1"/>
  <c r="BX899" i="1" s="1"/>
  <c r="AY791" i="1"/>
  <c r="BE791" i="1" s="1"/>
  <c r="BK899" i="1"/>
  <c r="BA790" i="1"/>
  <c r="BH898" i="1" s="1"/>
  <c r="BN898" i="1" s="1"/>
  <c r="BX898" i="1" s="1"/>
  <c r="E620" i="1"/>
  <c r="E625" i="1" s="1"/>
  <c r="E630" i="1" s="1"/>
  <c r="AQ648" i="1"/>
  <c r="H651" i="1"/>
  <c r="AN648" i="1" s="1"/>
  <c r="BN719" i="1"/>
  <c r="BX719" i="1" s="1"/>
  <c r="T943" i="1"/>
  <c r="BN943" i="1" s="1"/>
  <c r="BX943" i="1" s="1"/>
  <c r="BH912" i="1"/>
  <c r="BK912" i="1" s="1"/>
  <c r="BV841" i="1"/>
  <c r="BK909" i="1"/>
  <c r="BK709" i="1"/>
  <c r="W745" i="1"/>
  <c r="BX745" i="1" s="1"/>
  <c r="BH703" i="1"/>
  <c r="BN703" i="1" s="1"/>
  <c r="BX703" i="1" s="1"/>
  <c r="AD651" i="1"/>
  <c r="AA651" i="1"/>
  <c r="X651" i="1"/>
  <c r="AT648" i="1"/>
  <c r="BD648" i="1" s="1"/>
  <c r="BN704" i="1"/>
  <c r="BX704" i="1" s="1"/>
  <c r="E815" i="1"/>
  <c r="E820" i="1" s="1"/>
  <c r="E825" i="1" s="1"/>
  <c r="AT843" i="1"/>
  <c r="BD843" i="1" s="1"/>
  <c r="K846" i="1"/>
  <c r="AD846" i="1"/>
  <c r="X846" i="1"/>
  <c r="AA846" i="1"/>
  <c r="BK704" i="1"/>
  <c r="BE743" i="1"/>
  <c r="BX743" i="1" s="1"/>
  <c r="BE790" i="1"/>
  <c r="BK902" i="1"/>
  <c r="BN924" i="1"/>
  <c r="BX924" i="1" s="1"/>
  <c r="BH702" i="1"/>
  <c r="BK702" i="1" s="1"/>
  <c r="BX931" i="1"/>
  <c r="W942" i="1"/>
  <c r="BX942" i="1" s="1"/>
  <c r="BH897" i="1"/>
  <c r="BH706" i="1"/>
  <c r="BH708" i="1"/>
  <c r="BN708" i="1" s="1"/>
  <c r="BX708" i="1" s="1"/>
  <c r="BH906" i="1"/>
  <c r="BN906" i="1" s="1"/>
  <c r="BX906" i="1" s="1"/>
  <c r="BE919" i="1"/>
  <c r="BN897" i="1" l="1"/>
  <c r="BX897" i="1" s="1"/>
  <c r="BX377" i="1"/>
  <c r="BX378" i="1" s="1"/>
  <c r="BX379" i="1" s="1"/>
  <c r="BN379" i="1"/>
  <c r="AW221" i="1"/>
  <c r="BH333" i="1"/>
  <c r="BH332" i="1"/>
  <c r="BK321" i="1"/>
  <c r="BN321" i="1"/>
  <c r="BX321" i="1" s="1"/>
  <c r="BN919" i="1"/>
  <c r="BX919" i="1" s="1"/>
  <c r="BE930" i="1"/>
  <c r="BN930" i="1" s="1"/>
  <c r="BX930" i="1" s="1"/>
  <c r="BN319" i="1"/>
  <c r="BK319" i="1"/>
  <c r="BN377" i="1"/>
  <c r="K596" i="1"/>
  <c r="N596" i="1" s="1"/>
  <c r="Q596" i="1" s="1"/>
  <c r="T596" i="1" s="1"/>
  <c r="W596" i="1" s="1"/>
  <c r="Z596" i="1" s="1"/>
  <c r="AC596" i="1" s="1"/>
  <c r="BN723" i="1"/>
  <c r="BX723" i="1" s="1"/>
  <c r="BE733" i="1"/>
  <c r="BN733" i="1" s="1"/>
  <c r="BX733" i="1" s="1"/>
  <c r="BK913" i="1"/>
  <c r="BN913" i="1"/>
  <c r="BX913" i="1" s="1"/>
  <c r="AA755" i="1"/>
  <c r="BX755" i="1" s="1"/>
  <c r="BK180" i="1"/>
  <c r="BK715" i="1"/>
  <c r="BN715" i="1"/>
  <c r="BX715" i="1" s="1"/>
  <c r="BK904" i="1"/>
  <c r="S760" i="1"/>
  <c r="AW760" i="1" s="1"/>
  <c r="BN760" i="1" s="1"/>
  <c r="BX760" i="1" s="1"/>
  <c r="AS754" i="1"/>
  <c r="AA951" i="1"/>
  <c r="BX951" i="1" s="1"/>
  <c r="AW759" i="1"/>
  <c r="BN759" i="1" s="1"/>
  <c r="BX759" i="1" s="1"/>
  <c r="BX180" i="1"/>
  <c r="BX561" i="1"/>
  <c r="BX948" i="1"/>
  <c r="BX952" i="1"/>
  <c r="AS950" i="1"/>
  <c r="BX950" i="1" s="1"/>
  <c r="BN926" i="1"/>
  <c r="BX926" i="1" s="1"/>
  <c r="AW955" i="1"/>
  <c r="BN955" i="1" s="1"/>
  <c r="BX955" i="1" s="1"/>
  <c r="BK952" i="1"/>
  <c r="BK954" i="1"/>
  <c r="BK953" i="1"/>
  <c r="BN954" i="1"/>
  <c r="BH718" i="1"/>
  <c r="K791" i="1"/>
  <c r="N791" i="1" s="1"/>
  <c r="Q791" i="1" s="1"/>
  <c r="T791" i="1" s="1"/>
  <c r="W791" i="1" s="1"/>
  <c r="Z791" i="1" s="1"/>
  <c r="AC791" i="1" s="1"/>
  <c r="AU589" i="1"/>
  <c r="AY589" i="1" s="1"/>
  <c r="BC589" i="1" s="1"/>
  <c r="BG589" i="1" s="1"/>
  <c r="BK589" i="1" s="1"/>
  <c r="BK705" i="1"/>
  <c r="AW784" i="1"/>
  <c r="BA784" i="1" s="1"/>
  <c r="BE784" i="1" s="1"/>
  <c r="BI784" i="1" s="1"/>
  <c r="BM784" i="1" s="1"/>
  <c r="BN905" i="1"/>
  <c r="BX905" i="1" s="1"/>
  <c r="BK903" i="1"/>
  <c r="AY792" i="1"/>
  <c r="AW791" i="1" s="1"/>
  <c r="BC791" i="1" s="1"/>
  <c r="BN918" i="1"/>
  <c r="BX918" i="1" s="1"/>
  <c r="BN909" i="1"/>
  <c r="BX909" i="1" s="1"/>
  <c r="BK898" i="1"/>
  <c r="BN702" i="1"/>
  <c r="BX702" i="1" s="1"/>
  <c r="BH714" i="1"/>
  <c r="AW790" i="1"/>
  <c r="BC790" i="1" s="1"/>
  <c r="BH910" i="1"/>
  <c r="AQ843" i="1"/>
  <c r="H846" i="1"/>
  <c r="AN843" i="1" s="1"/>
  <c r="T747" i="1"/>
  <c r="BN747" i="1" s="1"/>
  <c r="BX747" i="1" s="1"/>
  <c r="BV646" i="1"/>
  <c r="W746" i="1"/>
  <c r="BX746" i="1" s="1"/>
  <c r="BK906" i="1"/>
  <c r="BH710" i="1"/>
  <c r="BH712" i="1"/>
  <c r="BK707" i="1"/>
  <c r="BK703" i="1"/>
  <c r="BK708" i="1"/>
  <c r="BK897" i="1"/>
  <c r="BN912" i="1"/>
  <c r="BX912" i="1" s="1"/>
  <c r="BJ648" i="1"/>
  <c r="BK706" i="1"/>
  <c r="BN706" i="1"/>
  <c r="BX706" i="1" s="1"/>
  <c r="BG648" i="1"/>
  <c r="BN333" i="1" l="1"/>
  <c r="BX333" i="1" s="1"/>
  <c r="BK333" i="1"/>
  <c r="AZ221" i="1"/>
  <c r="BC221" i="1" s="1"/>
  <c r="BF221" i="1" s="1"/>
  <c r="BH334" i="1"/>
  <c r="BN332" i="1"/>
  <c r="BX332" i="1" s="1"/>
  <c r="BK332" i="1"/>
  <c r="BH701" i="1"/>
  <c r="BN701" i="1" s="1"/>
  <c r="BX701" i="1" s="1"/>
  <c r="BN380" i="1"/>
  <c r="BN378" i="1"/>
  <c r="BX319" i="1"/>
  <c r="BN761" i="1"/>
  <c r="BN762" i="1" s="1"/>
  <c r="BX754" i="1"/>
  <c r="BX761" i="1" s="1"/>
  <c r="BX762" i="1" s="1"/>
  <c r="BX763" i="1" s="1"/>
  <c r="BN763" i="1"/>
  <c r="BN959" i="1"/>
  <c r="BN957" i="1"/>
  <c r="BH896" i="1"/>
  <c r="BN896" i="1" s="1"/>
  <c r="BX954" i="1"/>
  <c r="BX957" i="1" s="1"/>
  <c r="BH717" i="1"/>
  <c r="BN717" i="1" s="1"/>
  <c r="BX717" i="1" s="1"/>
  <c r="BH916" i="1"/>
  <c r="BH716" i="1"/>
  <c r="BE792" i="1"/>
  <c r="AY793" i="1"/>
  <c r="AW792" i="1" s="1"/>
  <c r="BC792" i="1" s="1"/>
  <c r="BH711" i="1"/>
  <c r="BK711" i="1" s="1"/>
  <c r="BK908" i="1"/>
  <c r="BN908" i="1"/>
  <c r="BX908" i="1" s="1"/>
  <c r="BK714" i="1"/>
  <c r="BN714" i="1"/>
  <c r="BX714" i="1" s="1"/>
  <c r="BK718" i="1"/>
  <c r="BN718" i="1"/>
  <c r="BX718" i="1" s="1"/>
  <c r="BN712" i="1"/>
  <c r="BX712" i="1" s="1"/>
  <c r="BK712" i="1"/>
  <c r="BJ843" i="1"/>
  <c r="BK710" i="1"/>
  <c r="BN710" i="1"/>
  <c r="BG843" i="1"/>
  <c r="BK910" i="1"/>
  <c r="BN910" i="1"/>
  <c r="BX910" i="1" s="1"/>
  <c r="BK701" i="1" l="1"/>
  <c r="BK334" i="1"/>
  <c r="BN334" i="1"/>
  <c r="BN764" i="1"/>
  <c r="BK896" i="1"/>
  <c r="BH915" i="1"/>
  <c r="BK915" i="1" s="1"/>
  <c r="BH914" i="1"/>
  <c r="BN914" i="1" s="1"/>
  <c r="BX914" i="1" s="1"/>
  <c r="AY794" i="1"/>
  <c r="AY795" i="1" s="1"/>
  <c r="AW794" i="1" s="1"/>
  <c r="BC794" i="1" s="1"/>
  <c r="BE793" i="1"/>
  <c r="BN711" i="1"/>
  <c r="BX711" i="1" s="1"/>
  <c r="BK717" i="1"/>
  <c r="BX710" i="1"/>
  <c r="BK916" i="1"/>
  <c r="BN916" i="1"/>
  <c r="BX916" i="1" s="1"/>
  <c r="BX896" i="1"/>
  <c r="BN716" i="1"/>
  <c r="BX716" i="1" s="1"/>
  <c r="BK716" i="1"/>
  <c r="BX334" i="1" l="1"/>
  <c r="BX364" i="1" s="1"/>
  <c r="BX365" i="1" s="1"/>
  <c r="BX366" i="1" s="1"/>
  <c r="BX380" i="1" s="1"/>
  <c r="BN364" i="1"/>
  <c r="BK914" i="1"/>
  <c r="AW793" i="1"/>
  <c r="BC793" i="1" s="1"/>
  <c r="BE794" i="1"/>
  <c r="BN915" i="1"/>
  <c r="BX915" i="1" s="1"/>
  <c r="BE795" i="1"/>
  <c r="AY796" i="1"/>
  <c r="AW795" i="1" s="1"/>
  <c r="BC795" i="1" s="1"/>
  <c r="BN367" i="1" l="1"/>
  <c r="BN365" i="1"/>
  <c r="AY797" i="1"/>
  <c r="BE796" i="1"/>
  <c r="AW796" i="1"/>
  <c r="BC796" i="1" s="1"/>
  <c r="BE797" i="1" l="1"/>
  <c r="AW797" i="1"/>
  <c r="BC797" i="1" s="1"/>
  <c r="AY798" i="1"/>
  <c r="AY799" i="1" l="1"/>
  <c r="BX935" i="1" s="1"/>
  <c r="BE798" i="1"/>
  <c r="AW798" i="1"/>
  <c r="BC798" i="1" s="1"/>
  <c r="AW799" i="1" l="1"/>
  <c r="BC799" i="1" s="1"/>
  <c r="AY800" i="1"/>
  <c r="BE799" i="1"/>
  <c r="AY801" i="1" l="1"/>
  <c r="BE800" i="1"/>
  <c r="AW800" i="1"/>
  <c r="BC800" i="1" s="1"/>
  <c r="AW801" i="1" l="1"/>
  <c r="BC801" i="1" s="1"/>
  <c r="AY802" i="1"/>
  <c r="BE801" i="1"/>
  <c r="AY803" i="1" l="1"/>
  <c r="BE802" i="1"/>
  <c r="AW802" i="1"/>
  <c r="BC802" i="1" s="1"/>
  <c r="AW803" i="1" l="1"/>
  <c r="BC803" i="1" s="1"/>
  <c r="AY804" i="1"/>
  <c r="BE803" i="1"/>
  <c r="BE804" i="1" l="1"/>
  <c r="AW804" i="1"/>
  <c r="BC804" i="1" s="1"/>
  <c r="AY805" i="1"/>
  <c r="AW805" i="1" l="1"/>
  <c r="BC805" i="1" s="1"/>
  <c r="AY806" i="1"/>
  <c r="BE805" i="1"/>
  <c r="BE806" i="1" l="1"/>
  <c r="AW806" i="1"/>
  <c r="BC806" i="1" s="1"/>
  <c r="AY807" i="1"/>
  <c r="BE807" i="1" l="1"/>
  <c r="BE808" i="1" s="1"/>
  <c r="BH901" i="1" s="1"/>
  <c r="AW807" i="1"/>
  <c r="BC807" i="1" s="1"/>
  <c r="BC808" i="1" s="1"/>
  <c r="BH900" i="1" s="1"/>
  <c r="BK900" i="1" l="1"/>
  <c r="BN900" i="1"/>
  <c r="BK901" i="1"/>
  <c r="BN901" i="1"/>
  <c r="BX901" i="1" s="1"/>
  <c r="BN944" i="1" l="1"/>
  <c r="BN947" i="1" s="1"/>
  <c r="BX900" i="1"/>
  <c r="BX944" i="1" s="1"/>
  <c r="BN945" i="1" l="1"/>
  <c r="BX945" i="1"/>
  <c r="BX946" i="1" s="1"/>
  <c r="BN960" i="1"/>
  <c r="BN958" i="1"/>
  <c r="BX958" i="1" l="1"/>
  <c r="BX959" i="1" s="1"/>
  <c r="BX960" i="1" s="1"/>
  <c r="AL414" i="1"/>
  <c r="BE149" i="1"/>
  <c r="BN149" i="1" s="1"/>
  <c r="BX149" i="1" s="1"/>
  <c r="BX167" i="1"/>
  <c r="BX549" i="1"/>
  <c r="BE531" i="1"/>
  <c r="BK408" i="1"/>
  <c r="BE534" i="1" s="1"/>
  <c r="BN534" i="1" s="1"/>
  <c r="BX534" i="1" s="1"/>
  <c r="T552" i="1"/>
  <c r="BN552" i="1" s="1"/>
  <c r="BX552" i="1" s="1"/>
  <c r="BE533" i="1" a="1"/>
  <c r="BE533" i="1" s="1"/>
  <c r="BN533" i="1" s="1"/>
  <c r="BX533" i="1" s="1"/>
  <c r="BE532" i="1" a="1"/>
  <c r="BE532" i="1" s="1"/>
  <c r="BN532" i="1" s="1"/>
  <c r="BX532" i="1" s="1"/>
  <c r="BH528" i="1"/>
  <c r="BK528" i="1" s="1"/>
  <c r="BB528" i="1" a="1"/>
  <c r="BB528" i="1" s="1"/>
  <c r="BH527" i="1"/>
  <c r="BK527" i="1" s="1"/>
  <c r="BB527" i="1" a="1"/>
  <c r="BB527" i="1" s="1"/>
  <c r="BB526" i="1" a="1"/>
  <c r="BB526" i="1" s="1"/>
  <c r="BK525" i="1"/>
  <c r="BB525" i="1" a="1"/>
  <c r="BB525" i="1" s="1"/>
  <c r="BB524" i="1" a="1"/>
  <c r="BB524" i="1" s="1"/>
  <c r="BE523" i="1" a="1"/>
  <c r="BE523" i="1" s="1"/>
  <c r="BB523" i="1" a="1"/>
  <c r="BB523" i="1" s="1"/>
  <c r="BE522" i="1" a="1"/>
  <c r="BE522" i="1" s="1"/>
  <c r="BB522" i="1" a="1"/>
  <c r="BB522" i="1" s="1"/>
  <c r="BE521" i="1" a="1"/>
  <c r="BE521" i="1" s="1"/>
  <c r="BB521" i="1" a="1"/>
  <c r="BB521" i="1" s="1"/>
  <c r="BB520" i="1" a="1"/>
  <c r="BB520" i="1" s="1"/>
  <c r="BE519" i="1" a="1"/>
  <c r="BE519" i="1" s="1"/>
  <c r="BB519" i="1" a="1"/>
  <c r="BB519" i="1" s="1"/>
  <c r="BH518" i="1"/>
  <c r="BE518" i="1"/>
  <c r="BE529" i="1" s="1"/>
  <c r="BB518" i="1" a="1"/>
  <c r="BB518" i="1" s="1"/>
  <c r="BE517" i="1"/>
  <c r="BB517" i="1" a="1"/>
  <c r="BB517" i="1" s="1"/>
  <c r="BE516" i="1"/>
  <c r="BB516" i="1" a="1"/>
  <c r="BB516" i="1" s="1"/>
  <c r="BE515" i="1"/>
  <c r="BB515" i="1" a="1"/>
  <c r="BB515" i="1" s="1"/>
  <c r="BE514" i="1"/>
  <c r="BB514" i="1" a="1"/>
  <c r="BB514" i="1" s="1"/>
  <c r="BB513" i="1" a="1"/>
  <c r="BB513" i="1" s="1"/>
  <c r="BE512" i="1"/>
  <c r="BB512" i="1"/>
  <c r="S464" i="1"/>
  <c r="N462" i="1" s="1"/>
  <c r="D454" i="1"/>
  <c r="D456" i="1" s="1"/>
  <c r="D459" i="1" s="1"/>
  <c r="E450" i="1"/>
  <c r="C427" i="1"/>
  <c r="C422" i="1" s="1"/>
  <c r="E416" i="1"/>
  <c r="E421" i="1" s="1"/>
  <c r="E426" i="1" s="1"/>
  <c r="BI408" i="1"/>
  <c r="BH515" i="1" s="1"/>
  <c r="BA408" i="1"/>
  <c r="BG408" i="1" s="1"/>
  <c r="S405" i="1"/>
  <c r="AO400" i="1"/>
  <c r="BH523" i="1" s="1"/>
  <c r="Y400" i="1"/>
  <c r="N400" i="1"/>
  <c r="BC408" i="1" s="1"/>
  <c r="BH514" i="1" s="1"/>
  <c r="L394" i="1"/>
  <c r="AJ392" i="1"/>
  <c r="AJ394" i="1" s="1"/>
  <c r="AJ397" i="1" s="1"/>
  <c r="C392" i="1"/>
  <c r="C454" i="1" s="1"/>
  <c r="AJ388" i="1"/>
  <c r="BE150" i="1" a="1"/>
  <c r="BE150" i="1" s="1"/>
  <c r="BE138" i="1" a="1"/>
  <c r="BE138" i="1" s="1"/>
  <c r="BE135" i="1" a="1"/>
  <c r="BE135" i="1" s="1"/>
  <c r="BE151" i="1" a="1"/>
  <c r="BE151" i="1" s="1"/>
  <c r="BE131" i="1"/>
  <c r="BE139" i="1" a="1"/>
  <c r="BE139" i="1" s="1"/>
  <c r="BB139" i="1" a="1"/>
  <c r="BB139" i="1" s="1"/>
  <c r="BE137" i="1" a="1"/>
  <c r="BE137" i="1" s="1"/>
  <c r="BB144" i="1" a="1"/>
  <c r="BB144" i="1" s="1"/>
  <c r="BB143" i="1" a="1"/>
  <c r="BB143" i="1" s="1"/>
  <c r="BB142" i="1" a="1"/>
  <c r="BB142" i="1" s="1"/>
  <c r="BB141" i="1" a="1"/>
  <c r="BB141" i="1" s="1"/>
  <c r="BB140" i="1" a="1"/>
  <c r="BB140" i="1" s="1"/>
  <c r="BB138" i="1" a="1"/>
  <c r="BB138" i="1" s="1"/>
  <c r="BB137" i="1" a="1"/>
  <c r="BB137" i="1" s="1"/>
  <c r="BB136" i="1" a="1"/>
  <c r="BB136" i="1" s="1"/>
  <c r="BB135" i="1" a="1"/>
  <c r="BB135" i="1" s="1"/>
  <c r="BB134" i="1" a="1"/>
  <c r="BB134" i="1" s="1"/>
  <c r="BB133" i="1" a="1"/>
  <c r="BB133" i="1" s="1"/>
  <c r="BB132" i="1" a="1"/>
  <c r="BB132" i="1" s="1"/>
  <c r="BE543" i="1" l="1"/>
  <c r="BE536" i="1"/>
  <c r="BN531" i="1"/>
  <c r="BX531" i="1" s="1"/>
  <c r="BK529" i="1"/>
  <c r="BN529" i="1"/>
  <c r="BX529" i="1" s="1"/>
  <c r="BA402" i="1"/>
  <c r="O560" i="1"/>
  <c r="X564" i="1"/>
  <c r="BA564" i="1" s="1"/>
  <c r="W559" i="1"/>
  <c r="S564" i="1"/>
  <c r="S560" i="1"/>
  <c r="BN528" i="1"/>
  <c r="BX528" i="1" s="1"/>
  <c r="BE513" i="1"/>
  <c r="BN527" i="1"/>
  <c r="BX527" i="1" s="1"/>
  <c r="H407" i="1"/>
  <c r="BH519" i="1" s="1"/>
  <c r="BK519" i="1" s="1"/>
  <c r="BK518" i="1"/>
  <c r="BN525" i="1"/>
  <c r="BX525" i="1" s="1"/>
  <c r="BX541" i="1"/>
  <c r="BN514" i="1"/>
  <c r="BX514" i="1" s="1"/>
  <c r="BE530" i="1"/>
  <c r="BK523" i="1"/>
  <c r="BN518" i="1"/>
  <c r="BX518" i="1" s="1"/>
  <c r="BE548" i="1"/>
  <c r="Z386" i="1"/>
  <c r="W550" i="1" s="1"/>
  <c r="BX550" i="1" s="1"/>
  <c r="BK514" i="1"/>
  <c r="BN515" i="1"/>
  <c r="BX515" i="1" s="1"/>
  <c r="AD462" i="1"/>
  <c r="K462" i="1"/>
  <c r="H462" i="1" s="1"/>
  <c r="AA462" i="1"/>
  <c r="X462" i="1"/>
  <c r="BK515" i="1"/>
  <c r="BN523" i="1"/>
  <c r="BX523" i="1" s="1"/>
  <c r="AS400" i="1"/>
  <c r="W551" i="1"/>
  <c r="BX551" i="1" s="1"/>
  <c r="AC389" i="1"/>
  <c r="BA409" i="1" s="1"/>
  <c r="AY408" i="1" s="1"/>
  <c r="BE408" i="1" s="1"/>
  <c r="E431" i="1"/>
  <c r="E436" i="1" s="1"/>
  <c r="E441" i="1" s="1"/>
  <c r="BH513" i="1"/>
  <c r="BN555" i="1"/>
  <c r="BH520" i="1"/>
  <c r="BK520" i="1" s="1"/>
  <c r="BH522" i="1"/>
  <c r="BK522" i="1" s="1"/>
  <c r="BE132" i="1"/>
  <c r="BH144" i="1"/>
  <c r="BK144" i="1" s="1"/>
  <c r="BX158" i="1"/>
  <c r="T170" i="1"/>
  <c r="BN170" i="1" s="1"/>
  <c r="BX170" i="1" s="1"/>
  <c r="BN151" i="1"/>
  <c r="BX151" i="1" s="1"/>
  <c r="BN150" i="1"/>
  <c r="BX150" i="1" s="1"/>
  <c r="AW564" i="1" l="1"/>
  <c r="BN564" i="1" s="1"/>
  <c r="BX564" i="1" s="1"/>
  <c r="BN530" i="1"/>
  <c r="BX530" i="1" s="1"/>
  <c r="BE540" i="1"/>
  <c r="BN540" i="1" s="1"/>
  <c r="BX540" i="1" s="1"/>
  <c r="AA560" i="1"/>
  <c r="BX560" i="1" s="1"/>
  <c r="S565" i="1"/>
  <c r="AW565" i="1" s="1"/>
  <c r="BN565" i="1" s="1"/>
  <c r="BX565" i="1" s="1"/>
  <c r="AS559" i="1"/>
  <c r="BK513" i="1"/>
  <c r="BX543" i="1"/>
  <c r="BN536" i="1"/>
  <c r="BX536" i="1" s="1"/>
  <c r="BX548" i="1"/>
  <c r="K407" i="1"/>
  <c r="N407" i="1" s="1"/>
  <c r="Q407" i="1" s="1"/>
  <c r="T407" i="1" s="1"/>
  <c r="W407" i="1" s="1"/>
  <c r="Z407" i="1" s="1"/>
  <c r="AC407" i="1" s="1"/>
  <c r="BN520" i="1"/>
  <c r="BX520" i="1" s="1"/>
  <c r="BA410" i="1"/>
  <c r="AY409" i="1" s="1"/>
  <c r="BE409" i="1" s="1"/>
  <c r="BG409" i="1"/>
  <c r="BH521" i="1"/>
  <c r="AW400" i="1"/>
  <c r="BA400" i="1" s="1"/>
  <c r="BE400" i="1" s="1"/>
  <c r="BI400" i="1" s="1"/>
  <c r="BM400" i="1" s="1"/>
  <c r="BN519" i="1"/>
  <c r="BX519" i="1" s="1"/>
  <c r="BN522" i="1"/>
  <c r="BX522" i="1" s="1"/>
  <c r="BH526" i="1"/>
  <c r="BN513" i="1"/>
  <c r="BX513" i="1" s="1"/>
  <c r="BN144" i="1"/>
  <c r="BX144" i="1" s="1"/>
  <c r="BN566" i="1" l="1"/>
  <c r="BX559" i="1"/>
  <c r="BX566" i="1" s="1"/>
  <c r="BX567" i="1" s="1"/>
  <c r="BX568" i="1" s="1"/>
  <c r="BN568" i="1"/>
  <c r="BH512" i="1"/>
  <c r="BN512" i="1" s="1"/>
  <c r="BK521" i="1"/>
  <c r="BN521" i="1"/>
  <c r="BX521" i="1" s="1"/>
  <c r="BN526" i="1"/>
  <c r="BX526" i="1" s="1"/>
  <c r="BK526" i="1"/>
  <c r="BK524" i="1"/>
  <c r="BN524" i="1"/>
  <c r="BX524" i="1" s="1"/>
  <c r="BG410" i="1"/>
  <c r="BA411" i="1"/>
  <c r="BH143" i="1"/>
  <c r="BK143" i="1" s="1"/>
  <c r="BE142" i="1"/>
  <c r="BH141" i="1"/>
  <c r="BK141" i="1" s="1"/>
  <c r="BH134" i="1"/>
  <c r="BE134" i="1"/>
  <c r="BE145" i="1" s="1"/>
  <c r="BE133" i="1"/>
  <c r="BN146" i="1" s="1"/>
  <c r="BX146" i="1" s="1"/>
  <c r="BB131" i="1"/>
  <c r="BK145" i="1" l="1"/>
  <c r="BN145" i="1"/>
  <c r="BX145" i="1" s="1"/>
  <c r="BN567" i="1"/>
  <c r="BN569" i="1"/>
  <c r="BK512" i="1"/>
  <c r="BX512" i="1"/>
  <c r="BA412" i="1"/>
  <c r="AY411" i="1" s="1"/>
  <c r="BE411" i="1" s="1"/>
  <c r="BG411" i="1"/>
  <c r="AY410" i="1"/>
  <c r="BE410" i="1" s="1"/>
  <c r="BE166" i="1"/>
  <c r="BX166" i="1" s="1"/>
  <c r="BK134" i="1"/>
  <c r="BE148" i="1"/>
  <c r="BN143" i="1"/>
  <c r="BX143" i="1" s="1"/>
  <c r="BN141" i="1"/>
  <c r="BX141" i="1" s="1"/>
  <c r="BN134" i="1"/>
  <c r="BX134" i="1" s="1"/>
  <c r="S24" i="1"/>
  <c r="BN148" i="1" l="1"/>
  <c r="BX148" i="1" s="1"/>
  <c r="BE157" i="1"/>
  <c r="BN157" i="1" s="1"/>
  <c r="BX157" i="1" s="1"/>
  <c r="H26" i="1"/>
  <c r="BH135" i="1" s="1"/>
  <c r="S178" i="1"/>
  <c r="S182" i="1"/>
  <c r="BA413" i="1"/>
  <c r="BG412" i="1"/>
  <c r="D73" i="1"/>
  <c r="D75" i="1" s="1"/>
  <c r="D78" i="1" s="1"/>
  <c r="E69" i="1"/>
  <c r="S83" i="1"/>
  <c r="N81" i="1" s="1"/>
  <c r="AH11" i="1"/>
  <c r="AH13" i="1" s="1"/>
  <c r="AH16" i="1" s="1"/>
  <c r="AH7" i="1"/>
  <c r="AM19" i="1"/>
  <c r="BH139" i="1" s="1"/>
  <c r="Y19" i="1"/>
  <c r="N19" i="1"/>
  <c r="N10" i="1" s="1"/>
  <c r="C11" i="1"/>
  <c r="C73" i="1" s="1"/>
  <c r="E35" i="1"/>
  <c r="E40" i="1" s="1"/>
  <c r="E45" i="1" s="1"/>
  <c r="C46" i="1"/>
  <c r="C41" i="1" s="1"/>
  <c r="K26" i="1" l="1"/>
  <c r="N26" i="1" s="1"/>
  <c r="Q26" i="1" s="1"/>
  <c r="T26" i="1" s="1"/>
  <c r="W26" i="1" s="1"/>
  <c r="Z26" i="1" s="1"/>
  <c r="AC26" i="1" s="1"/>
  <c r="BN173" i="1"/>
  <c r="X182" i="1"/>
  <c r="BA182" i="1" s="1"/>
  <c r="AW182" i="1" s="1"/>
  <c r="BN182" i="1" s="1"/>
  <c r="O178" i="1"/>
  <c r="AA178" i="1" s="1"/>
  <c r="BX178" i="1" s="1"/>
  <c r="W177" i="1"/>
  <c r="BA414" i="1"/>
  <c r="AY413" i="1" s="1"/>
  <c r="BE413" i="1" s="1"/>
  <c r="BG413" i="1"/>
  <c r="AY412" i="1"/>
  <c r="BE412" i="1" s="1"/>
  <c r="BN139" i="1"/>
  <c r="BX139" i="1" s="1"/>
  <c r="BK139" i="1"/>
  <c r="BN135" i="1"/>
  <c r="BX135" i="1" s="1"/>
  <c r="BK135" i="1"/>
  <c r="W169" i="1"/>
  <c r="BX169" i="1" s="1"/>
  <c r="BH133" i="1"/>
  <c r="W168" i="1"/>
  <c r="BX168" i="1" s="1"/>
  <c r="BH132" i="1"/>
  <c r="BH136" i="1"/>
  <c r="E50" i="1"/>
  <c r="E55" i="1" s="1"/>
  <c r="E60" i="1" s="1"/>
  <c r="AQ19" i="1"/>
  <c r="BH138" i="1"/>
  <c r="K81" i="1"/>
  <c r="H81" i="1" s="1"/>
  <c r="X81" i="1"/>
  <c r="AD81" i="1"/>
  <c r="AA81" i="1"/>
  <c r="AB10" i="1"/>
  <c r="AY21" i="1"/>
  <c r="BX182" i="1" l="1"/>
  <c r="S183" i="1"/>
  <c r="AW183" i="1" s="1"/>
  <c r="BN183" i="1" s="1"/>
  <c r="BX183" i="1" s="1"/>
  <c r="AS177" i="1"/>
  <c r="BH131" i="1"/>
  <c r="BK131" i="1" s="1"/>
  <c r="BA415" i="1"/>
  <c r="AY414" i="1" s="1"/>
  <c r="BE414" i="1" s="1"/>
  <c r="BG414" i="1"/>
  <c r="AU19" i="1"/>
  <c r="AY19" i="1" s="1"/>
  <c r="BC19" i="1" s="1"/>
  <c r="BG19" i="1" s="1"/>
  <c r="BK19" i="1" s="1"/>
  <c r="BH137" i="1"/>
  <c r="BN137" i="1" s="1"/>
  <c r="BX137" i="1" s="1"/>
  <c r="BN136" i="1"/>
  <c r="BX136" i="1" s="1"/>
  <c r="BK136" i="1"/>
  <c r="BN132" i="1"/>
  <c r="BX132" i="1" s="1"/>
  <c r="BK132" i="1"/>
  <c r="BN133" i="1"/>
  <c r="BX133" i="1" s="1"/>
  <c r="BK133" i="1"/>
  <c r="BN138" i="1"/>
  <c r="BX138" i="1" s="1"/>
  <c r="BK138" i="1"/>
  <c r="BH142" i="1"/>
  <c r="BH140" i="1"/>
  <c r="BX177" i="1" l="1"/>
  <c r="BX184" i="1" s="1"/>
  <c r="BX185" i="1" s="1"/>
  <c r="BX186" i="1" s="1"/>
  <c r="BN186" i="1"/>
  <c r="BN131" i="1"/>
  <c r="BX131" i="1" s="1"/>
  <c r="BN184" i="1"/>
  <c r="AY415" i="1"/>
  <c r="BE415" i="1" s="1"/>
  <c r="BG415" i="1"/>
  <c r="BA416" i="1"/>
  <c r="BK137" i="1"/>
  <c r="BN140" i="1"/>
  <c r="BX140" i="1" s="1"/>
  <c r="BK140" i="1"/>
  <c r="BN142" i="1"/>
  <c r="BX142" i="1" s="1"/>
  <c r="BK142" i="1"/>
  <c r="BN185" i="1" l="1"/>
  <c r="BN187" i="1"/>
  <c r="BG416" i="1"/>
  <c r="BA417" i="1"/>
  <c r="AY416" i="1" s="1"/>
  <c r="BE416" i="1" s="1"/>
  <c r="BX171" i="1"/>
  <c r="BX172" i="1" s="1"/>
  <c r="BX173" i="1" s="1"/>
  <c r="BX187" i="1" s="1"/>
  <c r="BN171" i="1"/>
  <c r="BN172" i="1" s="1"/>
  <c r="BG417" i="1" l="1"/>
  <c r="BA418" i="1"/>
  <c r="AY417" i="1" s="1"/>
  <c r="BE417" i="1" s="1"/>
  <c r="BN174" i="1"/>
  <c r="BG418" i="1" l="1"/>
  <c r="BA419" i="1"/>
  <c r="AY418" i="1" s="1"/>
  <c r="BE418" i="1" s="1"/>
  <c r="BG419" i="1" l="1"/>
  <c r="BA420" i="1"/>
  <c r="AY419" i="1" s="1"/>
  <c r="BE419" i="1" s="1"/>
  <c r="AY420" i="1" l="1"/>
  <c r="BE420" i="1" s="1"/>
  <c r="BA421" i="1"/>
  <c r="BG420" i="1"/>
  <c r="BG421" i="1" l="1"/>
  <c r="BA422" i="1"/>
  <c r="AY421" i="1" s="1"/>
  <c r="BE421" i="1" s="1"/>
  <c r="AY422" i="1" l="1"/>
  <c r="BE422" i="1" s="1"/>
  <c r="BA423" i="1"/>
  <c r="BG422" i="1"/>
  <c r="BA424" i="1" l="1"/>
  <c r="AY423" i="1"/>
  <c r="BE423" i="1" s="1"/>
  <c r="BG423" i="1"/>
  <c r="BA425" i="1" l="1"/>
  <c r="BG424" i="1"/>
  <c r="AY424" i="1"/>
  <c r="BE424" i="1" s="1"/>
  <c r="AY425" i="1" l="1"/>
  <c r="BE425" i="1" s="1"/>
  <c r="BE426" i="1" s="1"/>
  <c r="BH516" i="1" s="1"/>
  <c r="BG425" i="1"/>
  <c r="BG426" i="1" s="1"/>
  <c r="BH517" i="1" s="1"/>
  <c r="BN517" i="1" l="1"/>
  <c r="BX517" i="1" s="1"/>
  <c r="BK517" i="1"/>
  <c r="BK516" i="1"/>
  <c r="BN516" i="1"/>
  <c r="BX516" i="1" s="1"/>
  <c r="BX553" i="1" l="1"/>
  <c r="BX554" i="1" s="1"/>
  <c r="BX555" i="1" s="1"/>
  <c r="BX569" i="1" s="1"/>
  <c r="BN553" i="1"/>
  <c r="BN556" i="1" s="1"/>
  <c r="BN554" i="1" l="1"/>
  <c r="D645" i="1"/>
  <c r="D643" i="1" s="1"/>
  <c r="BU642" i="1" s="1"/>
  <c r="BH720" i="1" s="1"/>
  <c r="BN720" i="1" l="1"/>
  <c r="BK720" i="1"/>
  <c r="BX720" i="1" l="1"/>
  <c r="BX748" i="1" s="1"/>
  <c r="BX749" i="1" s="1"/>
  <c r="BX750" i="1" s="1"/>
  <c r="BX764" i="1" s="1"/>
  <c r="BN748" i="1"/>
  <c r="BN749" i="1" l="1"/>
  <c r="BN751"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<sst xmlns="http://schemas.openxmlformats.org/spreadsheetml/2006/main" count="4060" uniqueCount="576">
  <si>
    <t>m</t>
  </si>
  <si>
    <t>ad. *</t>
  </si>
  <si>
    <t>=</t>
  </si>
  <si>
    <t>PLAN</t>
  </si>
  <si>
    <t>a</t>
  </si>
  <si>
    <t>kesit a-a</t>
  </si>
  <si>
    <t>°</t>
  </si>
  <si>
    <t>merkezi düşey düzlem çapraz</t>
  </si>
  <si>
    <t>baş kuşak</t>
  </si>
  <si>
    <t>ara kuşak</t>
  </si>
  <si>
    <t>ara dikme</t>
  </si>
  <si>
    <t>kuşak</t>
  </si>
  <si>
    <t>kiriş</t>
  </si>
  <si>
    <t>kolon</t>
  </si>
  <si>
    <t>aşık</t>
  </si>
  <si>
    <t>gergi çubukları</t>
  </si>
  <si>
    <t>I profil</t>
  </si>
  <si>
    <t>profil</t>
  </si>
  <si>
    <r>
      <t xml:space="preserve">normal </t>
    </r>
    <r>
      <rPr>
        <b/>
        <sz val="8"/>
        <rFont val="Symbol"/>
        <family val="1"/>
        <charset val="2"/>
      </rPr>
      <t>I</t>
    </r>
    <r>
      <rPr>
        <b/>
        <sz val="8"/>
        <rFont val="Arial"/>
        <family val="2"/>
        <charset val="162"/>
      </rPr>
      <t xml:space="preserve"> profiller</t>
    </r>
  </si>
  <si>
    <r>
      <t xml:space="preserve">normal </t>
    </r>
    <r>
      <rPr>
        <sz val="8"/>
        <rFont val="Symbol"/>
        <family val="1"/>
        <charset val="2"/>
      </rPr>
      <t>I</t>
    </r>
    <r>
      <rPr>
        <sz val="8"/>
        <rFont val="Arial"/>
        <family val="2"/>
        <charset val="162"/>
      </rPr>
      <t xml:space="preserve"> 80</t>
    </r>
  </si>
  <si>
    <r>
      <t xml:space="preserve">normal </t>
    </r>
    <r>
      <rPr>
        <sz val="8"/>
        <rFont val="Symbol"/>
        <family val="1"/>
        <charset val="2"/>
      </rPr>
      <t>I</t>
    </r>
    <r>
      <rPr>
        <sz val="8"/>
        <rFont val="Arial"/>
        <family val="2"/>
        <charset val="162"/>
      </rPr>
      <t xml:space="preserve"> 100</t>
    </r>
  </si>
  <si>
    <r>
      <t xml:space="preserve">normal </t>
    </r>
    <r>
      <rPr>
        <sz val="8"/>
        <rFont val="Symbol"/>
        <family val="1"/>
        <charset val="2"/>
      </rPr>
      <t>I</t>
    </r>
    <r>
      <rPr>
        <sz val="8"/>
        <rFont val="Arial"/>
        <family val="2"/>
        <charset val="162"/>
      </rPr>
      <t xml:space="preserve"> 120</t>
    </r>
  </si>
  <si>
    <r>
      <t xml:space="preserve">normal </t>
    </r>
    <r>
      <rPr>
        <sz val="8"/>
        <rFont val="Symbol"/>
        <family val="1"/>
        <charset val="2"/>
      </rPr>
      <t>I</t>
    </r>
    <r>
      <rPr>
        <sz val="8"/>
        <rFont val="Arial"/>
        <family val="2"/>
        <charset val="162"/>
      </rPr>
      <t xml:space="preserve"> 140</t>
    </r>
  </si>
  <si>
    <r>
      <t xml:space="preserve">normal </t>
    </r>
    <r>
      <rPr>
        <sz val="8"/>
        <rFont val="Symbol"/>
        <family val="1"/>
        <charset val="2"/>
      </rPr>
      <t>I</t>
    </r>
    <r>
      <rPr>
        <sz val="8"/>
        <rFont val="Arial"/>
        <family val="2"/>
        <charset val="162"/>
      </rPr>
      <t xml:space="preserve"> 160</t>
    </r>
  </si>
  <si>
    <r>
      <t xml:space="preserve">normal </t>
    </r>
    <r>
      <rPr>
        <sz val="8"/>
        <rFont val="Symbol"/>
        <family val="1"/>
        <charset val="2"/>
      </rPr>
      <t>I</t>
    </r>
    <r>
      <rPr>
        <sz val="8"/>
        <rFont val="Arial"/>
        <family val="2"/>
        <charset val="162"/>
      </rPr>
      <t xml:space="preserve"> 180</t>
    </r>
  </si>
  <si>
    <r>
      <t xml:space="preserve">normal </t>
    </r>
    <r>
      <rPr>
        <sz val="8"/>
        <rFont val="Symbol"/>
        <family val="1"/>
        <charset val="2"/>
      </rPr>
      <t>I</t>
    </r>
    <r>
      <rPr>
        <sz val="8"/>
        <rFont val="Arial"/>
        <family val="2"/>
        <charset val="162"/>
      </rPr>
      <t xml:space="preserve"> 200</t>
    </r>
  </si>
  <si>
    <r>
      <t xml:space="preserve">normal </t>
    </r>
    <r>
      <rPr>
        <sz val="8"/>
        <rFont val="Symbol"/>
        <family val="1"/>
        <charset val="2"/>
      </rPr>
      <t>I</t>
    </r>
    <r>
      <rPr>
        <sz val="8"/>
        <rFont val="Arial"/>
        <family val="2"/>
        <charset val="162"/>
      </rPr>
      <t xml:space="preserve"> 220</t>
    </r>
  </si>
  <si>
    <r>
      <t xml:space="preserve">normal </t>
    </r>
    <r>
      <rPr>
        <sz val="8"/>
        <rFont val="Symbol"/>
        <family val="1"/>
        <charset val="2"/>
      </rPr>
      <t>I</t>
    </r>
    <r>
      <rPr>
        <sz val="8"/>
        <rFont val="Arial"/>
        <family val="2"/>
        <charset val="162"/>
      </rPr>
      <t xml:space="preserve"> 240</t>
    </r>
  </si>
  <si>
    <r>
      <t xml:space="preserve">normal </t>
    </r>
    <r>
      <rPr>
        <sz val="8"/>
        <rFont val="Symbol"/>
        <family val="1"/>
        <charset val="2"/>
      </rPr>
      <t>I</t>
    </r>
    <r>
      <rPr>
        <sz val="8"/>
        <rFont val="Arial"/>
        <family val="2"/>
        <charset val="162"/>
      </rPr>
      <t xml:space="preserve"> 260</t>
    </r>
  </si>
  <si>
    <r>
      <t xml:space="preserve">normal </t>
    </r>
    <r>
      <rPr>
        <sz val="8"/>
        <rFont val="Symbol"/>
        <family val="1"/>
        <charset val="2"/>
      </rPr>
      <t>I</t>
    </r>
    <r>
      <rPr>
        <sz val="8"/>
        <rFont val="Arial"/>
        <family val="2"/>
        <charset val="162"/>
      </rPr>
      <t xml:space="preserve"> 280</t>
    </r>
  </si>
  <si>
    <r>
      <t xml:space="preserve">normal </t>
    </r>
    <r>
      <rPr>
        <sz val="8"/>
        <rFont val="Symbol"/>
        <family val="1"/>
        <charset val="2"/>
      </rPr>
      <t>I</t>
    </r>
    <r>
      <rPr>
        <sz val="8"/>
        <rFont val="Arial"/>
        <family val="2"/>
        <charset val="162"/>
      </rPr>
      <t xml:space="preserve"> 300</t>
    </r>
  </si>
  <si>
    <r>
      <t xml:space="preserve">normal </t>
    </r>
    <r>
      <rPr>
        <sz val="8"/>
        <rFont val="Symbol"/>
        <family val="1"/>
        <charset val="2"/>
      </rPr>
      <t>I</t>
    </r>
    <r>
      <rPr>
        <sz val="8"/>
        <rFont val="Arial"/>
        <family val="2"/>
        <charset val="162"/>
      </rPr>
      <t xml:space="preserve"> 320</t>
    </r>
  </si>
  <si>
    <r>
      <t xml:space="preserve">normal </t>
    </r>
    <r>
      <rPr>
        <sz val="8"/>
        <rFont val="Symbol"/>
        <family val="1"/>
        <charset val="2"/>
      </rPr>
      <t>I</t>
    </r>
    <r>
      <rPr>
        <sz val="8"/>
        <rFont val="Arial"/>
        <family val="2"/>
        <charset val="162"/>
      </rPr>
      <t xml:space="preserve"> 340</t>
    </r>
  </si>
  <si>
    <r>
      <t xml:space="preserve">normal </t>
    </r>
    <r>
      <rPr>
        <sz val="8"/>
        <rFont val="Symbol"/>
        <family val="1"/>
        <charset val="2"/>
      </rPr>
      <t>I</t>
    </r>
    <r>
      <rPr>
        <sz val="8"/>
        <rFont val="Arial"/>
        <family val="2"/>
        <charset val="162"/>
      </rPr>
      <t xml:space="preserve"> 360</t>
    </r>
  </si>
  <si>
    <r>
      <t xml:space="preserve">normal </t>
    </r>
    <r>
      <rPr>
        <sz val="8"/>
        <rFont val="Symbol"/>
        <family val="1"/>
        <charset val="2"/>
      </rPr>
      <t>I</t>
    </r>
    <r>
      <rPr>
        <sz val="8"/>
        <rFont val="Arial"/>
        <family val="2"/>
        <charset val="162"/>
      </rPr>
      <t xml:space="preserve"> 380</t>
    </r>
  </si>
  <si>
    <r>
      <t xml:space="preserve">normal </t>
    </r>
    <r>
      <rPr>
        <sz val="8"/>
        <rFont val="Symbol"/>
        <family val="1"/>
        <charset val="2"/>
      </rPr>
      <t>I</t>
    </r>
    <r>
      <rPr>
        <sz val="8"/>
        <rFont val="Arial"/>
        <family val="2"/>
        <charset val="162"/>
      </rPr>
      <t xml:space="preserve"> 400</t>
    </r>
  </si>
  <si>
    <r>
      <t xml:space="preserve">normal </t>
    </r>
    <r>
      <rPr>
        <sz val="8"/>
        <rFont val="Symbol"/>
        <family val="1"/>
        <charset val="2"/>
      </rPr>
      <t>I</t>
    </r>
    <r>
      <rPr>
        <sz val="8"/>
        <rFont val="Arial"/>
        <family val="2"/>
        <charset val="162"/>
      </rPr>
      <t xml:space="preserve"> 425</t>
    </r>
  </si>
  <si>
    <r>
      <t xml:space="preserve">normal </t>
    </r>
    <r>
      <rPr>
        <sz val="8"/>
        <rFont val="Symbol"/>
        <family val="1"/>
        <charset val="2"/>
      </rPr>
      <t>I</t>
    </r>
    <r>
      <rPr>
        <sz val="8"/>
        <rFont val="Arial"/>
        <family val="2"/>
        <charset val="162"/>
      </rPr>
      <t xml:space="preserve"> 450</t>
    </r>
  </si>
  <si>
    <r>
      <t xml:space="preserve">normal </t>
    </r>
    <r>
      <rPr>
        <sz val="8"/>
        <rFont val="Symbol"/>
        <family val="1"/>
        <charset val="2"/>
      </rPr>
      <t>I</t>
    </r>
    <r>
      <rPr>
        <sz val="8"/>
        <rFont val="Arial"/>
        <family val="2"/>
        <charset val="162"/>
      </rPr>
      <t xml:space="preserve"> 475</t>
    </r>
  </si>
  <si>
    <r>
      <t xml:space="preserve">normal </t>
    </r>
    <r>
      <rPr>
        <sz val="8"/>
        <rFont val="Symbol"/>
        <family val="1"/>
        <charset val="2"/>
      </rPr>
      <t>I</t>
    </r>
    <r>
      <rPr>
        <sz val="8"/>
        <rFont val="Arial"/>
        <family val="2"/>
        <charset val="162"/>
      </rPr>
      <t xml:space="preserve"> 500</t>
    </r>
  </si>
  <si>
    <r>
      <t xml:space="preserve">normal </t>
    </r>
    <r>
      <rPr>
        <sz val="8"/>
        <rFont val="Symbol"/>
        <family val="1"/>
        <charset val="2"/>
      </rPr>
      <t>I</t>
    </r>
    <r>
      <rPr>
        <sz val="8"/>
        <rFont val="Arial"/>
        <family val="2"/>
        <charset val="162"/>
      </rPr>
      <t xml:space="preserve"> 550</t>
    </r>
  </si>
  <si>
    <r>
      <t xml:space="preserve">normal </t>
    </r>
    <r>
      <rPr>
        <sz val="8"/>
        <rFont val="Symbol"/>
        <family val="1"/>
        <charset val="2"/>
      </rPr>
      <t>I</t>
    </r>
    <r>
      <rPr>
        <sz val="8"/>
        <rFont val="Arial"/>
        <family val="2"/>
        <charset val="162"/>
      </rPr>
      <t xml:space="preserve"> 600</t>
    </r>
  </si>
  <si>
    <r>
      <t>I</t>
    </r>
    <r>
      <rPr>
        <b/>
        <sz val="8"/>
        <rFont val="Arial"/>
        <family val="2"/>
        <charset val="162"/>
      </rPr>
      <t>PE profiller</t>
    </r>
  </si>
  <si>
    <r>
      <t>I</t>
    </r>
    <r>
      <rPr>
        <sz val="8"/>
        <rFont val="Arial"/>
        <family val="2"/>
        <charset val="162"/>
      </rPr>
      <t>PE 80</t>
    </r>
  </si>
  <si>
    <r>
      <t>I</t>
    </r>
    <r>
      <rPr>
        <sz val="8"/>
        <rFont val="Arial"/>
        <family val="2"/>
        <charset val="162"/>
      </rPr>
      <t>PE 100</t>
    </r>
  </si>
  <si>
    <r>
      <t>I</t>
    </r>
    <r>
      <rPr>
        <sz val="8"/>
        <rFont val="Arial"/>
        <family val="2"/>
        <charset val="162"/>
      </rPr>
      <t>PE 120</t>
    </r>
  </si>
  <si>
    <r>
      <t>I</t>
    </r>
    <r>
      <rPr>
        <sz val="8"/>
        <rFont val="Arial"/>
        <family val="2"/>
        <charset val="162"/>
      </rPr>
      <t>PE 140</t>
    </r>
  </si>
  <si>
    <r>
      <t>I</t>
    </r>
    <r>
      <rPr>
        <sz val="8"/>
        <rFont val="Arial"/>
        <family val="2"/>
        <charset val="162"/>
      </rPr>
      <t>PE 160</t>
    </r>
  </si>
  <si>
    <r>
      <t>I</t>
    </r>
    <r>
      <rPr>
        <sz val="8"/>
        <rFont val="Arial"/>
        <family val="2"/>
        <charset val="162"/>
      </rPr>
      <t>PE 180</t>
    </r>
  </si>
  <si>
    <r>
      <t>I</t>
    </r>
    <r>
      <rPr>
        <sz val="8"/>
        <rFont val="Arial"/>
        <family val="2"/>
        <charset val="162"/>
      </rPr>
      <t>PE 200</t>
    </r>
  </si>
  <si>
    <r>
      <t>I</t>
    </r>
    <r>
      <rPr>
        <sz val="8"/>
        <rFont val="Arial"/>
        <family val="2"/>
        <charset val="162"/>
      </rPr>
      <t>PE 220</t>
    </r>
  </si>
  <si>
    <r>
      <t>I</t>
    </r>
    <r>
      <rPr>
        <sz val="8"/>
        <rFont val="Arial"/>
        <family val="2"/>
        <charset val="162"/>
      </rPr>
      <t>PE 240</t>
    </r>
  </si>
  <si>
    <r>
      <t>I</t>
    </r>
    <r>
      <rPr>
        <sz val="8"/>
        <rFont val="Arial"/>
        <family val="2"/>
        <charset val="162"/>
      </rPr>
      <t>PE 270</t>
    </r>
  </si>
  <si>
    <r>
      <t>I</t>
    </r>
    <r>
      <rPr>
        <sz val="8"/>
        <rFont val="Arial"/>
        <family val="2"/>
        <charset val="162"/>
      </rPr>
      <t>PE 300</t>
    </r>
  </si>
  <si>
    <r>
      <t>I</t>
    </r>
    <r>
      <rPr>
        <sz val="8"/>
        <rFont val="Arial"/>
        <family val="2"/>
        <charset val="162"/>
      </rPr>
      <t>PE 330</t>
    </r>
  </si>
  <si>
    <r>
      <t>I</t>
    </r>
    <r>
      <rPr>
        <sz val="8"/>
        <rFont val="Arial"/>
        <family val="2"/>
        <charset val="162"/>
      </rPr>
      <t>PE 360</t>
    </r>
  </si>
  <si>
    <r>
      <t>I</t>
    </r>
    <r>
      <rPr>
        <sz val="8"/>
        <rFont val="Arial"/>
        <family val="2"/>
        <charset val="162"/>
      </rPr>
      <t>PE 400</t>
    </r>
  </si>
  <si>
    <r>
      <t>I</t>
    </r>
    <r>
      <rPr>
        <sz val="8"/>
        <rFont val="Arial"/>
        <family val="2"/>
        <charset val="162"/>
      </rPr>
      <t>PE 450</t>
    </r>
  </si>
  <si>
    <r>
      <t>I</t>
    </r>
    <r>
      <rPr>
        <sz val="8"/>
        <rFont val="Arial"/>
        <family val="2"/>
        <charset val="162"/>
      </rPr>
      <t>PE 500</t>
    </r>
  </si>
  <si>
    <r>
      <t>I</t>
    </r>
    <r>
      <rPr>
        <sz val="8"/>
        <rFont val="Arial"/>
        <family val="2"/>
        <charset val="162"/>
      </rPr>
      <t>PE 550</t>
    </r>
  </si>
  <si>
    <r>
      <t>I</t>
    </r>
    <r>
      <rPr>
        <sz val="8"/>
        <rFont val="Arial"/>
        <family val="2"/>
        <charset val="162"/>
      </rPr>
      <t>PE 600</t>
    </r>
  </si>
  <si>
    <r>
      <t>I</t>
    </r>
    <r>
      <rPr>
        <b/>
        <sz val="8"/>
        <rFont val="Arial"/>
        <family val="2"/>
        <charset val="162"/>
      </rPr>
      <t>PBL (HE-A) profiller</t>
    </r>
  </si>
  <si>
    <r>
      <t>I</t>
    </r>
    <r>
      <rPr>
        <sz val="8"/>
        <rFont val="Arial"/>
        <family val="2"/>
        <charset val="162"/>
      </rPr>
      <t>PBL (HE-A) 100</t>
    </r>
  </si>
  <si>
    <r>
      <t>I</t>
    </r>
    <r>
      <rPr>
        <sz val="8"/>
        <rFont val="Arial"/>
        <family val="2"/>
        <charset val="162"/>
      </rPr>
      <t>PBL (HE-A) 120</t>
    </r>
  </si>
  <si>
    <r>
      <t>I</t>
    </r>
    <r>
      <rPr>
        <sz val="8"/>
        <rFont val="Arial"/>
        <family val="2"/>
        <charset val="162"/>
      </rPr>
      <t>PBL (HE-A) 140</t>
    </r>
  </si>
  <si>
    <r>
      <t>I</t>
    </r>
    <r>
      <rPr>
        <sz val="8"/>
        <rFont val="Arial"/>
        <family val="2"/>
        <charset val="162"/>
      </rPr>
      <t>PBL (HE-A) 160</t>
    </r>
  </si>
  <si>
    <r>
      <t>I</t>
    </r>
    <r>
      <rPr>
        <sz val="8"/>
        <rFont val="Arial"/>
        <family val="2"/>
        <charset val="162"/>
      </rPr>
      <t>PBL (HE-A) 180</t>
    </r>
  </si>
  <si>
    <r>
      <t>I</t>
    </r>
    <r>
      <rPr>
        <sz val="8"/>
        <rFont val="Arial"/>
        <family val="2"/>
        <charset val="162"/>
      </rPr>
      <t>PBL (HE-A) 200</t>
    </r>
  </si>
  <si>
    <r>
      <t>I</t>
    </r>
    <r>
      <rPr>
        <sz val="8"/>
        <rFont val="Arial"/>
        <family val="2"/>
        <charset val="162"/>
      </rPr>
      <t>PBL (HE-A) 220</t>
    </r>
  </si>
  <si>
    <r>
      <t>I</t>
    </r>
    <r>
      <rPr>
        <sz val="8"/>
        <rFont val="Arial"/>
        <family val="2"/>
        <charset val="162"/>
      </rPr>
      <t>PBL (HE-A) 240</t>
    </r>
  </si>
  <si>
    <r>
      <t>I</t>
    </r>
    <r>
      <rPr>
        <sz val="8"/>
        <rFont val="Arial"/>
        <family val="2"/>
        <charset val="162"/>
      </rPr>
      <t>PBL (HE-A) 260</t>
    </r>
  </si>
  <si>
    <r>
      <t>I</t>
    </r>
    <r>
      <rPr>
        <sz val="8"/>
        <rFont val="Arial"/>
        <family val="2"/>
        <charset val="162"/>
      </rPr>
      <t>PBL (HE-A) 280</t>
    </r>
  </si>
  <si>
    <r>
      <t>I</t>
    </r>
    <r>
      <rPr>
        <sz val="8"/>
        <rFont val="Arial"/>
        <family val="2"/>
        <charset val="162"/>
      </rPr>
      <t>PBL (HE-A) 300</t>
    </r>
  </si>
  <si>
    <r>
      <t>I</t>
    </r>
    <r>
      <rPr>
        <sz val="8"/>
        <rFont val="Arial"/>
        <family val="2"/>
        <charset val="162"/>
      </rPr>
      <t>PBL (HE-A) 320</t>
    </r>
  </si>
  <si>
    <r>
      <t>I</t>
    </r>
    <r>
      <rPr>
        <sz val="8"/>
        <rFont val="Arial"/>
        <family val="2"/>
        <charset val="162"/>
      </rPr>
      <t>PBL (HE-A) 340</t>
    </r>
  </si>
  <si>
    <r>
      <t>I</t>
    </r>
    <r>
      <rPr>
        <sz val="8"/>
        <rFont val="Arial"/>
        <family val="2"/>
        <charset val="162"/>
      </rPr>
      <t>PBL (HE-A) 360</t>
    </r>
  </si>
  <si>
    <r>
      <t>I</t>
    </r>
    <r>
      <rPr>
        <sz val="8"/>
        <rFont val="Arial"/>
        <family val="2"/>
        <charset val="162"/>
      </rPr>
      <t>PBL (HE-A) 400</t>
    </r>
  </si>
  <si>
    <r>
      <t>I</t>
    </r>
    <r>
      <rPr>
        <sz val="8"/>
        <rFont val="Arial"/>
        <family val="2"/>
        <charset val="162"/>
      </rPr>
      <t>PBL (HE-A) 450</t>
    </r>
  </si>
  <si>
    <r>
      <t>I</t>
    </r>
    <r>
      <rPr>
        <sz val="8"/>
        <rFont val="Arial"/>
        <family val="2"/>
        <charset val="162"/>
      </rPr>
      <t>PBL (HE-A) 500</t>
    </r>
  </si>
  <si>
    <r>
      <t>I</t>
    </r>
    <r>
      <rPr>
        <sz val="8"/>
        <rFont val="Arial"/>
        <family val="2"/>
        <charset val="162"/>
      </rPr>
      <t>PBL (HE-A) 550</t>
    </r>
  </si>
  <si>
    <r>
      <t>I</t>
    </r>
    <r>
      <rPr>
        <sz val="8"/>
        <rFont val="Arial"/>
        <family val="2"/>
        <charset val="162"/>
      </rPr>
      <t>PBL (HE-A) 600</t>
    </r>
  </si>
  <si>
    <r>
      <t>I</t>
    </r>
    <r>
      <rPr>
        <sz val="8"/>
        <rFont val="Arial"/>
        <family val="2"/>
        <charset val="162"/>
      </rPr>
      <t>PBL (HE-A) 650</t>
    </r>
  </si>
  <si>
    <r>
      <t>I</t>
    </r>
    <r>
      <rPr>
        <sz val="8"/>
        <rFont val="Arial"/>
        <family val="2"/>
        <charset val="162"/>
      </rPr>
      <t>PBL (HE-A) 700</t>
    </r>
  </si>
  <si>
    <r>
      <t>I</t>
    </r>
    <r>
      <rPr>
        <sz val="8"/>
        <rFont val="Arial"/>
        <family val="2"/>
        <charset val="162"/>
      </rPr>
      <t>PBL (HE-A) 800</t>
    </r>
  </si>
  <si>
    <r>
      <t>I</t>
    </r>
    <r>
      <rPr>
        <sz val="8"/>
        <rFont val="Arial"/>
        <family val="2"/>
        <charset val="162"/>
      </rPr>
      <t>PBL (HE-A) 900</t>
    </r>
  </si>
  <si>
    <r>
      <t>I</t>
    </r>
    <r>
      <rPr>
        <sz val="8"/>
        <rFont val="Arial"/>
        <family val="2"/>
        <charset val="162"/>
      </rPr>
      <t>PBL (HE-A) 1000</t>
    </r>
  </si>
  <si>
    <r>
      <t>I</t>
    </r>
    <r>
      <rPr>
        <b/>
        <sz val="8"/>
        <rFont val="Arial"/>
        <family val="2"/>
        <charset val="162"/>
      </rPr>
      <t>PB (HE-B) profiller</t>
    </r>
  </si>
  <si>
    <r>
      <t>I</t>
    </r>
    <r>
      <rPr>
        <sz val="8"/>
        <rFont val="Arial"/>
        <family val="2"/>
        <charset val="162"/>
      </rPr>
      <t>PB (HE-B) 100</t>
    </r>
  </si>
  <si>
    <r>
      <t>I</t>
    </r>
    <r>
      <rPr>
        <sz val="8"/>
        <rFont val="Arial"/>
        <family val="2"/>
        <charset val="162"/>
      </rPr>
      <t>PB (HE-B) 120</t>
    </r>
  </si>
  <si>
    <r>
      <t>I</t>
    </r>
    <r>
      <rPr>
        <sz val="8"/>
        <rFont val="Arial"/>
        <family val="2"/>
        <charset val="162"/>
      </rPr>
      <t>PB (HE-B) 140</t>
    </r>
  </si>
  <si>
    <r>
      <t>I</t>
    </r>
    <r>
      <rPr>
        <sz val="8"/>
        <rFont val="Arial"/>
        <family val="2"/>
        <charset val="162"/>
      </rPr>
      <t>PB (HE-B) 160</t>
    </r>
  </si>
  <si>
    <r>
      <t>I</t>
    </r>
    <r>
      <rPr>
        <sz val="8"/>
        <rFont val="Arial"/>
        <family val="2"/>
        <charset val="162"/>
      </rPr>
      <t>PB (HE-B) 180</t>
    </r>
  </si>
  <si>
    <r>
      <t>I</t>
    </r>
    <r>
      <rPr>
        <sz val="8"/>
        <rFont val="Arial"/>
        <family val="2"/>
        <charset val="162"/>
      </rPr>
      <t>PB (HE-B) 200</t>
    </r>
  </si>
  <si>
    <r>
      <t>I</t>
    </r>
    <r>
      <rPr>
        <sz val="8"/>
        <rFont val="Arial"/>
        <family val="2"/>
        <charset val="162"/>
      </rPr>
      <t>PB (HE-B) 220</t>
    </r>
  </si>
  <si>
    <r>
      <t>I</t>
    </r>
    <r>
      <rPr>
        <sz val="8"/>
        <rFont val="Arial"/>
        <family val="2"/>
        <charset val="162"/>
      </rPr>
      <t>PB (HE-B) 240</t>
    </r>
  </si>
  <si>
    <r>
      <t>I</t>
    </r>
    <r>
      <rPr>
        <sz val="8"/>
        <rFont val="Arial"/>
        <family val="2"/>
        <charset val="162"/>
      </rPr>
      <t>PB (HE-B) 260</t>
    </r>
  </si>
  <si>
    <r>
      <t>I</t>
    </r>
    <r>
      <rPr>
        <sz val="8"/>
        <rFont val="Arial"/>
        <family val="2"/>
        <charset val="162"/>
      </rPr>
      <t>PB (HE-B) 280</t>
    </r>
  </si>
  <si>
    <r>
      <t>I</t>
    </r>
    <r>
      <rPr>
        <sz val="8"/>
        <rFont val="Arial"/>
        <family val="2"/>
        <charset val="162"/>
      </rPr>
      <t>PB (HE-B) 300</t>
    </r>
  </si>
  <si>
    <r>
      <t>I</t>
    </r>
    <r>
      <rPr>
        <sz val="8"/>
        <rFont val="Arial"/>
        <family val="2"/>
        <charset val="162"/>
      </rPr>
      <t>PB (HE-B) 320</t>
    </r>
  </si>
  <si>
    <r>
      <t>I</t>
    </r>
    <r>
      <rPr>
        <sz val="8"/>
        <rFont val="Arial"/>
        <family val="2"/>
        <charset val="162"/>
      </rPr>
      <t>PB (HE-B) 340</t>
    </r>
  </si>
  <si>
    <r>
      <t>I</t>
    </r>
    <r>
      <rPr>
        <sz val="8"/>
        <rFont val="Arial"/>
        <family val="2"/>
        <charset val="162"/>
      </rPr>
      <t>PB (HE-B) 360</t>
    </r>
  </si>
  <si>
    <r>
      <t>I</t>
    </r>
    <r>
      <rPr>
        <sz val="8"/>
        <rFont val="Arial"/>
        <family val="2"/>
        <charset val="162"/>
      </rPr>
      <t>PB (HE-B) 400</t>
    </r>
  </si>
  <si>
    <r>
      <t>I</t>
    </r>
    <r>
      <rPr>
        <sz val="8"/>
        <rFont val="Arial"/>
        <family val="2"/>
        <charset val="162"/>
      </rPr>
      <t>PB (HE-B) 450</t>
    </r>
  </si>
  <si>
    <r>
      <t>I</t>
    </r>
    <r>
      <rPr>
        <sz val="8"/>
        <rFont val="Arial"/>
        <family val="2"/>
        <charset val="162"/>
      </rPr>
      <t>PB (HE-B) 500</t>
    </r>
  </si>
  <si>
    <r>
      <t>I</t>
    </r>
    <r>
      <rPr>
        <sz val="8"/>
        <rFont val="Arial"/>
        <family val="2"/>
        <charset val="162"/>
      </rPr>
      <t>PB (HE-B) 550</t>
    </r>
  </si>
  <si>
    <r>
      <t>I</t>
    </r>
    <r>
      <rPr>
        <sz val="8"/>
        <rFont val="Arial"/>
        <family val="2"/>
        <charset val="162"/>
      </rPr>
      <t>PB (HE-B) 600</t>
    </r>
  </si>
  <si>
    <r>
      <t>I</t>
    </r>
    <r>
      <rPr>
        <sz val="8"/>
        <rFont val="Arial"/>
        <family val="2"/>
        <charset val="162"/>
      </rPr>
      <t>PB (HE-B) 650</t>
    </r>
  </si>
  <si>
    <r>
      <t>I</t>
    </r>
    <r>
      <rPr>
        <sz val="8"/>
        <rFont val="Arial"/>
        <family val="2"/>
        <charset val="162"/>
      </rPr>
      <t>PB (HE-B) 700</t>
    </r>
  </si>
  <si>
    <r>
      <t>I</t>
    </r>
    <r>
      <rPr>
        <sz val="8"/>
        <rFont val="Arial"/>
        <family val="2"/>
        <charset val="162"/>
      </rPr>
      <t>PB (HE-B) 800</t>
    </r>
  </si>
  <si>
    <r>
      <t>I</t>
    </r>
    <r>
      <rPr>
        <sz val="8"/>
        <rFont val="Arial"/>
        <family val="2"/>
        <charset val="162"/>
      </rPr>
      <t>PB (HE-B) 900</t>
    </r>
  </si>
  <si>
    <r>
      <t>I</t>
    </r>
    <r>
      <rPr>
        <sz val="8"/>
        <rFont val="Arial"/>
        <family val="2"/>
        <charset val="162"/>
      </rPr>
      <t>PB (HE-B) 1000</t>
    </r>
  </si>
  <si>
    <r>
      <t>I</t>
    </r>
    <r>
      <rPr>
        <b/>
        <sz val="8"/>
        <rFont val="Arial"/>
        <family val="2"/>
        <charset val="162"/>
      </rPr>
      <t>PBv (HE-M) profiller</t>
    </r>
  </si>
  <si>
    <r>
      <t>I</t>
    </r>
    <r>
      <rPr>
        <sz val="8"/>
        <rFont val="Arial"/>
        <family val="2"/>
        <charset val="162"/>
      </rPr>
      <t>PBv (HE-M) 100</t>
    </r>
  </si>
  <si>
    <r>
      <t>I</t>
    </r>
    <r>
      <rPr>
        <sz val="8"/>
        <rFont val="Arial"/>
        <family val="2"/>
        <charset val="162"/>
      </rPr>
      <t>PBv (HE-M) 120</t>
    </r>
  </si>
  <si>
    <r>
      <t>I</t>
    </r>
    <r>
      <rPr>
        <sz val="8"/>
        <rFont val="Arial"/>
        <family val="2"/>
        <charset val="162"/>
      </rPr>
      <t>PBv (HE-M) 140</t>
    </r>
  </si>
  <si>
    <r>
      <t>I</t>
    </r>
    <r>
      <rPr>
        <sz val="8"/>
        <rFont val="Arial"/>
        <family val="2"/>
        <charset val="162"/>
      </rPr>
      <t>PBv (HE-M) 160</t>
    </r>
  </si>
  <si>
    <r>
      <t>I</t>
    </r>
    <r>
      <rPr>
        <sz val="8"/>
        <rFont val="Arial"/>
        <family val="2"/>
        <charset val="162"/>
      </rPr>
      <t>PBv (HE-M) 180</t>
    </r>
  </si>
  <si>
    <r>
      <t>I</t>
    </r>
    <r>
      <rPr>
        <sz val="8"/>
        <rFont val="Arial"/>
        <family val="2"/>
        <charset val="162"/>
      </rPr>
      <t>PBv (HE-M) 200</t>
    </r>
  </si>
  <si>
    <r>
      <t>I</t>
    </r>
    <r>
      <rPr>
        <sz val="8"/>
        <rFont val="Arial"/>
        <family val="2"/>
        <charset val="162"/>
      </rPr>
      <t>PBv (HE-M) 220</t>
    </r>
  </si>
  <si>
    <r>
      <t>I</t>
    </r>
    <r>
      <rPr>
        <sz val="8"/>
        <rFont val="Arial"/>
        <family val="2"/>
        <charset val="162"/>
      </rPr>
      <t>PBv (HE-M) 240</t>
    </r>
  </si>
  <si>
    <r>
      <t>I</t>
    </r>
    <r>
      <rPr>
        <sz val="8"/>
        <rFont val="Arial"/>
        <family val="2"/>
        <charset val="162"/>
      </rPr>
      <t>PBv (HE-M) 260</t>
    </r>
  </si>
  <si>
    <r>
      <t>I</t>
    </r>
    <r>
      <rPr>
        <sz val="8"/>
        <rFont val="Arial"/>
        <family val="2"/>
        <charset val="162"/>
      </rPr>
      <t>PBv (HE-M) 280</t>
    </r>
  </si>
  <si>
    <r>
      <t>I</t>
    </r>
    <r>
      <rPr>
        <sz val="8"/>
        <rFont val="Arial"/>
        <family val="2"/>
        <charset val="162"/>
      </rPr>
      <t>PBv (HE-M) 300</t>
    </r>
  </si>
  <si>
    <r>
      <t>I</t>
    </r>
    <r>
      <rPr>
        <sz val="8"/>
        <rFont val="Arial"/>
        <family val="2"/>
        <charset val="162"/>
      </rPr>
      <t>PBv (HE-M) 320/305</t>
    </r>
  </si>
  <si>
    <r>
      <t>I</t>
    </r>
    <r>
      <rPr>
        <sz val="8"/>
        <rFont val="Arial"/>
        <family val="2"/>
        <charset val="162"/>
      </rPr>
      <t>PBv (HE-M) 320</t>
    </r>
  </si>
  <si>
    <r>
      <t>I</t>
    </r>
    <r>
      <rPr>
        <sz val="8"/>
        <rFont val="Arial"/>
        <family val="2"/>
        <charset val="162"/>
      </rPr>
      <t>PBv (HE-M) 340</t>
    </r>
  </si>
  <si>
    <r>
      <t>I</t>
    </r>
    <r>
      <rPr>
        <sz val="8"/>
        <rFont val="Arial"/>
        <family val="2"/>
        <charset val="162"/>
      </rPr>
      <t>PBv (HE-M) 360</t>
    </r>
  </si>
  <si>
    <r>
      <t>I</t>
    </r>
    <r>
      <rPr>
        <sz val="8"/>
        <rFont val="Arial"/>
        <family val="2"/>
        <charset val="162"/>
      </rPr>
      <t>PBv (HE-M) 400</t>
    </r>
  </si>
  <si>
    <r>
      <t>I</t>
    </r>
    <r>
      <rPr>
        <sz val="8"/>
        <rFont val="Arial"/>
        <family val="2"/>
        <charset val="162"/>
      </rPr>
      <t>PBv (HE-M) 450</t>
    </r>
  </si>
  <si>
    <r>
      <t>I</t>
    </r>
    <r>
      <rPr>
        <sz val="8"/>
        <rFont val="Arial"/>
        <family val="2"/>
        <charset val="162"/>
      </rPr>
      <t>PBv (HE-M) 500</t>
    </r>
  </si>
  <si>
    <r>
      <t>I</t>
    </r>
    <r>
      <rPr>
        <sz val="8"/>
        <rFont val="Arial"/>
        <family val="2"/>
        <charset val="162"/>
      </rPr>
      <t>PBv (HE-M) 550</t>
    </r>
  </si>
  <si>
    <r>
      <t>I</t>
    </r>
    <r>
      <rPr>
        <sz val="8"/>
        <rFont val="Arial"/>
        <family val="2"/>
        <charset val="162"/>
      </rPr>
      <t>PBv (HE-M) 600</t>
    </r>
  </si>
  <si>
    <r>
      <t>I</t>
    </r>
    <r>
      <rPr>
        <sz val="8"/>
        <rFont val="Arial"/>
        <family val="2"/>
        <charset val="162"/>
      </rPr>
      <t>PBv (HE-M) 650</t>
    </r>
  </si>
  <si>
    <r>
      <t>I</t>
    </r>
    <r>
      <rPr>
        <sz val="8"/>
        <rFont val="Arial"/>
        <family val="2"/>
        <charset val="162"/>
      </rPr>
      <t>PBv (HE-M) 700</t>
    </r>
  </si>
  <si>
    <r>
      <t>I</t>
    </r>
    <r>
      <rPr>
        <sz val="8"/>
        <rFont val="Arial"/>
        <family val="2"/>
        <charset val="162"/>
      </rPr>
      <t>PBv (HE-M) 800</t>
    </r>
  </si>
  <si>
    <r>
      <t>I</t>
    </r>
    <r>
      <rPr>
        <sz val="8"/>
        <rFont val="Arial"/>
        <family val="2"/>
        <charset val="162"/>
      </rPr>
      <t>PBv (HE-M) 900</t>
    </r>
  </si>
  <si>
    <r>
      <t>I</t>
    </r>
    <r>
      <rPr>
        <sz val="8"/>
        <rFont val="Arial"/>
        <family val="2"/>
        <charset val="162"/>
      </rPr>
      <t>PBv (HE-M) 1000</t>
    </r>
  </si>
  <si>
    <t>YENİ</t>
  </si>
  <si>
    <t>G (kg/m.)</t>
  </si>
  <si>
    <t>L.20.3</t>
  </si>
  <si>
    <t>L.20.4</t>
  </si>
  <si>
    <t>L.25.3</t>
  </si>
  <si>
    <t>L.25.4</t>
  </si>
  <si>
    <t>L.25.5</t>
  </si>
  <si>
    <t>L.30.3</t>
  </si>
  <si>
    <t>L.30.4</t>
  </si>
  <si>
    <t>L.30.5</t>
  </si>
  <si>
    <t>L.35.3</t>
  </si>
  <si>
    <t>L.35.4</t>
  </si>
  <si>
    <t>L.35.5</t>
  </si>
  <si>
    <t>L.35.6</t>
  </si>
  <si>
    <t>L.40.3</t>
  </si>
  <si>
    <t>L.40.4</t>
  </si>
  <si>
    <t>L.40.5</t>
  </si>
  <si>
    <t>L.40.6</t>
  </si>
  <si>
    <t>L.45.4</t>
  </si>
  <si>
    <t>L.45.5</t>
  </si>
  <si>
    <t>L.45.6</t>
  </si>
  <si>
    <t>L.45.7</t>
  </si>
  <si>
    <t>L.50.4</t>
  </si>
  <si>
    <t>L.50.5</t>
  </si>
  <si>
    <t>L.50.6</t>
  </si>
  <si>
    <t>L.50.7</t>
  </si>
  <si>
    <t>L.50.8</t>
  </si>
  <si>
    <t>L.50.9</t>
  </si>
  <si>
    <t>L.55.5</t>
  </si>
  <si>
    <t>L.55.6</t>
  </si>
  <si>
    <t>L.55.8</t>
  </si>
  <si>
    <t>L.55.10</t>
  </si>
  <si>
    <t>L.60.5</t>
  </si>
  <si>
    <t>L.60.6</t>
  </si>
  <si>
    <t>L.60.8</t>
  </si>
  <si>
    <t>L.60.10</t>
  </si>
  <si>
    <t>L.65.6</t>
  </si>
  <si>
    <t>L.65.7</t>
  </si>
  <si>
    <t>L.65.8</t>
  </si>
  <si>
    <t>L.65.9</t>
  </si>
  <si>
    <t>L.65.11</t>
  </si>
  <si>
    <t>L.70.6</t>
  </si>
  <si>
    <t>L.70.7</t>
  </si>
  <si>
    <t>L.70.9</t>
  </si>
  <si>
    <t>L.70.11</t>
  </si>
  <si>
    <t>L.75.6</t>
  </si>
  <si>
    <t>L.75.7</t>
  </si>
  <si>
    <t>L.75.8</t>
  </si>
  <si>
    <t>L.75.10</t>
  </si>
  <si>
    <t>L.75.12</t>
  </si>
  <si>
    <t>L.80.7</t>
  </si>
  <si>
    <t>L.80.8</t>
  </si>
  <si>
    <t>L.80.10</t>
  </si>
  <si>
    <t>L.80.12</t>
  </si>
  <si>
    <t>L.80.14</t>
  </si>
  <si>
    <t>L.90.8</t>
  </si>
  <si>
    <t>L.90.9</t>
  </si>
  <si>
    <t>L.90.11</t>
  </si>
  <si>
    <t>L.90.13</t>
  </si>
  <si>
    <t>L.90.16</t>
  </si>
  <si>
    <t>L.100.8</t>
  </si>
  <si>
    <t>L.100.10</t>
  </si>
  <si>
    <t>L.100.12</t>
  </si>
  <si>
    <t>L.100.14</t>
  </si>
  <si>
    <t>L.100.16</t>
  </si>
  <si>
    <t>L.100.20</t>
  </si>
  <si>
    <t>L.110.10</t>
  </si>
  <si>
    <t>L.110.12</t>
  </si>
  <si>
    <t>L.110.14</t>
  </si>
  <si>
    <t>L.120.11</t>
  </si>
  <si>
    <t>L.120.12</t>
  </si>
  <si>
    <t>L.120.13</t>
  </si>
  <si>
    <t>L.120.15</t>
  </si>
  <si>
    <t>L.130.12</t>
  </si>
  <si>
    <t>L.130.14</t>
  </si>
  <si>
    <t>L.130.16</t>
  </si>
  <si>
    <t>L.140.13</t>
  </si>
  <si>
    <t>L.140.15</t>
  </si>
  <si>
    <t>L.150.12</t>
  </si>
  <si>
    <t>L.150.14</t>
  </si>
  <si>
    <t>L.150.15</t>
  </si>
  <si>
    <t>L.150.16</t>
  </si>
  <si>
    <t>L.150.18</t>
  </si>
  <si>
    <t>L.150.20</t>
  </si>
  <si>
    <t>L.160.15</t>
  </si>
  <si>
    <t>L.160.17</t>
  </si>
  <si>
    <t>L.160.19</t>
  </si>
  <si>
    <t>L.180.16</t>
  </si>
  <si>
    <t>L.180.18</t>
  </si>
  <si>
    <t>L.180.20</t>
  </si>
  <si>
    <t>L.180.22</t>
  </si>
  <si>
    <t>L.200.16</t>
  </si>
  <si>
    <t>L.200.18</t>
  </si>
  <si>
    <t>L.200.20</t>
  </si>
  <si>
    <t>L.200.24</t>
  </si>
  <si>
    <t>L.200.28</t>
  </si>
  <si>
    <t>L.250.18</t>
  </si>
  <si>
    <t>L.250.20</t>
  </si>
  <si>
    <t>L.250.22</t>
  </si>
  <si>
    <t>L.250.24</t>
  </si>
  <si>
    <t>U</t>
  </si>
  <si>
    <t>U.30.15</t>
  </si>
  <si>
    <t>U.30.33</t>
  </si>
  <si>
    <t>U.40.20</t>
  </si>
  <si>
    <t>U.40.35</t>
  </si>
  <si>
    <t>U.50.25</t>
  </si>
  <si>
    <t>U.50.38</t>
  </si>
  <si>
    <t>U.60.30</t>
  </si>
  <si>
    <t>U.65.42</t>
  </si>
  <si>
    <t>U.80.45</t>
  </si>
  <si>
    <t>U.100.50</t>
  </si>
  <si>
    <t>U.120.55</t>
  </si>
  <si>
    <t>U.140.60</t>
  </si>
  <si>
    <t>U.160.65</t>
  </si>
  <si>
    <t>U.180.70</t>
  </si>
  <si>
    <t>U.200.75</t>
  </si>
  <si>
    <t>U.220.80</t>
  </si>
  <si>
    <t>U.240.85</t>
  </si>
  <si>
    <t>U.260.90</t>
  </si>
  <si>
    <t>U.280.95</t>
  </si>
  <si>
    <t>U.300.100</t>
  </si>
  <si>
    <t>U.320.100</t>
  </si>
  <si>
    <t>U.350.100</t>
  </si>
  <si>
    <t>U.380.102</t>
  </si>
  <si>
    <t>U.400.110</t>
  </si>
  <si>
    <t>G(kg/m)</t>
  </si>
  <si>
    <t>(m)</t>
  </si>
  <si>
    <t>eleman</t>
  </si>
  <si>
    <t>ad.</t>
  </si>
  <si>
    <t>(adet)</t>
  </si>
  <si>
    <t>U profil</t>
  </si>
  <si>
    <t>gergi çubuğu</t>
  </si>
  <si>
    <t>kapı üstü kuşak</t>
  </si>
  <si>
    <t>kapı üstü dikme</t>
  </si>
  <si>
    <t>b=</t>
  </si>
  <si>
    <t>mm</t>
  </si>
  <si>
    <t>h=</t>
  </si>
  <si>
    <t>t=</t>
  </si>
  <si>
    <t>kolon ayağı taban plakası</t>
  </si>
  <si>
    <t>-</t>
  </si>
  <si>
    <t>merkezi düşey düzlem çapraz levhası</t>
  </si>
  <si>
    <t>M</t>
  </si>
  <si>
    <t>toplam tutar
(TL)</t>
  </si>
  <si>
    <t>Dikkat sadece sarı hücrelere data girilecek.</t>
  </si>
  <si>
    <t>IPE 600</t>
  </si>
  <si>
    <t>birleşimdeki adet =</t>
  </si>
  <si>
    <t>adet</t>
  </si>
  <si>
    <t>ara dikme (ön&amp;arka cephe)</t>
  </si>
  <si>
    <t>kapı üstü dikme (ön&amp;arka cephe)</t>
  </si>
  <si>
    <t>kuşak (ön&amp;arka cephe)</t>
  </si>
  <si>
    <t>kapı üstü kuşak (ön&amp;arka cephe)</t>
  </si>
  <si>
    <t>ara kuşak (yan cephe)</t>
  </si>
  <si>
    <t>baş kuşak (yan cephe)</t>
  </si>
  <si>
    <t>YAN CEPHE GÖRÜNÜŞ</t>
  </si>
  <si>
    <t>ÖN VE ARKA CEPHE GÖRÜNÜŞ</t>
  </si>
  <si>
    <t>çatı kaplama</t>
  </si>
  <si>
    <t>yan &amp; ön &amp; arka cephe kaplama</t>
  </si>
  <si>
    <t>m²</t>
  </si>
  <si>
    <t>alan =</t>
  </si>
  <si>
    <t>kapı kaplama</t>
  </si>
  <si>
    <t>çelik</t>
  </si>
  <si>
    <t>Birim fiyatı</t>
  </si>
  <si>
    <t>kolon ayağı ankraj</t>
  </si>
  <si>
    <t>I profiller</t>
  </si>
  <si>
    <t>toplam ağırlık (kg)</t>
  </si>
  <si>
    <t>toplam ağırlık (ton)</t>
  </si>
  <si>
    <t>toplam ağırlık
(kg)</t>
  </si>
  <si>
    <t>PROFİL AÇIKLAMA</t>
  </si>
  <si>
    <t>SANAYİ YAPISI METRAJI</t>
  </si>
  <si>
    <t>normal I 100</t>
  </si>
  <si>
    <t>aşık adet =</t>
  </si>
  <si>
    <t>L.30.20.3</t>
  </si>
  <si>
    <t>L.30.20.4</t>
  </si>
  <si>
    <t>L.40.20.3</t>
  </si>
  <si>
    <t>L.40.20.4</t>
  </si>
  <si>
    <t>L.45.30.3</t>
  </si>
  <si>
    <t>L.45.30.4</t>
  </si>
  <si>
    <t>L.45.30.5</t>
  </si>
  <si>
    <t>L.50.30.5</t>
  </si>
  <si>
    <t>L.50.40.4</t>
  </si>
  <si>
    <t>L.50.40.5</t>
  </si>
  <si>
    <t>L.60.30.5</t>
  </si>
  <si>
    <t>L.60.30.7</t>
  </si>
  <si>
    <t>L.60.40.5</t>
  </si>
  <si>
    <t>L.60.40.6</t>
  </si>
  <si>
    <t>L.60.40.7</t>
  </si>
  <si>
    <t>L.65.50.5</t>
  </si>
  <si>
    <t>L.65.50.7</t>
  </si>
  <si>
    <t>L.65.50.9</t>
  </si>
  <si>
    <t>L.75.50.5</t>
  </si>
  <si>
    <t>L.75.50.7</t>
  </si>
  <si>
    <t>L.75.50.9</t>
  </si>
  <si>
    <t>L.75.55.5</t>
  </si>
  <si>
    <t>L.75.55.7</t>
  </si>
  <si>
    <t>L.75.55.9</t>
  </si>
  <si>
    <t>L.80.40.6</t>
  </si>
  <si>
    <t>L.80.40.8</t>
  </si>
  <si>
    <t>L.80.65.6</t>
  </si>
  <si>
    <t>L.80.65.8</t>
  </si>
  <si>
    <t>L.80.65.10</t>
  </si>
  <si>
    <t>L.90.60.6</t>
  </si>
  <si>
    <t>L.90.60.8</t>
  </si>
  <si>
    <t>L.90.75.7</t>
  </si>
  <si>
    <t>L.100.50.6</t>
  </si>
  <si>
    <t>L.100.50.8</t>
  </si>
  <si>
    <t>L.100.50.10</t>
  </si>
  <si>
    <t>L.100.65.7</t>
  </si>
  <si>
    <t>L.100.65.9</t>
  </si>
  <si>
    <t>L.100.65.11</t>
  </si>
  <si>
    <t>L.100.75.7</t>
  </si>
  <si>
    <t>L.100.75.9</t>
  </si>
  <si>
    <t>L.100.75.11</t>
  </si>
  <si>
    <t>L.120.80.8</t>
  </si>
  <si>
    <t>L.120.80.10</t>
  </si>
  <si>
    <t>L.120.80.12</t>
  </si>
  <si>
    <t>L.120.80.14</t>
  </si>
  <si>
    <t>L.130.65.8</t>
  </si>
  <si>
    <t>L.130.65.10</t>
  </si>
  <si>
    <t>L.130.65.12</t>
  </si>
  <si>
    <t>L.130.75.8</t>
  </si>
  <si>
    <t>L.130.75.10</t>
  </si>
  <si>
    <t>L.130.75.12</t>
  </si>
  <si>
    <t>L.130.90.10</t>
  </si>
  <si>
    <t>L.130.90.12</t>
  </si>
  <si>
    <t>L.150.75.9</t>
  </si>
  <si>
    <t>L.150.75.11</t>
  </si>
  <si>
    <t>L.150.90.10</t>
  </si>
  <si>
    <t>L.150.90.12</t>
  </si>
  <si>
    <t>L.150.100.10</t>
  </si>
  <si>
    <t>L.150.100.12</t>
  </si>
  <si>
    <t>L.150.100.14</t>
  </si>
  <si>
    <t>L.160.80.10</t>
  </si>
  <si>
    <t>L.160.80.12</t>
  </si>
  <si>
    <t>L.160.80.14</t>
  </si>
  <si>
    <t>L.180.90.10</t>
  </si>
  <si>
    <t>L.180.90.12</t>
  </si>
  <si>
    <t>L.180.90.14</t>
  </si>
  <si>
    <t>L.200.100.10</t>
  </si>
  <si>
    <t>L.200.100.12</t>
  </si>
  <si>
    <t>L.200.100.14</t>
  </si>
  <si>
    <t>L.200.100.16</t>
  </si>
  <si>
    <t>L.250.90.10</t>
  </si>
  <si>
    <t>L.250.90.12</t>
  </si>
  <si>
    <t>L.250.90.14</t>
  </si>
  <si>
    <t>L.250.90.16</t>
  </si>
  <si>
    <t>korniyer</t>
  </si>
  <si>
    <t>eşit kollu ve farklı kollu Lorniyer</t>
  </si>
  <si>
    <t>toplam uzunluk
(m)</t>
  </si>
  <si>
    <t>aşık aralığı</t>
  </si>
  <si>
    <t>Not : Ön cephe ve arka cephe aynı alınmıştır.</t>
  </si>
  <si>
    <t>C.100.42.1,5.15</t>
  </si>
  <si>
    <t>C.100.43.2.16</t>
  </si>
  <si>
    <t>C.100.44.2,5.17</t>
  </si>
  <si>
    <t>C.100.45.3.17</t>
  </si>
  <si>
    <t>C.150.65.1,5.17</t>
  </si>
  <si>
    <t>C.150.65.2.19</t>
  </si>
  <si>
    <t>C.150.65.2,5.20</t>
  </si>
  <si>
    <t>C.150.65.3.22</t>
  </si>
  <si>
    <t>C.200.85.1,5.22</t>
  </si>
  <si>
    <t>C.200.85.2.24</t>
  </si>
  <si>
    <t>C.200.85.2,5.25</t>
  </si>
  <si>
    <t>C.200.85.3.27</t>
  </si>
  <si>
    <t>C.250.65.2.19</t>
  </si>
  <si>
    <t>C.250.65.2,5.20</t>
  </si>
  <si>
    <t>C.250.65.3.22</t>
  </si>
  <si>
    <t>C.250.65.4.25</t>
  </si>
  <si>
    <t>C.300.90.2.19</t>
  </si>
  <si>
    <t>C.300.90.2,5.20</t>
  </si>
  <si>
    <t>C.300.90.3.22</t>
  </si>
  <si>
    <t>C.300.90.4.25</t>
  </si>
  <si>
    <t>C.400.90.2.19</t>
  </si>
  <si>
    <t>C.400.90.2,5.20</t>
  </si>
  <si>
    <t>C.400.90.3.22</t>
  </si>
  <si>
    <t>C.400.90.4.25</t>
  </si>
  <si>
    <t>yapı alanı (m²)</t>
  </si>
  <si>
    <t>(kg/m²)</t>
  </si>
  <si>
    <t>C profil</t>
  </si>
  <si>
    <t>boru profil</t>
  </si>
  <si>
    <t>.</t>
  </si>
  <si>
    <t>kutu profil</t>
  </si>
  <si>
    <t xml:space="preserve">kutu profil </t>
  </si>
  <si>
    <t>B</t>
  </si>
  <si>
    <t>(mm)</t>
  </si>
  <si>
    <t>H</t>
  </si>
  <si>
    <t>t</t>
  </si>
  <si>
    <t>D</t>
  </si>
  <si>
    <t>Korniyer</t>
  </si>
  <si>
    <t>L</t>
  </si>
  <si>
    <t>çapraz adet</t>
  </si>
  <si>
    <t>boş adet</t>
  </si>
  <si>
    <t>göz adet</t>
  </si>
  <si>
    <t>Cee PROFİL (Almetsan)</t>
  </si>
  <si>
    <t>Cee profil</t>
  </si>
  <si>
    <t>O</t>
  </si>
  <si>
    <t>V</t>
  </si>
  <si>
    <t>çatı kısmı göz sayısı</t>
  </si>
  <si>
    <t>adet.</t>
  </si>
  <si>
    <t>kafes kiriş  O çubukları</t>
  </si>
  <si>
    <t>çift çubuk</t>
  </si>
  <si>
    <t>kafes kiriş  U çubukları</t>
  </si>
  <si>
    <t>kafes kiriş  D çubukları</t>
  </si>
  <si>
    <t>tek çubuk</t>
  </si>
  <si>
    <t>kafes kiriş  V çubukları</t>
  </si>
  <si>
    <t>kafes kiriş O&amp;D&amp;V&amp;U çubuk birleşim levhası</t>
  </si>
  <si>
    <t>kafes kiriş O&amp;D&amp;V&amp;U çubuk birleşimi bulon</t>
  </si>
  <si>
    <t>ara dikme taban plakası (ön&amp;arka cephe)</t>
  </si>
  <si>
    <t>ara dikme ayağı ankraj (ön&amp;arka vephe)</t>
  </si>
  <si>
    <t>Aşık için Cee profil en kesiti (Almetsan)</t>
  </si>
  <si>
    <t>(her V çubuk üzeri 1 adet aşık düşünülmüştür.)</t>
  </si>
  <si>
    <t>IPE 200</t>
  </si>
  <si>
    <t>merkezi çapraz diyagonal (yan cephe)</t>
  </si>
  <si>
    <t>merkezi çapraz dikme (yan cephe)</t>
  </si>
  <si>
    <t xml:space="preserve">Hesapta datalar Çelik Yapılar 2016 Yönetmeliği Uygulama örneğindekilerdir. </t>
  </si>
  <si>
    <t>kesit c-c</t>
  </si>
  <si>
    <t>c</t>
  </si>
  <si>
    <t>rüzgar kirişi</t>
  </si>
  <si>
    <t>askısı</t>
  </si>
  <si>
    <t>kesit b-b</t>
  </si>
  <si>
    <t>b</t>
  </si>
  <si>
    <t>rüzgar kirişi  O çubukları</t>
  </si>
  <si>
    <t>rüzgar kirişi  U çubukları</t>
  </si>
  <si>
    <t>rüzgar kirişi  D çubukları</t>
  </si>
  <si>
    <t>rüzgar kirişi  V çubukları</t>
  </si>
  <si>
    <t>rüzgar kirişi askısı</t>
  </si>
  <si>
    <t>rüzgar kirişi levhası</t>
  </si>
  <si>
    <t>rüzgar kirişi birleşimi bulon</t>
  </si>
  <si>
    <t>kafes kiriş</t>
  </si>
  <si>
    <t>trapez saç</t>
  </si>
  <si>
    <t>sandviç panel</t>
  </si>
  <si>
    <t>çatı düzlem çapraz</t>
  </si>
  <si>
    <t>çatı düzlem çapraz levhası</t>
  </si>
  <si>
    <r>
      <rPr>
        <b/>
        <sz val="12"/>
        <color theme="7" tint="-0.499984740745262"/>
        <rFont val="Arial"/>
        <family val="2"/>
        <charset val="162"/>
      </rPr>
      <t xml:space="preserve">SANAYİ YAPISI METRAJI </t>
    </r>
    <r>
      <rPr>
        <b/>
        <sz val="8"/>
        <color theme="7" tint="-0.499984740745262"/>
        <rFont val="Arial"/>
        <family val="2"/>
        <charset val="162"/>
      </rPr>
      <t xml:space="preserve">
(inş.müh. Gürcan BERBEROĞLU tel:0532 366 02 04   www.betoncelik.com )                                                                                                                                                                     </t>
    </r>
  </si>
  <si>
    <r>
      <rPr>
        <b/>
        <sz val="12"/>
        <color theme="7" tint="-0.499984740745262"/>
        <rFont val="Arial"/>
        <family val="2"/>
        <charset val="162"/>
      </rPr>
      <t>SANAYİ YAPISI METRAJI (rüzgar kirişli)</t>
    </r>
    <r>
      <rPr>
        <b/>
        <sz val="8"/>
        <color theme="7" tint="-0.499984740745262"/>
        <rFont val="Arial"/>
        <family val="2"/>
        <charset val="162"/>
      </rPr>
      <t xml:space="preserve">
(inş.müh. Gürcan BERBEROĞLU tel:0532 366 02 04   www.betoncelik.com )                                                                                                                                                                     </t>
    </r>
  </si>
  <si>
    <t>Ön ve arka cephe tasarımı Prof.Zafer Öztürk "Çelik Yapılar" kitabının son bölümünden yararlanılmıştır.</t>
  </si>
  <si>
    <t>moment aktaran çerçeve</t>
  </si>
  <si>
    <t>C.(H.B.t.L)</t>
  </si>
  <si>
    <t>H . B . t . L</t>
  </si>
  <si>
    <t>aşık birleşimleri bulon</t>
  </si>
  <si>
    <t>aşık birleşimi levhası</t>
  </si>
  <si>
    <t>ara kuşak uç birleşim levhası (yan cephe)</t>
  </si>
  <si>
    <t>ara kuşak uç birl. levhası (ön&amp;arka cephe)</t>
  </si>
  <si>
    <t>ara kuşak uç birl. bulon (yan cephe)</t>
  </si>
  <si>
    <t>ara kuşak uç birl. bulon (ön&amp;arka cephe)</t>
  </si>
  <si>
    <t>çatı düzlem çapraz uç birleşim levhası</t>
  </si>
  <si>
    <t>çatı çapraz uç birleşimleri bulon</t>
  </si>
  <si>
    <t>düşey çapraz uç birleşim levhası</t>
  </si>
  <si>
    <t>Not : Bütün birleşimler bulonludur.</t>
  </si>
  <si>
    <t>toplam tutar(TL)</t>
  </si>
  <si>
    <t>KDV %18 (TL)</t>
  </si>
  <si>
    <t>toplam tutar (TL)</t>
  </si>
  <si>
    <t>betonarme kolon</t>
  </si>
  <si>
    <t>betonarme temel</t>
  </si>
  <si>
    <t>temel planı</t>
  </si>
  <si>
    <t>betonarme kolon betonu</t>
  </si>
  <si>
    <t>*</t>
  </si>
  <si>
    <t>m3</t>
  </si>
  <si>
    <t>betonarme temel betonu</t>
  </si>
  <si>
    <t>betonarme perde betonu</t>
  </si>
  <si>
    <t>betonarme döşeme betonu</t>
  </si>
  <si>
    <t>betonarme kolon donatısı</t>
  </si>
  <si>
    <t>betonarme temel donatısı</t>
  </si>
  <si>
    <t>L=</t>
  </si>
  <si>
    <t>adet temel.</t>
  </si>
  <si>
    <t>betonarme kolon etriyesi</t>
  </si>
  <si>
    <t>(</t>
  </si>
  <si>
    <t>)</t>
  </si>
  <si>
    <t>bindirme =</t>
  </si>
  <si>
    <t>kg/m²</t>
  </si>
  <si>
    <t>döşeme hasır çelik</t>
  </si>
  <si>
    <t>hasır çelik =</t>
  </si>
  <si>
    <t>(tabaka boy * en)</t>
  </si>
  <si>
    <t>betonarme hasır çelik döşeme</t>
  </si>
  <si>
    <t>tipi</t>
  </si>
  <si>
    <t>boy / en</t>
  </si>
  <si>
    <t>aralık</t>
  </si>
  <si>
    <t>çap</t>
  </si>
  <si>
    <t>enkesit alanı</t>
  </si>
  <si>
    <t>boy</t>
  </si>
  <si>
    <t>en</t>
  </si>
  <si>
    <t>(m/m)</t>
  </si>
  <si>
    <t>(mm²/m)</t>
  </si>
  <si>
    <t>R131</t>
  </si>
  <si>
    <t>R158</t>
  </si>
  <si>
    <t>R188</t>
  </si>
  <si>
    <t>R221</t>
  </si>
  <si>
    <t>R257</t>
  </si>
  <si>
    <t>R295</t>
  </si>
  <si>
    <t>R317</t>
  </si>
  <si>
    <t>R335</t>
  </si>
  <si>
    <t>R377</t>
  </si>
  <si>
    <t>Q131/131</t>
  </si>
  <si>
    <t>Q158/158</t>
  </si>
  <si>
    <t>Q188/188</t>
  </si>
  <si>
    <t>Q221/221</t>
  </si>
  <si>
    <t>Q257/257</t>
  </si>
  <si>
    <t>Q295/295</t>
  </si>
  <si>
    <t>Q317/188</t>
  </si>
  <si>
    <t>Q335/335</t>
  </si>
  <si>
    <t>Q377/188</t>
  </si>
  <si>
    <t>Q377/377</t>
  </si>
  <si>
    <t>bazı hasırların boyuna çubukları çift çubukludur.çapın yanına d yazılır.</t>
  </si>
  <si>
    <t>ağırlık</t>
  </si>
  <si>
    <t>bazı hasır çelik tablosu</t>
  </si>
  <si>
    <t>perde hasır çelik</t>
  </si>
  <si>
    <t>tip betonarme temel planı</t>
  </si>
  <si>
    <t>tip betonarme temel kesiti</t>
  </si>
  <si>
    <t>çelik (kg/m²)</t>
  </si>
  <si>
    <t>genel toplam (TL)</t>
  </si>
  <si>
    <t>TEMEL</t>
  </si>
  <si>
    <t>betonarme hasır çelik perde</t>
  </si>
  <si>
    <t>döşeme hasırçelik</t>
  </si>
  <si>
    <t>perde hasırçelik</t>
  </si>
  <si>
    <t>döşeme hasırçelik kolon içinde devam ettirilecek.</t>
  </si>
  <si>
    <t>beton hacmi (m3)</t>
  </si>
  <si>
    <t>(kg/m3)</t>
  </si>
  <si>
    <t>Not: kolon boyutları kolon taban plakası boyutlarından büyük seçilmeli.</t>
  </si>
  <si>
    <t>birleşimde L=</t>
  </si>
  <si>
    <t>kayma kaması</t>
  </si>
  <si>
    <t>kapı etrafı profil</t>
  </si>
  <si>
    <t>Not: Bu durumda yönetmelik alanda bulunan betonarme döşemenin içinde oluşturulacak şerit ile temellerin yatay yönde (x doğrultusunda) karşılıklı bağlanması yeterli buluyor.Döşeme şeriti içinde bulunan donatının temel bloğuna girmesine ,bağlantıyı tesis etmesine özen göstermek gereklidir.</t>
  </si>
  <si>
    <t>Not: Temel yapısının yatay yönde ( x doğrultusunda ) tutunumu konusu Prof.Dr.Zekai Celep hocamıza sorulup ilgili notu temel planında özetlenmiştir.</t>
  </si>
  <si>
    <t>y</t>
  </si>
  <si>
    <t>x</t>
  </si>
  <si>
    <t>kolon ayağı nervür levhası</t>
  </si>
  <si>
    <t>yan cephe kafes kiriş</t>
  </si>
  <si>
    <t>detay A</t>
  </si>
  <si>
    <t>moment aktaran çerçeve kolonu</t>
  </si>
  <si>
    <t>çatı kısmı göz sayısı =</t>
  </si>
  <si>
    <t>iki kolon arası göz sayısı =</t>
  </si>
  <si>
    <t>Sistem tümüyle kaynaklı birleşim benimsenmişse bulon adet kısımlarına sıfır giriniz.</t>
  </si>
  <si>
    <t>( Not: birleşimler kaynaklı ise bulon adet kısımlarına sıfır giriniz.)</t>
  </si>
  <si>
    <t>düşey çapraz diyagonal uç birl. bulon</t>
  </si>
  <si>
    <t>düşey çapraz dikme uç birl. bulon</t>
  </si>
  <si>
    <t>kolon&amp;kiriş birleşim levhası</t>
  </si>
  <si>
    <t>kiriş&amp;kiriş birleşim levhası</t>
  </si>
  <si>
    <t>kolon&amp;kiriş birleşimi bulon</t>
  </si>
  <si>
    <t>kiriş&amp;kiriş birleşimi bulon</t>
  </si>
  <si>
    <t>kesitte 3 adet etriye</t>
  </si>
  <si>
    <t>Not: 2 adet kuşak yüksekliği kapı yüksekliğinden büyükse kapı üstü kuşak bir sıra ilave edilir.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</si>
</sst>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quot;Ø&quot;0"/>
    <numFmt numFmtId="165" formatCode="0.000"/>
    <numFmt numFmtId="166" formatCode="0.00&quot; TL/kg&quot;"/>
    <numFmt numFmtId="167" formatCode="0.00&quot; TL/adet.&quot;"/>
    <numFmt numFmtId="168" formatCode="0.00&quot; TL/m².&quot;"/>
    <numFmt numFmtId="169" formatCode="0.00&quot; TL/m3&quot;"/>
    <numFmt numFmtId="170" formatCode="&quot;/ Ø&quot;0"/>
    <numFmt numFmtId="171" formatCode="&quot;/&quot;0"/>
    <numFmt numFmtId="172" formatCode="0.00&quot;/&quot;"/>
  </numFmts>
  <fonts count="19" x14ac:knownFonts="1">
    <font>
      <sz val="8"/>
      <color theme="1"/>
      <name val="Arial"/>
      <family val="2"/>
      <charset val="162"/>
    </font>
    <font>
      <i/>
      <u/>
      <sz val="8"/>
      <color theme="1"/>
      <name val="Arial"/>
      <family val="2"/>
      <charset val="162"/>
    </font>
    <font>
      <sz val="8"/>
      <color theme="1"/>
      <name val="Symbol"/>
      <family val="1"/>
      <charset val="2"/>
    </font>
    <font>
      <sz val="8"/>
      <color theme="1"/>
      <name val="Arial"/>
      <family val="2"/>
      <charset val="162"/>
    </font>
    <font>
      <b/>
      <sz val="8"/>
      <color theme="1"/>
      <name val="Arial"/>
      <family val="2"/>
      <charset val="162"/>
    </font>
    <font>
      <sz val="8"/>
      <color theme="0"/>
      <name val="Arial"/>
      <family val="2"/>
      <charset val="162"/>
    </font>
    <font>
      <sz val="8"/>
      <name val="Arial"/>
      <family val="2"/>
      <charset val="162"/>
    </font>
    <font>
      <b/>
      <sz val="8"/>
      <name val="Symbol"/>
      <family val="1"/>
      <charset val="2"/>
    </font>
    <font>
      <b/>
      <sz val="8"/>
      <name val="Arial"/>
      <family val="2"/>
      <charset val="162"/>
    </font>
    <font>
      <sz val="8"/>
      <name val="Symbol"/>
      <family val="1"/>
      <charset val="2"/>
    </font>
    <font>
      <b/>
      <sz val="8"/>
      <color theme="7" tint="-0.499984740745262"/>
      <name val="Arial"/>
      <family val="2"/>
      <charset val="162"/>
    </font>
    <font>
      <b/>
      <sz val="12"/>
      <color theme="7" tint="-0.499984740745262"/>
      <name val="Arial"/>
      <family val="2"/>
      <charset val="162"/>
    </font>
    <font>
      <b/>
      <sz val="8"/>
      <color rgb="FFFF0000"/>
      <name val="Arial"/>
      <family val="2"/>
      <charset val="162"/>
    </font>
    <font>
      <b/>
      <i/>
      <sz val="8"/>
      <color theme="1"/>
      <name val="Arial"/>
      <family val="2"/>
      <charset val="162"/>
    </font>
    <font>
      <i/>
      <sz val="8"/>
      <color theme="1"/>
      <name val="Arial"/>
      <family val="2"/>
      <charset val="162"/>
    </font>
    <font>
      <sz val="6"/>
      <color theme="1"/>
      <name val="Arial"/>
      <family val="2"/>
      <charset val="162"/>
    </font>
    <font>
      <sz val="7"/>
      <color theme="1"/>
      <name val="Arial"/>
      <family val="2"/>
      <charset val="162"/>
    </font>
    <font>
      <b/>
      <i/>
      <u/>
      <sz val="8"/>
      <color theme="1"/>
      <name val="Arial"/>
      <family val="2"/>
      <charset val="162"/>
    </font>
    <font>
      <i/>
      <u/>
      <sz val="8"/>
      <name val="Arial"/>
      <family val="2"/>
      <charset val="162"/>
    </font>
  </fonts>
  <fills count="5">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rgb="FF92D050"/>
        <bgColor indexed="64"/>
      </patternFill>
    </fill>
  </fills>
  <borders count="51">
    <border>
      <left/>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double">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double">
        <color auto="1"/>
      </bottom>
      <diagonal/>
    </border>
    <border>
      <left/>
      <right/>
      <top/>
      <bottom style="double">
        <color auto="1"/>
      </bottom>
      <diagonal/>
    </border>
    <border>
      <left/>
      <right style="thin">
        <color auto="1"/>
      </right>
      <top/>
      <bottom/>
      <diagonal/>
    </border>
    <border>
      <left/>
      <right style="thin">
        <color auto="1"/>
      </right>
      <top/>
      <bottom style="double">
        <color auto="1"/>
      </bottom>
      <diagonal/>
    </border>
    <border>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top style="double">
        <color auto="1"/>
      </top>
      <bottom style="thin">
        <color auto="1"/>
      </bottom>
      <diagonal/>
    </border>
    <border>
      <left/>
      <right/>
      <top style="double">
        <color auto="1"/>
      </top>
      <bottom style="thin">
        <color auto="1"/>
      </bottom>
      <diagonal/>
    </border>
    <border>
      <left/>
      <right/>
      <top style="double">
        <color auto="1"/>
      </top>
      <bottom/>
      <diagonal/>
    </border>
    <border>
      <left style="thin">
        <color auto="1"/>
      </left>
      <right/>
      <top style="thin">
        <color auto="1"/>
      </top>
      <bottom style="double">
        <color auto="1"/>
      </bottom>
      <diagonal/>
    </border>
    <border>
      <left/>
      <right style="thin">
        <color auto="1"/>
      </right>
      <top style="thin">
        <color auto="1"/>
      </top>
      <bottom style="double">
        <color auto="1"/>
      </bottom>
      <diagonal/>
    </border>
    <border>
      <left/>
      <right/>
      <top style="thin">
        <color auto="1"/>
      </top>
      <bottom style="double">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double">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diagonalUp="1" diagonalDown="1">
      <left style="thin">
        <color auto="1"/>
      </left>
      <right/>
      <top style="thin">
        <color auto="1"/>
      </top>
      <bottom/>
      <diagonal style="thin">
        <color auto="1"/>
      </diagonal>
    </border>
    <border diagonalUp="1" diagonalDown="1">
      <left/>
      <right style="thin">
        <color auto="1"/>
      </right>
      <top style="thin">
        <color auto="1"/>
      </top>
      <bottom/>
      <diagonal style="thin">
        <color auto="1"/>
      </diagonal>
    </border>
    <border diagonalUp="1" diagonalDown="1">
      <left style="thin">
        <color auto="1"/>
      </left>
      <right/>
      <top/>
      <bottom style="thin">
        <color auto="1"/>
      </bottom>
      <diagonal style="thin">
        <color auto="1"/>
      </diagonal>
    </border>
    <border diagonalUp="1" diagonalDown="1">
      <left/>
      <right style="thin">
        <color auto="1"/>
      </right>
      <top/>
      <bottom style="thin">
        <color auto="1"/>
      </bottom>
      <diagonal style="thin">
        <color auto="1"/>
      </diagonal>
    </border>
    <border>
      <left style="medium">
        <color auto="1"/>
      </left>
      <right/>
      <top style="thin">
        <color auto="1"/>
      </top>
      <bottom style="thin">
        <color auto="1"/>
      </bottom>
      <diagonal/>
    </border>
    <border>
      <left style="thin">
        <color auto="1"/>
      </left>
      <right style="medium">
        <color auto="1"/>
      </right>
      <top style="thin">
        <color auto="1"/>
      </top>
      <bottom/>
      <diagonal/>
    </border>
    <border>
      <left style="medium">
        <color auto="1"/>
      </left>
      <right/>
      <top/>
      <bottom style="thin">
        <color auto="1"/>
      </bottom>
      <diagonal/>
    </border>
    <border>
      <left/>
      <right style="medium">
        <color auto="1"/>
      </right>
      <top/>
      <bottom style="thin">
        <color auto="1"/>
      </bottom>
      <diagonal/>
    </border>
  </borders>
  <cellStyleXfs count="1">
    <xf numFmtId="0" fontId="0" fillId="0" borderId="0"/>
  </cellStyleXfs>
  <cellXfs count="231">
    <xf numFmtId="0" fontId="0" fillId="0" borderId="0" xfId="0"/>
    <xf numFmtId="0" fontId="0" fillId="0" borderId="0" xfId="0" applyAlignment="1" applyProtection="1">
      <alignment vertical="center"/>
      <protection hidden="1"/>
    </xf>
    <xf numFmtId="0" fontId="6" fillId="0" borderId="1" xfId="0" applyFont="1" applyBorder="1" applyAlignment="1" applyProtection="1">
      <alignment horizontal="center" vertical="center"/>
      <protection hidden="1"/>
    </xf>
    <xf numFmtId="0" fontId="6" fillId="0" borderId="2" xfId="0" applyFont="1" applyBorder="1" applyAlignment="1" applyProtection="1">
      <alignment horizontal="center" vertical="center"/>
      <protection hidden="1"/>
    </xf>
    <xf numFmtId="0" fontId="9" fillId="0" borderId="2" xfId="0" applyFont="1" applyBorder="1" applyAlignment="1" applyProtection="1">
      <alignment horizontal="center" vertical="center"/>
      <protection hidden="1"/>
    </xf>
    <xf numFmtId="0" fontId="3" fillId="0" borderId="0" xfId="0" applyFont="1" applyAlignment="1" applyProtection="1">
      <alignment vertical="center"/>
      <protection hidden="1"/>
    </xf>
    <xf numFmtId="0" fontId="3" fillId="2" borderId="2" xfId="0" applyFont="1" applyFill="1" applyBorder="1" applyAlignment="1" applyProtection="1">
      <alignment vertical="center"/>
      <protection locked="0"/>
    </xf>
    <xf numFmtId="0" fontId="6" fillId="2" borderId="2" xfId="0" applyFont="1" applyFill="1" applyBorder="1" applyAlignment="1" applyProtection="1">
      <alignment vertical="center"/>
      <protection locked="0"/>
    </xf>
    <xf numFmtId="0" fontId="6" fillId="0" borderId="2" xfId="0" applyFont="1" applyBorder="1" applyAlignment="1" applyProtection="1">
      <alignment horizontal="left" vertical="center"/>
      <protection hidden="1"/>
    </xf>
    <xf numFmtId="0" fontId="6" fillId="2" borderId="2" xfId="0" applyFont="1" applyFill="1" applyBorder="1" applyAlignment="1" applyProtection="1">
      <alignment horizontal="left" vertical="center"/>
      <protection locked="0"/>
    </xf>
    <xf numFmtId="0" fontId="8" fillId="0" borderId="2" xfId="0" applyFont="1" applyBorder="1" applyAlignment="1" applyProtection="1">
      <alignment horizontal="left" vertical="center"/>
      <protection hidden="1"/>
    </xf>
    <xf numFmtId="0" fontId="0" fillId="0" borderId="5" xfId="0" applyBorder="1" applyAlignment="1" applyProtection="1">
      <alignment vertical="center"/>
      <protection hidden="1"/>
    </xf>
    <xf numFmtId="0" fontId="0" fillId="0" borderId="4" xfId="0" applyBorder="1" applyAlignment="1" applyProtection="1">
      <alignment vertical="center"/>
      <protection hidden="1"/>
    </xf>
    <xf numFmtId="0" fontId="0" fillId="0" borderId="3" xfId="0" applyBorder="1" applyAlignment="1" applyProtection="1">
      <alignment vertical="center"/>
      <protection hidden="1"/>
    </xf>
    <xf numFmtId="0" fontId="0" fillId="0" borderId="13" xfId="0" applyBorder="1" applyAlignment="1" applyProtection="1">
      <alignment vertical="center"/>
      <protection hidden="1"/>
    </xf>
    <xf numFmtId="0" fontId="0" fillId="0" borderId="14" xfId="0" applyBorder="1" applyAlignment="1" applyProtection="1">
      <alignment vertical="center"/>
      <protection hidden="1"/>
    </xf>
    <xf numFmtId="0" fontId="0" fillId="0" borderId="15" xfId="0" applyBorder="1" applyAlignment="1" applyProtection="1">
      <alignment vertical="center"/>
      <protection hidden="1"/>
    </xf>
    <xf numFmtId="0" fontId="0" fillId="0" borderId="16" xfId="0" applyBorder="1" applyAlignment="1" applyProtection="1">
      <alignment vertical="center"/>
      <protection hidden="1"/>
    </xf>
    <xf numFmtId="0" fontId="0" fillId="0" borderId="17" xfId="0" applyBorder="1" applyAlignment="1" applyProtection="1">
      <alignment vertical="center"/>
      <protection hidden="1"/>
    </xf>
    <xf numFmtId="0" fontId="0" fillId="0" borderId="5" xfId="0" applyBorder="1" applyAlignment="1" applyProtection="1">
      <alignment horizontal="center" vertical="center"/>
      <protection hidden="1"/>
    </xf>
    <xf numFmtId="0" fontId="6" fillId="0" borderId="3" xfId="0" applyFont="1" applyBorder="1" applyAlignment="1" applyProtection="1">
      <alignment horizontal="center" vertical="center"/>
      <protection hidden="1"/>
    </xf>
    <xf numFmtId="0" fontId="0" fillId="0" borderId="29" xfId="0" applyBorder="1" applyAlignment="1" applyProtection="1">
      <alignment vertical="center"/>
      <protection hidden="1"/>
    </xf>
    <xf numFmtId="0" fontId="0" fillId="0" borderId="26" xfId="0" applyBorder="1" applyAlignment="1" applyProtection="1">
      <alignment vertical="center"/>
      <protection hidden="1"/>
    </xf>
    <xf numFmtId="165" fontId="0" fillId="0" borderId="0" xfId="0" applyNumberFormat="1" applyAlignment="1" applyProtection="1">
      <alignment vertical="center"/>
      <protection hidden="1"/>
    </xf>
    <xf numFmtId="0" fontId="0" fillId="0" borderId="2" xfId="0" applyBorder="1" applyAlignment="1" applyProtection="1">
      <alignment vertical="center"/>
      <protection hidden="1"/>
    </xf>
    <xf numFmtId="0" fontId="0" fillId="0" borderId="0" xfId="0" applyAlignment="1" applyProtection="1">
      <alignment horizontal="center" vertical="center"/>
      <protection hidden="1"/>
    </xf>
    <xf numFmtId="0" fontId="5" fillId="0" borderId="5" xfId="0" applyFont="1" applyBorder="1" applyAlignment="1" applyProtection="1">
      <alignment horizontal="center" vertical="center"/>
      <protection hidden="1"/>
    </xf>
    <xf numFmtId="0" fontId="0" fillId="0" borderId="30" xfId="0" applyBorder="1" applyAlignment="1" applyProtection="1">
      <alignment vertical="center"/>
      <protection hidden="1"/>
    </xf>
    <xf numFmtId="0" fontId="0" fillId="3" borderId="33" xfId="0" applyFill="1" applyBorder="1" applyAlignment="1" applyProtection="1">
      <alignment horizontal="center" vertical="center"/>
      <protection hidden="1"/>
    </xf>
    <xf numFmtId="0" fontId="0" fillId="3" borderId="5" xfId="0" applyFill="1" applyBorder="1" applyAlignment="1" applyProtection="1">
      <alignment horizontal="center" vertical="center"/>
      <protection hidden="1"/>
    </xf>
    <xf numFmtId="0" fontId="0" fillId="0" borderId="8" xfId="0" applyBorder="1" applyAlignment="1" applyProtection="1">
      <alignment vertical="center"/>
      <protection hidden="1"/>
    </xf>
    <xf numFmtId="0" fontId="12" fillId="0" borderId="0" xfId="0" applyFont="1" applyAlignment="1" applyProtection="1">
      <alignment vertical="center"/>
      <protection hidden="1"/>
    </xf>
    <xf numFmtId="0" fontId="3" fillId="0" borderId="0" xfId="0" applyFont="1" applyAlignment="1" applyProtection="1">
      <alignment vertical="center" wrapText="1"/>
      <protection hidden="1"/>
    </xf>
    <xf numFmtId="0" fontId="12" fillId="0" borderId="0" xfId="0" applyFont="1" applyAlignment="1" applyProtection="1">
      <alignment horizontal="left" vertical="center"/>
      <protection hidden="1"/>
    </xf>
    <xf numFmtId="0" fontId="6" fillId="0" borderId="0" xfId="0" applyFont="1" applyAlignment="1" applyProtection="1">
      <alignment vertical="center" wrapText="1"/>
      <protection hidden="1"/>
    </xf>
    <xf numFmtId="0" fontId="1" fillId="0" borderId="0" xfId="0" applyFont="1" applyAlignment="1" applyProtection="1">
      <alignment vertical="center"/>
      <protection hidden="1"/>
    </xf>
    <xf numFmtId="0" fontId="0" fillId="0" borderId="0" xfId="0" applyAlignment="1" applyProtection="1">
      <alignment vertical="center" textRotation="90"/>
      <protection hidden="1"/>
    </xf>
    <xf numFmtId="0" fontId="2" fillId="0" borderId="0" xfId="0" applyFont="1" applyAlignment="1" applyProtection="1">
      <alignment vertical="center"/>
      <protection hidden="1"/>
    </xf>
    <xf numFmtId="0" fontId="0" fillId="0" borderId="0" xfId="0" applyAlignment="1" applyProtection="1">
      <alignment horizontal="right" vertical="center"/>
      <protection hidden="1"/>
    </xf>
    <xf numFmtId="0" fontId="5" fillId="0" borderId="0" xfId="0" applyFont="1" applyAlignment="1" applyProtection="1">
      <alignment vertical="center"/>
      <protection hidden="1"/>
    </xf>
    <xf numFmtId="0" fontId="6" fillId="0" borderId="0" xfId="0" applyFont="1" applyAlignment="1" applyProtection="1">
      <alignment vertical="center"/>
      <protection hidden="1"/>
    </xf>
    <xf numFmtId="0" fontId="0" fillId="3" borderId="47" xfId="0" applyFill="1" applyBorder="1" applyAlignment="1" applyProtection="1">
      <alignment vertical="center"/>
      <protection hidden="1"/>
    </xf>
    <xf numFmtId="0" fontId="0" fillId="3" borderId="5" xfId="0" applyFill="1" applyBorder="1" applyAlignment="1" applyProtection="1">
      <alignment vertical="center"/>
      <protection hidden="1"/>
    </xf>
    <xf numFmtId="0" fontId="0" fillId="3" borderId="4" xfId="0" applyFill="1" applyBorder="1" applyAlignment="1" applyProtection="1">
      <alignment vertical="center"/>
      <protection hidden="1"/>
    </xf>
    <xf numFmtId="0" fontId="14" fillId="0" borderId="0" xfId="0" applyFont="1" applyAlignment="1" applyProtection="1">
      <alignment vertical="center"/>
      <protection hidden="1"/>
    </xf>
    <xf numFmtId="0" fontId="0" fillId="0" borderId="19" xfId="0" applyBorder="1" applyAlignment="1" applyProtection="1">
      <alignment horizontal="center" vertical="center"/>
      <protection hidden="1"/>
    </xf>
    <xf numFmtId="0" fontId="0" fillId="0" borderId="19" xfId="0" applyBorder="1" applyAlignment="1" applyProtection="1">
      <alignment vertical="center"/>
      <protection hidden="1"/>
    </xf>
    <xf numFmtId="0" fontId="0" fillId="0" borderId="20" xfId="0" applyBorder="1" applyAlignment="1" applyProtection="1">
      <alignment vertical="center"/>
      <protection hidden="1"/>
    </xf>
    <xf numFmtId="0" fontId="0" fillId="0" borderId="5" xfId="0" applyBorder="1" applyAlignment="1" applyProtection="1">
      <alignment horizontal="right" vertical="center"/>
      <protection hidden="1"/>
    </xf>
    <xf numFmtId="0" fontId="5" fillId="0" borderId="4" xfId="0" applyFont="1" applyBorder="1" applyAlignment="1" applyProtection="1">
      <alignment vertical="center"/>
      <protection hidden="1"/>
    </xf>
    <xf numFmtId="0" fontId="0" fillId="0" borderId="18" xfId="0" applyBorder="1" applyAlignment="1" applyProtection="1">
      <alignment vertical="center"/>
      <protection hidden="1"/>
    </xf>
    <xf numFmtId="0" fontId="0" fillId="0" borderId="21" xfId="0" applyBorder="1" applyAlignment="1" applyProtection="1">
      <alignment vertical="center"/>
      <protection hidden="1"/>
    </xf>
    <xf numFmtId="0" fontId="0" fillId="0" borderId="24" xfId="0" applyBorder="1" applyAlignment="1" applyProtection="1">
      <alignment vertical="center"/>
      <protection hidden="1"/>
    </xf>
    <xf numFmtId="0" fontId="17" fillId="0" borderId="13" xfId="0" applyFont="1" applyBorder="1" applyAlignment="1" applyProtection="1">
      <alignment vertical="center"/>
      <protection hidden="1"/>
    </xf>
    <xf numFmtId="0" fontId="0" fillId="0" borderId="49" xfId="0" applyBorder="1" applyAlignment="1" applyProtection="1">
      <alignment vertical="center"/>
      <protection hidden="1"/>
    </xf>
    <xf numFmtId="0" fontId="0" fillId="0" borderId="50" xfId="0" applyBorder="1" applyAlignment="1" applyProtection="1">
      <alignment vertical="center"/>
      <protection hidden="1"/>
    </xf>
    <xf numFmtId="0" fontId="6" fillId="0" borderId="14" xfId="0" applyFont="1" applyBorder="1" applyAlignment="1" applyProtection="1">
      <alignment vertical="center"/>
      <protection hidden="1"/>
    </xf>
    <xf numFmtId="0" fontId="18" fillId="0" borderId="0" xfId="0" applyFont="1" applyAlignment="1" applyProtection="1">
      <alignment vertical="center"/>
      <protection hidden="1"/>
    </xf>
    <xf numFmtId="0" fontId="6" fillId="0" borderId="0" xfId="0" applyFont="1" applyAlignment="1" applyProtection="1">
      <alignment horizontal="center" vertical="center"/>
      <protection hidden="1"/>
    </xf>
    <xf numFmtId="0" fontId="0" fillId="0" borderId="0" xfId="0" applyAlignment="1" applyProtection="1">
      <alignment vertical="center" wrapText="1"/>
      <protection hidden="1"/>
    </xf>
    <xf numFmtId="0" fontId="0" fillId="0" borderId="0" xfId="0" applyAlignment="1" applyProtection="1">
      <alignment horizontal="center" vertical="center"/>
      <protection hidden="1"/>
    </xf>
    <xf numFmtId="0" fontId="0" fillId="0" borderId="5" xfId="0" applyBorder="1" applyAlignment="1" applyProtection="1">
      <alignment horizontal="center" vertical="center"/>
      <protection hidden="1"/>
    </xf>
    <xf numFmtId="165" fontId="0" fillId="0" borderId="2" xfId="0" applyNumberFormat="1" applyBorder="1" applyAlignment="1" applyProtection="1">
      <alignment horizontal="center" vertical="center"/>
      <protection hidden="1"/>
    </xf>
    <xf numFmtId="0" fontId="0" fillId="0" borderId="2" xfId="0" applyBorder="1" applyAlignment="1" applyProtection="1">
      <alignment horizontal="center" vertical="center"/>
      <protection hidden="1"/>
    </xf>
    <xf numFmtId="167" fontId="0" fillId="2" borderId="1" xfId="0" applyNumberFormat="1" applyFill="1" applyBorder="1" applyAlignment="1" applyProtection="1">
      <alignment horizontal="right" vertical="center"/>
      <protection locked="0"/>
    </xf>
    <xf numFmtId="4" fontId="0" fillId="0" borderId="2" xfId="0" applyNumberFormat="1" applyBorder="1" applyAlignment="1" applyProtection="1">
      <alignment horizontal="right" vertical="center"/>
      <protection hidden="1"/>
    </xf>
    <xf numFmtId="4" fontId="0" fillId="0" borderId="38" xfId="0" applyNumberFormat="1" applyBorder="1" applyAlignment="1" applyProtection="1">
      <alignment horizontal="right" vertical="center"/>
      <protection hidden="1"/>
    </xf>
    <xf numFmtId="0" fontId="0" fillId="0" borderId="21" xfId="0" applyBorder="1" applyAlignment="1" applyProtection="1">
      <alignment horizontal="center" vertical="center"/>
      <protection hidden="1"/>
    </xf>
    <xf numFmtId="0" fontId="0" fillId="0" borderId="24"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4" xfId="0" applyBorder="1" applyAlignment="1" applyProtection="1">
      <alignment horizontal="center" vertical="center"/>
      <protection hidden="1"/>
    </xf>
    <xf numFmtId="0" fontId="0" fillId="3" borderId="37" xfId="0" applyFill="1" applyBorder="1" applyAlignment="1" applyProtection="1">
      <alignment horizontal="left" vertical="center"/>
      <protection hidden="1"/>
    </xf>
    <xf numFmtId="0" fontId="0" fillId="3" borderId="2" xfId="0" applyFill="1" applyBorder="1" applyAlignment="1" applyProtection="1">
      <alignment horizontal="left" vertical="center"/>
      <protection hidden="1"/>
    </xf>
    <xf numFmtId="0" fontId="0" fillId="2" borderId="5" xfId="0" applyFill="1" applyBorder="1" applyAlignment="1" applyProtection="1">
      <alignment horizontal="center" vertical="center"/>
      <protection locked="0"/>
    </xf>
    <xf numFmtId="0" fontId="0" fillId="0" borderId="18" xfId="0" applyBorder="1" applyAlignment="1" applyProtection="1">
      <alignment horizontal="center" vertical="center" wrapText="1"/>
      <protection hidden="1"/>
    </xf>
    <xf numFmtId="0" fontId="0" fillId="0" borderId="19" xfId="0" applyBorder="1" applyAlignment="1" applyProtection="1">
      <alignment horizontal="center" vertical="center" wrapText="1"/>
      <protection hidden="1"/>
    </xf>
    <xf numFmtId="0" fontId="0" fillId="0" borderId="20" xfId="0" applyBorder="1" applyAlignment="1" applyProtection="1">
      <alignment horizontal="center" vertical="center" wrapText="1"/>
      <protection hidden="1"/>
    </xf>
    <xf numFmtId="0" fontId="0" fillId="0" borderId="21" xfId="0"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0" fillId="0" borderId="24" xfId="0" applyBorder="1" applyAlignment="1" applyProtection="1">
      <alignment horizontal="center" vertical="center" wrapText="1"/>
      <protection hidden="1"/>
    </xf>
    <xf numFmtId="0" fontId="0" fillId="0" borderId="7" xfId="0" applyBorder="1" applyAlignment="1" applyProtection="1">
      <alignment horizontal="center" vertical="center" wrapText="1"/>
      <protection hidden="1"/>
    </xf>
    <xf numFmtId="0" fontId="0" fillId="0" borderId="8" xfId="0" applyBorder="1" applyAlignment="1" applyProtection="1">
      <alignment horizontal="center" vertical="center" wrapText="1"/>
      <protection hidden="1"/>
    </xf>
    <xf numFmtId="0" fontId="0" fillId="0" borderId="9" xfId="0" applyBorder="1" applyAlignment="1" applyProtection="1">
      <alignment horizontal="center" vertical="center" wrapText="1"/>
      <protection hidden="1"/>
    </xf>
    <xf numFmtId="165" fontId="0" fillId="0" borderId="2" xfId="0" applyNumberFormat="1" applyBorder="1" applyAlignment="1" applyProtection="1">
      <alignment horizontal="right" vertical="center"/>
      <protection hidden="1"/>
    </xf>
    <xf numFmtId="166" fontId="0" fillId="2" borderId="1" xfId="0" applyNumberFormat="1" applyFill="1" applyBorder="1" applyAlignment="1" applyProtection="1">
      <alignment horizontal="right" vertical="center"/>
      <protection locked="0"/>
    </xf>
    <xf numFmtId="4" fontId="0" fillId="0" borderId="1" xfId="0" applyNumberFormat="1" applyBorder="1" applyAlignment="1" applyProtection="1">
      <alignment horizontal="right" vertical="center"/>
      <protection hidden="1"/>
    </xf>
    <xf numFmtId="4" fontId="0" fillId="0" borderId="42" xfId="0" applyNumberFormat="1" applyBorder="1" applyAlignment="1" applyProtection="1">
      <alignment horizontal="right" vertical="center"/>
      <protection hidden="1"/>
    </xf>
    <xf numFmtId="168" fontId="0" fillId="2" borderId="1" xfId="0" applyNumberFormat="1" applyFill="1" applyBorder="1" applyAlignment="1" applyProtection="1">
      <alignment horizontal="right" vertical="center"/>
      <protection locked="0"/>
    </xf>
    <xf numFmtId="0" fontId="14" fillId="3" borderId="3" xfId="0" applyFont="1" applyFill="1" applyBorder="1" applyAlignment="1" applyProtection="1">
      <alignment horizontal="center" vertical="center"/>
      <protection hidden="1"/>
    </xf>
    <xf numFmtId="0" fontId="14" fillId="3" borderId="5" xfId="0" applyFont="1" applyFill="1" applyBorder="1" applyAlignment="1" applyProtection="1">
      <alignment horizontal="center" vertical="center"/>
      <protection hidden="1"/>
    </xf>
    <xf numFmtId="0" fontId="14" fillId="3" borderId="4" xfId="0" applyFont="1" applyFill="1" applyBorder="1" applyAlignment="1" applyProtection="1">
      <alignment horizontal="center" vertical="center"/>
      <protection hidden="1"/>
    </xf>
    <xf numFmtId="0" fontId="0" fillId="2" borderId="0" xfId="0" applyFill="1" applyAlignment="1" applyProtection="1">
      <alignment horizontal="center" vertical="center"/>
      <protection locked="0"/>
    </xf>
    <xf numFmtId="0" fontId="0" fillId="3" borderId="2" xfId="0" applyFill="1" applyBorder="1" applyAlignment="1" applyProtection="1">
      <alignment horizontal="center" vertical="center"/>
      <protection hidden="1"/>
    </xf>
    <xf numFmtId="172" fontId="0" fillId="0" borderId="21" xfId="0" applyNumberFormat="1" applyBorder="1" applyAlignment="1" applyProtection="1">
      <alignment horizontal="center" vertical="center"/>
      <protection hidden="1"/>
    </xf>
    <xf numFmtId="172" fontId="0" fillId="0" borderId="24" xfId="0" applyNumberFormat="1" applyBorder="1" applyAlignment="1" applyProtection="1">
      <alignment horizontal="center" vertical="center"/>
      <protection hidden="1"/>
    </xf>
    <xf numFmtId="0" fontId="0" fillId="3" borderId="5" xfId="0" applyFill="1" applyBorder="1" applyAlignment="1" applyProtection="1">
      <alignment horizontal="center" vertical="center"/>
      <protection hidden="1"/>
    </xf>
    <xf numFmtId="166" fontId="0" fillId="2" borderId="2" xfId="0" applyNumberFormat="1" applyFill="1" applyBorder="1" applyAlignment="1" applyProtection="1">
      <alignment horizontal="right" vertical="center"/>
      <protection locked="0"/>
    </xf>
    <xf numFmtId="0" fontId="0" fillId="3" borderId="3" xfId="0" applyFill="1" applyBorder="1" applyAlignment="1" applyProtection="1">
      <alignment horizontal="center" vertical="center"/>
      <protection hidden="1"/>
    </xf>
    <xf numFmtId="0" fontId="0" fillId="3" borderId="4" xfId="0" applyFill="1" applyBorder="1" applyAlignment="1" applyProtection="1">
      <alignment horizontal="center" vertical="center"/>
      <protection hidden="1"/>
    </xf>
    <xf numFmtId="0" fontId="15" fillId="3" borderId="31" xfId="0" applyFont="1" applyFill="1" applyBorder="1" applyAlignment="1" applyProtection="1">
      <alignment horizontal="center" vertical="center"/>
      <protection hidden="1"/>
    </xf>
    <xf numFmtId="0" fontId="15" fillId="3" borderId="32" xfId="0" applyFont="1" applyFill="1" applyBorder="1" applyAlignment="1" applyProtection="1">
      <alignment horizontal="center" vertical="center"/>
      <protection hidden="1"/>
    </xf>
    <xf numFmtId="0" fontId="0" fillId="0" borderId="28" xfId="0" applyBorder="1" applyAlignment="1" applyProtection="1">
      <alignment horizontal="center" vertical="center"/>
      <protection hidden="1"/>
    </xf>
    <xf numFmtId="0" fontId="0" fillId="0" borderId="26" xfId="0" applyBorder="1" applyAlignment="1" applyProtection="1">
      <alignment horizontal="center" vertical="center"/>
      <protection hidden="1"/>
    </xf>
    <xf numFmtId="0" fontId="16" fillId="0" borderId="3" xfId="0" applyFont="1" applyBorder="1" applyAlignment="1" applyProtection="1">
      <alignment horizontal="center" vertical="center"/>
      <protection hidden="1"/>
    </xf>
    <xf numFmtId="0" fontId="16" fillId="0" borderId="5" xfId="0" applyFont="1" applyBorder="1" applyAlignment="1" applyProtection="1">
      <alignment horizontal="center" vertical="center"/>
      <protection hidden="1"/>
    </xf>
    <xf numFmtId="0" fontId="16" fillId="0" borderId="4" xfId="0" applyFont="1" applyBorder="1" applyAlignment="1" applyProtection="1">
      <alignment horizontal="center" vertical="center"/>
      <protection hidden="1"/>
    </xf>
    <xf numFmtId="164" fontId="0" fillId="0" borderId="5" xfId="0" applyNumberFormat="1" applyBorder="1" applyAlignment="1" applyProtection="1">
      <alignment horizontal="center" vertical="center"/>
      <protection hidden="1"/>
    </xf>
    <xf numFmtId="171" fontId="0" fillId="0" borderId="5" xfId="0" applyNumberFormat="1" applyBorder="1" applyAlignment="1" applyProtection="1">
      <alignment horizontal="left" vertical="center"/>
      <protection hidden="1"/>
    </xf>
    <xf numFmtId="0" fontId="0" fillId="3" borderId="1" xfId="0" applyFill="1" applyBorder="1" applyAlignment="1" applyProtection="1">
      <alignment horizontal="center" vertical="center"/>
      <protection hidden="1"/>
    </xf>
    <xf numFmtId="0" fontId="0" fillId="0" borderId="1" xfId="0" applyBorder="1" applyAlignment="1" applyProtection="1">
      <alignment horizontal="center" vertical="center"/>
      <protection hidden="1"/>
    </xf>
    <xf numFmtId="171" fontId="0" fillId="2" borderId="0" xfId="0" applyNumberFormat="1" applyFill="1" applyAlignment="1" applyProtection="1">
      <alignment horizontal="left" vertical="center"/>
      <protection locked="0"/>
    </xf>
    <xf numFmtId="164" fontId="0" fillId="2" borderId="3" xfId="0" applyNumberFormat="1" applyFill="1" applyBorder="1" applyAlignment="1" applyProtection="1">
      <alignment horizontal="center" vertical="center"/>
      <protection locked="0"/>
    </xf>
    <xf numFmtId="164" fontId="0" fillId="2" borderId="5" xfId="0" applyNumberFormat="1" applyFill="1" applyBorder="1" applyAlignment="1" applyProtection="1">
      <alignment horizontal="center" vertical="center"/>
      <protection locked="0"/>
    </xf>
    <xf numFmtId="0" fontId="12" fillId="0" borderId="8" xfId="0" applyFont="1" applyBorder="1" applyAlignment="1" applyProtection="1">
      <alignment horizontal="center" vertical="center"/>
      <protection hidden="1"/>
    </xf>
    <xf numFmtId="0" fontId="0" fillId="0" borderId="18" xfId="0" applyBorder="1" applyAlignment="1" applyProtection="1">
      <alignment horizontal="center" vertical="center"/>
      <protection hidden="1"/>
    </xf>
    <xf numFmtId="0" fontId="0" fillId="0" borderId="19" xfId="0" applyBorder="1" applyAlignment="1" applyProtection="1">
      <alignment horizontal="center" vertical="center"/>
      <protection hidden="1"/>
    </xf>
    <xf numFmtId="170" fontId="0" fillId="2" borderId="0" xfId="0" applyNumberFormat="1" applyFill="1" applyAlignment="1" applyProtection="1">
      <alignment horizontal="center" vertical="center"/>
      <protection locked="0"/>
    </xf>
    <xf numFmtId="0" fontId="0" fillId="0" borderId="0" xfId="0" applyAlignment="1" applyProtection="1">
      <alignment horizontal="right" vertical="center"/>
      <protection hidden="1"/>
    </xf>
    <xf numFmtId="164" fontId="0" fillId="2" borderId="0" xfId="0" applyNumberFormat="1" applyFill="1" applyAlignment="1" applyProtection="1">
      <alignment horizontal="center" vertical="center"/>
      <protection locked="0"/>
    </xf>
    <xf numFmtId="0" fontId="0" fillId="2" borderId="0" xfId="0" applyFill="1" applyAlignment="1" applyProtection="1">
      <alignment horizontal="right" vertical="center"/>
      <protection locked="0"/>
    </xf>
    <xf numFmtId="0" fontId="0" fillId="2" borderId="3" xfId="0" applyFill="1" applyBorder="1" applyAlignment="1" applyProtection="1">
      <alignment horizontal="center" vertical="center"/>
      <protection locked="0"/>
    </xf>
    <xf numFmtId="0" fontId="0" fillId="0" borderId="0" xfId="0" applyAlignment="1" applyProtection="1">
      <alignment horizontal="center" vertical="center" textRotation="90"/>
      <protection hidden="1"/>
    </xf>
    <xf numFmtId="0" fontId="0" fillId="2" borderId="0" xfId="0" applyFill="1" applyAlignment="1" applyProtection="1">
      <alignment horizontal="center" vertical="center" textRotation="90"/>
      <protection locked="0"/>
    </xf>
    <xf numFmtId="0" fontId="0" fillId="2" borderId="0" xfId="0" applyFill="1" applyAlignment="1" applyProtection="1">
      <alignment horizontal="center" vertical="center"/>
      <protection hidden="1"/>
    </xf>
    <xf numFmtId="2" fontId="0" fillId="0" borderId="28" xfId="0" applyNumberFormat="1" applyBorder="1" applyAlignment="1" applyProtection="1">
      <alignment horizontal="right" vertical="center"/>
      <protection hidden="1"/>
    </xf>
    <xf numFmtId="2" fontId="0" fillId="0" borderId="29" xfId="0" applyNumberFormat="1" applyBorder="1" applyAlignment="1" applyProtection="1">
      <alignment horizontal="right" vertical="center"/>
      <protection hidden="1"/>
    </xf>
    <xf numFmtId="2" fontId="0" fillId="0" borderId="26" xfId="0" applyNumberFormat="1" applyBorder="1" applyAlignment="1" applyProtection="1">
      <alignment horizontal="right" vertical="center"/>
      <protection hidden="1"/>
    </xf>
    <xf numFmtId="172" fontId="0" fillId="0" borderId="0" xfId="0" applyNumberFormat="1" applyAlignment="1" applyProtection="1">
      <alignment horizontal="center" vertical="center"/>
      <protection hidden="1"/>
    </xf>
    <xf numFmtId="0" fontId="0" fillId="2" borderId="4" xfId="0" applyFill="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165" fontId="0" fillId="3" borderId="2" xfId="0" applyNumberFormat="1" applyFill="1" applyBorder="1" applyAlignment="1" applyProtection="1">
      <alignment horizontal="right" vertical="center"/>
      <protection hidden="1"/>
    </xf>
    <xf numFmtId="0" fontId="0" fillId="3" borderId="2" xfId="0" applyFill="1" applyBorder="1" applyAlignment="1" applyProtection="1">
      <alignment horizontal="right" vertical="center"/>
      <protection hidden="1"/>
    </xf>
    <xf numFmtId="2" fontId="0" fillId="0" borderId="3" xfId="0" applyNumberFormat="1" applyBorder="1" applyAlignment="1" applyProtection="1">
      <alignment horizontal="right" vertical="center"/>
      <protection hidden="1"/>
    </xf>
    <xf numFmtId="2" fontId="0" fillId="0" borderId="5" xfId="0" applyNumberFormat="1" applyBorder="1" applyAlignment="1" applyProtection="1">
      <alignment horizontal="right" vertical="center"/>
      <protection hidden="1"/>
    </xf>
    <xf numFmtId="2" fontId="0" fillId="0" borderId="4" xfId="0" applyNumberFormat="1" applyBorder="1" applyAlignment="1" applyProtection="1">
      <alignment horizontal="right" vertical="center"/>
      <protection hidden="1"/>
    </xf>
    <xf numFmtId="165" fontId="4" fillId="3" borderId="2" xfId="0" applyNumberFormat="1" applyFont="1" applyFill="1" applyBorder="1" applyAlignment="1" applyProtection="1">
      <alignment horizontal="right" vertical="center"/>
      <protection hidden="1"/>
    </xf>
    <xf numFmtId="4" fontId="0" fillId="3" borderId="2" xfId="0" applyNumberFormat="1" applyFill="1" applyBorder="1" applyAlignment="1" applyProtection="1">
      <alignment horizontal="right" vertical="center"/>
      <protection hidden="1"/>
    </xf>
    <xf numFmtId="4" fontId="0" fillId="3" borderId="38" xfId="0" applyNumberFormat="1" applyFill="1" applyBorder="1" applyAlignment="1" applyProtection="1">
      <alignment horizontal="right" vertical="center"/>
      <protection hidden="1"/>
    </xf>
    <xf numFmtId="4" fontId="4" fillId="3" borderId="2" xfId="0" applyNumberFormat="1" applyFont="1" applyFill="1" applyBorder="1" applyAlignment="1" applyProtection="1">
      <alignment horizontal="right" vertical="center"/>
      <protection hidden="1"/>
    </xf>
    <xf numFmtId="4" fontId="4" fillId="3" borderId="38" xfId="0" applyNumberFormat="1" applyFont="1" applyFill="1" applyBorder="1" applyAlignment="1" applyProtection="1">
      <alignment horizontal="right" vertical="center"/>
      <protection hidden="1"/>
    </xf>
    <xf numFmtId="169" fontId="0" fillId="2" borderId="2" xfId="0" applyNumberFormat="1" applyFill="1" applyBorder="1" applyAlignment="1" applyProtection="1">
      <alignment horizontal="right" vertical="center"/>
      <protection locked="0"/>
    </xf>
    <xf numFmtId="2" fontId="0" fillId="0" borderId="1" xfId="0" applyNumberFormat="1" applyBorder="1" applyAlignment="1" applyProtection="1">
      <alignment horizontal="center" vertical="center"/>
      <protection hidden="1"/>
    </xf>
    <xf numFmtId="0" fontId="0" fillId="2" borderId="3" xfId="0" applyFill="1" applyBorder="1" applyAlignment="1" applyProtection="1">
      <alignment horizontal="left" vertical="center"/>
      <protection locked="0"/>
    </xf>
    <xf numFmtId="0" fontId="0" fillId="2" borderId="5" xfId="0" applyFill="1" applyBorder="1" applyAlignment="1" applyProtection="1">
      <alignment horizontal="left" vertical="center"/>
      <protection locked="0"/>
    </xf>
    <xf numFmtId="0" fontId="5" fillId="0" borderId="2" xfId="0" applyFont="1" applyBorder="1" applyAlignment="1" applyProtection="1">
      <alignment horizontal="center" vertical="center"/>
      <protection locked="0"/>
    </xf>
    <xf numFmtId="0" fontId="0" fillId="3" borderId="41" xfId="0" applyFill="1" applyBorder="1" applyAlignment="1" applyProtection="1">
      <alignment horizontal="left" vertical="center"/>
      <protection hidden="1"/>
    </xf>
    <xf numFmtId="0" fontId="0" fillId="3" borderId="1" xfId="0" applyFill="1" applyBorder="1" applyAlignment="1" applyProtection="1">
      <alignment horizontal="left" vertical="center"/>
      <protection hidden="1"/>
    </xf>
    <xf numFmtId="165" fontId="0" fillId="0" borderId="1" xfId="0" applyNumberFormat="1" applyBorder="1" applyAlignment="1" applyProtection="1">
      <alignment horizontal="right" vertical="center"/>
      <protection hidden="1"/>
    </xf>
    <xf numFmtId="0" fontId="13" fillId="3" borderId="37" xfId="0" applyFont="1" applyFill="1" applyBorder="1" applyAlignment="1" applyProtection="1">
      <alignment horizontal="center" vertical="center"/>
      <protection hidden="1"/>
    </xf>
    <xf numFmtId="0" fontId="13" fillId="3" borderId="2" xfId="0" applyFont="1" applyFill="1" applyBorder="1" applyAlignment="1" applyProtection="1">
      <alignment horizontal="center" vertical="center"/>
      <protection hidden="1"/>
    </xf>
    <xf numFmtId="0" fontId="13" fillId="3" borderId="38" xfId="0" applyFont="1" applyFill="1" applyBorder="1" applyAlignment="1" applyProtection="1">
      <alignment horizontal="center" vertical="center"/>
      <protection hidden="1"/>
    </xf>
    <xf numFmtId="0" fontId="0" fillId="3" borderId="37" xfId="0" applyFill="1" applyBorder="1" applyAlignment="1" applyProtection="1">
      <alignment horizontal="center" vertical="center"/>
      <protection hidden="1"/>
    </xf>
    <xf numFmtId="0" fontId="0" fillId="3" borderId="39" xfId="0" applyFill="1" applyBorder="1" applyAlignment="1" applyProtection="1">
      <alignment horizontal="center" vertical="center"/>
      <protection hidden="1"/>
    </xf>
    <xf numFmtId="0" fontId="0" fillId="3" borderId="6" xfId="0" applyFill="1" applyBorder="1" applyAlignment="1" applyProtection="1">
      <alignment horizontal="center" vertical="center"/>
      <protection hidden="1"/>
    </xf>
    <xf numFmtId="0" fontId="0" fillId="3" borderId="18" xfId="0" applyFill="1" applyBorder="1" applyAlignment="1" applyProtection="1">
      <alignment horizontal="center" vertical="center" wrapText="1"/>
      <protection hidden="1"/>
    </xf>
    <xf numFmtId="0" fontId="0" fillId="3" borderId="19" xfId="0" applyFill="1" applyBorder="1" applyAlignment="1" applyProtection="1">
      <alignment horizontal="center" vertical="center" wrapText="1"/>
      <protection hidden="1"/>
    </xf>
    <xf numFmtId="0" fontId="0" fillId="3" borderId="21" xfId="0" applyFill="1" applyBorder="1" applyAlignment="1" applyProtection="1">
      <alignment horizontal="center" vertical="center" wrapText="1"/>
      <protection hidden="1"/>
    </xf>
    <xf numFmtId="0" fontId="0" fillId="3" borderId="0" xfId="0" applyFill="1" applyAlignment="1" applyProtection="1">
      <alignment horizontal="center" vertical="center" wrapText="1"/>
      <protection hidden="1"/>
    </xf>
    <xf numFmtId="0" fontId="0" fillId="3" borderId="22" xfId="0" applyFill="1" applyBorder="1" applyAlignment="1" applyProtection="1">
      <alignment horizontal="center" vertical="center" wrapText="1"/>
      <protection hidden="1"/>
    </xf>
    <xf numFmtId="0" fontId="0" fillId="3" borderId="23" xfId="0" applyFill="1" applyBorder="1" applyAlignment="1" applyProtection="1">
      <alignment horizontal="center" vertical="center" wrapText="1"/>
      <protection hidden="1"/>
    </xf>
    <xf numFmtId="0" fontId="0" fillId="3" borderId="2" xfId="0" applyFill="1" applyBorder="1" applyAlignment="1" applyProtection="1">
      <alignment horizontal="center" vertical="center" wrapText="1"/>
      <protection hidden="1"/>
    </xf>
    <xf numFmtId="0" fontId="0" fillId="3" borderId="38" xfId="0" applyFill="1" applyBorder="1" applyAlignment="1" applyProtection="1">
      <alignment horizontal="center" vertical="center" wrapText="1"/>
      <protection hidden="1"/>
    </xf>
    <xf numFmtId="0" fontId="0" fillId="3" borderId="6" xfId="0" applyFill="1" applyBorder="1" applyAlignment="1" applyProtection="1">
      <alignment horizontal="center" vertical="center" wrapText="1"/>
      <protection hidden="1"/>
    </xf>
    <xf numFmtId="0" fontId="0" fillId="3" borderId="40" xfId="0" applyFill="1" applyBorder="1" applyAlignment="1" applyProtection="1">
      <alignment horizontal="center" vertical="center" wrapText="1"/>
      <protection hidden="1"/>
    </xf>
    <xf numFmtId="0" fontId="0" fillId="3" borderId="18" xfId="0" applyFill="1" applyBorder="1" applyAlignment="1" applyProtection="1">
      <alignment horizontal="center" vertical="center"/>
      <protection hidden="1"/>
    </xf>
    <xf numFmtId="0" fontId="0" fillId="3" borderId="19" xfId="0" applyFill="1" applyBorder="1" applyAlignment="1" applyProtection="1">
      <alignment horizontal="center" vertical="center"/>
      <protection hidden="1"/>
    </xf>
    <xf numFmtId="0" fontId="0" fillId="3" borderId="20" xfId="0" applyFill="1" applyBorder="1" applyAlignment="1" applyProtection="1">
      <alignment horizontal="center" vertical="center"/>
      <protection hidden="1"/>
    </xf>
    <xf numFmtId="0" fontId="0" fillId="3" borderId="21" xfId="0" applyFill="1" applyBorder="1" applyAlignment="1" applyProtection="1">
      <alignment horizontal="center" vertical="center"/>
      <protection hidden="1"/>
    </xf>
    <xf numFmtId="0" fontId="0" fillId="3" borderId="0" xfId="0" applyFill="1" applyAlignment="1" applyProtection="1">
      <alignment horizontal="center" vertical="center"/>
      <protection hidden="1"/>
    </xf>
    <xf numFmtId="0" fontId="0" fillId="3" borderId="24" xfId="0" applyFill="1" applyBorder="1" applyAlignment="1" applyProtection="1">
      <alignment horizontal="center" vertical="center"/>
      <protection hidden="1"/>
    </xf>
    <xf numFmtId="0" fontId="0" fillId="3" borderId="22" xfId="0" applyFill="1" applyBorder="1" applyAlignment="1" applyProtection="1">
      <alignment horizontal="center" vertical="center"/>
      <protection hidden="1"/>
    </xf>
    <xf numFmtId="0" fontId="0" fillId="3" borderId="23" xfId="0" applyFill="1" applyBorder="1" applyAlignment="1" applyProtection="1">
      <alignment horizontal="center" vertical="center"/>
      <protection hidden="1"/>
    </xf>
    <xf numFmtId="0" fontId="0" fillId="3" borderId="25" xfId="0" applyFill="1" applyBorder="1" applyAlignment="1" applyProtection="1">
      <alignment horizontal="center" vertical="center"/>
      <protection hidden="1"/>
    </xf>
    <xf numFmtId="0" fontId="0" fillId="3" borderId="7" xfId="0" applyFill="1" applyBorder="1" applyAlignment="1" applyProtection="1">
      <alignment horizontal="center" vertical="center"/>
      <protection hidden="1"/>
    </xf>
    <xf numFmtId="0" fontId="0" fillId="3" borderId="8" xfId="0" applyFill="1" applyBorder="1" applyAlignment="1" applyProtection="1">
      <alignment horizontal="center" vertical="center"/>
      <protection hidden="1"/>
    </xf>
    <xf numFmtId="0" fontId="0" fillId="3" borderId="9" xfId="0" applyFill="1" applyBorder="1" applyAlignment="1" applyProtection="1">
      <alignment horizontal="center" vertical="center"/>
      <protection hidden="1"/>
    </xf>
    <xf numFmtId="0" fontId="0" fillId="3" borderId="34" xfId="0" applyFill="1" applyBorder="1" applyAlignment="1" applyProtection="1">
      <alignment horizontal="center" vertical="center"/>
      <protection hidden="1"/>
    </xf>
    <xf numFmtId="0" fontId="0" fillId="3" borderId="35" xfId="0" applyFill="1" applyBorder="1" applyAlignment="1" applyProtection="1">
      <alignment horizontal="center" vertical="center"/>
      <protection hidden="1"/>
    </xf>
    <xf numFmtId="0" fontId="0" fillId="3" borderId="36" xfId="0" applyFill="1" applyBorder="1" applyAlignment="1" applyProtection="1">
      <alignment horizontal="center" vertical="center"/>
      <protection hidden="1"/>
    </xf>
    <xf numFmtId="0" fontId="0" fillId="3" borderId="31" xfId="0" applyFill="1" applyBorder="1" applyAlignment="1" applyProtection="1">
      <alignment horizontal="center" vertical="center"/>
      <protection hidden="1"/>
    </xf>
    <xf numFmtId="0" fontId="0" fillId="3" borderId="33" xfId="0" applyFill="1" applyBorder="1" applyAlignment="1" applyProtection="1">
      <alignment horizontal="center" vertical="center"/>
      <protection hidden="1"/>
    </xf>
    <xf numFmtId="0" fontId="0" fillId="0" borderId="0" xfId="0" applyAlignment="1" applyProtection="1">
      <alignment horizontal="left" vertical="center"/>
      <protection hidden="1"/>
    </xf>
    <xf numFmtId="0" fontId="5" fillId="0" borderId="0" xfId="0" applyFont="1" applyAlignment="1" applyProtection="1">
      <alignment horizontal="center" vertical="center"/>
      <protection hidden="1"/>
    </xf>
    <xf numFmtId="0" fontId="5" fillId="0" borderId="0" xfId="0" applyFont="1" applyAlignment="1" applyProtection="1">
      <alignment horizontal="center" vertical="center" textRotation="90"/>
      <protection hidden="1"/>
    </xf>
    <xf numFmtId="2" fontId="0" fillId="3" borderId="2" xfId="0" applyNumberFormat="1" applyFill="1" applyBorder="1" applyAlignment="1" applyProtection="1">
      <alignment horizontal="right" vertical="center"/>
      <protection hidden="1"/>
    </xf>
    <xf numFmtId="0" fontId="10" fillId="4" borderId="10" xfId="0" applyFont="1" applyFill="1" applyBorder="1" applyAlignment="1" applyProtection="1">
      <alignment horizontal="center" vertical="center" wrapText="1"/>
      <protection hidden="1"/>
    </xf>
    <xf numFmtId="0" fontId="10" fillId="4" borderId="11" xfId="0" applyFont="1" applyFill="1" applyBorder="1" applyAlignment="1" applyProtection="1">
      <alignment horizontal="center" vertical="center" wrapText="1"/>
      <protection hidden="1"/>
    </xf>
    <xf numFmtId="0" fontId="10" fillId="4" borderId="12" xfId="0" applyFont="1" applyFill="1" applyBorder="1" applyAlignment="1" applyProtection="1">
      <alignment horizontal="center" vertical="center" wrapText="1"/>
      <protection hidden="1"/>
    </xf>
    <xf numFmtId="169" fontId="0" fillId="2" borderId="1" xfId="0" applyNumberFormat="1" applyFill="1" applyBorder="1" applyAlignment="1" applyProtection="1">
      <alignment horizontal="right" vertical="center"/>
      <protection locked="0"/>
    </xf>
    <xf numFmtId="0" fontId="6" fillId="0" borderId="2" xfId="0" applyFont="1" applyBorder="1" applyAlignment="1" applyProtection="1">
      <alignment horizontal="center" vertical="center"/>
      <protection hidden="1"/>
    </xf>
    <xf numFmtId="0" fontId="0" fillId="3" borderId="32" xfId="0" applyFill="1" applyBorder="1" applyAlignment="1" applyProtection="1">
      <alignment horizontal="center" vertical="center"/>
      <protection hidden="1"/>
    </xf>
    <xf numFmtId="164" fontId="0" fillId="2" borderId="28" xfId="0" applyNumberFormat="1" applyFill="1" applyBorder="1" applyAlignment="1" applyProtection="1">
      <alignment horizontal="center" vertical="center"/>
      <protection locked="0"/>
    </xf>
    <xf numFmtId="164" fontId="0" fillId="2" borderId="29" xfId="0" applyNumberFormat="1" applyFill="1" applyBorder="1" applyAlignment="1" applyProtection="1">
      <alignment horizontal="center" vertical="center"/>
      <protection locked="0"/>
    </xf>
    <xf numFmtId="165" fontId="0" fillId="0" borderId="27" xfId="0" applyNumberFormat="1" applyBorder="1" applyAlignment="1" applyProtection="1">
      <alignment horizontal="center" vertical="center"/>
      <protection hidden="1"/>
    </xf>
    <xf numFmtId="0" fontId="0" fillId="0" borderId="3" xfId="0" applyBorder="1" applyAlignment="1" applyProtection="1">
      <alignment horizontal="right" vertical="center"/>
      <protection hidden="1"/>
    </xf>
    <xf numFmtId="0" fontId="0" fillId="0" borderId="5" xfId="0" applyBorder="1" applyAlignment="1" applyProtection="1">
      <alignment horizontal="right" vertical="center"/>
      <protection hidden="1"/>
    </xf>
    <xf numFmtId="0" fontId="7" fillId="0" borderId="2" xfId="0" applyFont="1" applyBorder="1" applyAlignment="1" applyProtection="1">
      <alignment horizontal="center" vertical="center" textRotation="90"/>
      <protection hidden="1"/>
    </xf>
    <xf numFmtId="0" fontId="6" fillId="0" borderId="2" xfId="0" applyFont="1" applyBorder="1" applyAlignment="1" applyProtection="1">
      <alignment horizontal="center" vertical="center" textRotation="90"/>
      <protection hidden="1"/>
    </xf>
    <xf numFmtId="0" fontId="0" fillId="0" borderId="2" xfId="0" applyBorder="1" applyAlignment="1" applyProtection="1">
      <alignment horizontal="center" vertical="center" wrapText="1"/>
      <protection hidden="1"/>
    </xf>
    <xf numFmtId="0" fontId="12" fillId="0" borderId="0" xfId="0" applyFont="1" applyAlignment="1" applyProtection="1">
      <alignment horizontal="center" vertical="center" textRotation="90"/>
      <protection hidden="1"/>
    </xf>
    <xf numFmtId="164" fontId="0" fillId="0" borderId="5" xfId="0" applyNumberFormat="1" applyBorder="1" applyAlignment="1" applyProtection="1">
      <alignment horizontal="left" vertical="center"/>
      <protection hidden="1"/>
    </xf>
    <xf numFmtId="4" fontId="0" fillId="3" borderId="1" xfId="0" applyNumberFormat="1" applyFill="1" applyBorder="1" applyAlignment="1" applyProtection="1">
      <alignment horizontal="right" vertical="center"/>
      <protection hidden="1"/>
    </xf>
    <xf numFmtId="4" fontId="0" fillId="3" borderId="42" xfId="0" applyNumberFormat="1" applyFill="1" applyBorder="1" applyAlignment="1" applyProtection="1">
      <alignment horizontal="right" vertical="center"/>
      <protection hidden="1"/>
    </xf>
    <xf numFmtId="170" fontId="0" fillId="0" borderId="8" xfId="0" applyNumberFormat="1" applyBorder="1" applyAlignment="1" applyProtection="1">
      <alignment horizontal="center" vertical="center"/>
      <protection hidden="1"/>
    </xf>
    <xf numFmtId="0" fontId="0" fillId="3" borderId="1" xfId="0" applyFill="1" applyBorder="1" applyAlignment="1" applyProtection="1">
      <alignment horizontal="right" vertical="center"/>
      <protection hidden="1"/>
    </xf>
    <xf numFmtId="165" fontId="0" fillId="3" borderId="1" xfId="0" applyNumberFormat="1" applyFill="1" applyBorder="1" applyAlignment="1" applyProtection="1">
      <alignment horizontal="right" vertical="center"/>
      <protection hidden="1"/>
    </xf>
    <xf numFmtId="171" fontId="0" fillId="0" borderId="0" xfId="0" applyNumberFormat="1" applyAlignment="1" applyProtection="1">
      <alignment horizontal="left" vertical="center"/>
      <protection hidden="1"/>
    </xf>
    <xf numFmtId="0" fontId="0" fillId="0" borderId="34" xfId="0" applyBorder="1" applyAlignment="1" applyProtection="1">
      <alignment horizontal="center" vertical="center"/>
      <protection hidden="1"/>
    </xf>
    <xf numFmtId="165" fontId="0" fillId="0" borderId="34" xfId="0" applyNumberFormat="1" applyBorder="1" applyAlignment="1" applyProtection="1">
      <alignment horizontal="center" vertical="center"/>
      <protection hidden="1"/>
    </xf>
    <xf numFmtId="169" fontId="0" fillId="2" borderId="35" xfId="0" applyNumberFormat="1" applyFill="1" applyBorder="1" applyAlignment="1" applyProtection="1">
      <alignment horizontal="right" vertical="center"/>
      <protection locked="0"/>
    </xf>
    <xf numFmtId="4" fontId="0" fillId="0" borderId="34" xfId="0" applyNumberFormat="1" applyBorder="1" applyAlignment="1" applyProtection="1">
      <alignment horizontal="right" vertical="center"/>
      <protection hidden="1"/>
    </xf>
    <xf numFmtId="4" fontId="0" fillId="0" borderId="48" xfId="0" applyNumberFormat="1" applyBorder="1" applyAlignment="1" applyProtection="1">
      <alignment horizontal="right" vertical="center"/>
      <protection hidden="1"/>
    </xf>
    <xf numFmtId="170" fontId="0" fillId="0" borderId="5" xfId="0" applyNumberFormat="1" applyBorder="1" applyAlignment="1" applyProtection="1">
      <alignment horizontal="center" vertical="center"/>
      <protection hidden="1"/>
    </xf>
    <xf numFmtId="164" fontId="0" fillId="0" borderId="0" xfId="0" applyNumberFormat="1" applyAlignment="1" applyProtection="1">
      <alignment horizontal="center" vertical="center"/>
      <protection hidden="1"/>
    </xf>
    <xf numFmtId="0" fontId="0" fillId="0" borderId="18" xfId="0" applyBorder="1" applyAlignment="1" applyProtection="1">
      <alignment horizontal="right" vertical="center"/>
      <protection hidden="1"/>
    </xf>
    <xf numFmtId="0" fontId="0" fillId="0" borderId="19" xfId="0" applyBorder="1" applyAlignment="1" applyProtection="1">
      <alignment horizontal="right" vertical="center"/>
      <protection hidden="1"/>
    </xf>
    <xf numFmtId="0" fontId="16" fillId="2" borderId="19" xfId="0" applyFont="1" applyFill="1" applyBorder="1" applyAlignment="1" applyProtection="1">
      <alignment horizontal="left" vertical="center"/>
      <protection locked="0"/>
    </xf>
    <xf numFmtId="0" fontId="16" fillId="2" borderId="5" xfId="0" applyFont="1" applyFill="1" applyBorder="1" applyAlignment="1" applyProtection="1">
      <alignment horizontal="left" vertical="center"/>
      <protection locked="0"/>
    </xf>
    <xf numFmtId="0" fontId="6" fillId="0" borderId="0" xfId="0" applyFont="1" applyAlignment="1" applyProtection="1">
      <alignment horizontal="center" vertical="center"/>
      <protection hidden="1"/>
    </xf>
    <xf numFmtId="0" fontId="6" fillId="2" borderId="0" xfId="0" applyFont="1" applyFill="1" applyAlignment="1" applyProtection="1">
      <alignment horizontal="center" vertical="center"/>
      <protection locked="0"/>
    </xf>
    <xf numFmtId="0" fontId="6" fillId="0" borderId="0" xfId="0" applyFont="1" applyAlignment="1" applyProtection="1">
      <alignment horizontal="center" vertical="center" textRotation="90"/>
      <protection hidden="1"/>
    </xf>
    <xf numFmtId="0" fontId="0" fillId="0" borderId="8" xfId="0" applyBorder="1" applyAlignment="1" applyProtection="1">
      <alignment horizontal="center" vertical="center"/>
      <protection hidden="1"/>
    </xf>
    <xf numFmtId="0" fontId="0" fillId="0" borderId="43" xfId="0" applyBorder="1" applyAlignment="1" applyProtection="1">
      <alignment horizontal="center" vertical="center"/>
      <protection hidden="1"/>
    </xf>
    <xf numFmtId="0" fontId="0" fillId="0" borderId="44" xfId="0" applyBorder="1" applyAlignment="1" applyProtection="1">
      <alignment horizontal="center" vertical="center"/>
      <protection hidden="1"/>
    </xf>
    <xf numFmtId="0" fontId="0" fillId="0" borderId="45" xfId="0" applyBorder="1" applyAlignment="1" applyProtection="1">
      <alignment horizontal="center" vertical="center"/>
      <protection hidden="1"/>
    </xf>
    <xf numFmtId="0" fontId="0" fillId="0" borderId="46" xfId="0" applyBorder="1" applyAlignment="1" applyProtection="1">
      <alignment horizontal="center" vertical="center"/>
      <protection hidden="1"/>
    </xf>
    <xf numFmtId="0" fontId="0" fillId="0" borderId="20" xfId="0" applyBorder="1" applyAlignment="1" applyProtection="1">
      <alignment horizontal="center" vertical="center"/>
      <protection hidden="1"/>
    </xf>
    <xf numFmtId="0" fontId="0" fillId="0" borderId="7" xfId="0" applyBorder="1" applyAlignment="1" applyProtection="1">
      <alignment horizontal="center" vertical="center"/>
      <protection hidden="1"/>
    </xf>
    <xf numFmtId="0" fontId="0" fillId="0" borderId="9" xfId="0" applyBorder="1" applyAlignment="1" applyProtection="1">
      <alignment horizontal="center" vertical="center"/>
      <protection hidden="1"/>
    </xf>
  </cellXfs>
  <cellStyles count="1">
    <cellStyle name="Normal" xfId="0" builtinId="0"/>
  </cellStyles>
  <dxfs count="47">
    <dxf>
      <font>
        <color auto="1"/>
      </font>
      <fill>
        <patternFill patternType="solid">
          <bgColor rgb="FFFFFF00"/>
        </patternFill>
      </fill>
    </dxf>
    <dxf>
      <font>
        <color auto="1"/>
      </font>
      <fill>
        <patternFill patternType="solid">
          <bgColor rgb="FFFFFF00"/>
        </patternFill>
      </fill>
    </dxf>
    <dxf>
      <font>
        <color auto="1"/>
      </font>
      <fill>
        <patternFill patternType="solid">
          <bgColor rgb="FFFFFF00"/>
        </patternFill>
      </fill>
    </dxf>
    <dxf>
      <font>
        <color auto="1"/>
      </font>
      <fill>
        <patternFill patternType="solid">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dxf>
    <dxf>
      <font>
        <color theme="1"/>
      </font>
    </dxf>
    <dxf>
      <font>
        <color theme="1"/>
      </font>
    </dxf>
    <dxf>
      <font>
        <color theme="1"/>
      </font>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dxf>
    <dxf>
      <font>
        <color theme="1"/>
      </font>
    </dxf>
    <dxf>
      <font>
        <color theme="1"/>
      </font>
    </dxf>
    <dxf>
      <font>
        <color theme="1"/>
      </font>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95250</xdr:colOff>
      <xdr:row>4</xdr:row>
      <xdr:rowOff>76201</xdr:rowOff>
    </xdr:from>
    <xdr:to>
      <xdr:col>32</xdr:col>
      <xdr:colOff>0</xdr:colOff>
      <xdr:row>21</xdr:row>
      <xdr:rowOff>61913</xdr:rowOff>
    </xdr:to>
    <xdr:grpSp>
      <xdr:nvGrpSpPr>
        <xdr:cNvPr id="511" name="Group 510">
          <a:extLst>
            <a:ext uri="{FF2B5EF4-FFF2-40B4-BE49-F238E27FC236}">
              <a16:creationId xmlns:a16="http://schemas.microsoft.com/office/drawing/2014/main" id="{504CEF69-48F0-EDFF-6EC1-17B818BCAD73}"/>
            </a:ext>
          </a:extLst>
        </xdr:cNvPr>
        <xdr:cNvGrpSpPr/>
      </xdr:nvGrpSpPr>
      <xdr:grpSpPr>
        <a:xfrm>
          <a:off x="419100" y="1028701"/>
          <a:ext cx="4762500" cy="2414587"/>
          <a:chOff x="419100" y="1028701"/>
          <a:chExt cx="4762500" cy="2414587"/>
        </a:xfrm>
      </xdr:grpSpPr>
      <xdr:sp macro="" textlink="">
        <xdr:nvSpPr>
          <xdr:cNvPr id="110" name="Rectangle 109">
            <a:extLst>
              <a:ext uri="{FF2B5EF4-FFF2-40B4-BE49-F238E27FC236}">
                <a16:creationId xmlns:a16="http://schemas.microsoft.com/office/drawing/2014/main" id="{4C2E1DCF-EDC0-AF1A-9997-98658429FBF0}"/>
              </a:ext>
            </a:extLst>
          </xdr:cNvPr>
          <xdr:cNvSpPr/>
        </xdr:nvSpPr>
        <xdr:spPr>
          <a:xfrm>
            <a:off x="971551" y="2819401"/>
            <a:ext cx="323849" cy="95250"/>
          </a:xfrm>
          <a:prstGeom prst="rect">
            <a:avLst/>
          </a:prstGeom>
          <a:pattFill prst="ltUpDiag">
            <a:fgClr>
              <a:schemeClr val="tx1"/>
            </a:fgClr>
            <a:bgClr>
              <a:schemeClr val="bg1"/>
            </a:bgClr>
          </a:patt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kern="1200"/>
          </a:p>
        </xdr:txBody>
      </xdr:sp>
      <xdr:sp macro="" textlink="">
        <xdr:nvSpPr>
          <xdr:cNvPr id="105" name="Freeform: Shape 104">
            <a:extLst>
              <a:ext uri="{FF2B5EF4-FFF2-40B4-BE49-F238E27FC236}">
                <a16:creationId xmlns:a16="http://schemas.microsoft.com/office/drawing/2014/main" id="{AF86536F-6E49-12B3-2D7C-693043373E86}"/>
              </a:ext>
            </a:extLst>
          </xdr:cNvPr>
          <xdr:cNvSpPr/>
        </xdr:nvSpPr>
        <xdr:spPr>
          <a:xfrm>
            <a:off x="1133475" y="1095375"/>
            <a:ext cx="3890963" cy="1724025"/>
          </a:xfrm>
          <a:custGeom>
            <a:avLst/>
            <a:gdLst>
              <a:gd name="connsiteX0" fmla="*/ 0 w 3890963"/>
              <a:gd name="connsiteY0" fmla="*/ 1709738 h 1724025"/>
              <a:gd name="connsiteX1" fmla="*/ 0 w 3890963"/>
              <a:gd name="connsiteY1" fmla="*/ 571500 h 1724025"/>
              <a:gd name="connsiteX2" fmla="*/ 1947863 w 3890963"/>
              <a:gd name="connsiteY2" fmla="*/ 0 h 1724025"/>
              <a:gd name="connsiteX3" fmla="*/ 3890963 w 3890963"/>
              <a:gd name="connsiteY3" fmla="*/ 576263 h 1724025"/>
              <a:gd name="connsiteX4" fmla="*/ 3890963 w 3890963"/>
              <a:gd name="connsiteY4" fmla="*/ 1724025 h 172402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890963" h="1724025">
                <a:moveTo>
                  <a:pt x="0" y="1709738"/>
                </a:moveTo>
                <a:lnTo>
                  <a:pt x="0" y="571500"/>
                </a:lnTo>
                <a:lnTo>
                  <a:pt x="1947863" y="0"/>
                </a:lnTo>
                <a:lnTo>
                  <a:pt x="3890963" y="576263"/>
                </a:lnTo>
                <a:lnTo>
                  <a:pt x="3890963" y="1724025"/>
                </a:lnTo>
              </a:path>
            </a:pathLst>
          </a:custGeom>
          <a:no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kern="1200"/>
          </a:p>
        </xdr:txBody>
      </xdr:sp>
      <xdr:cxnSp macro="">
        <xdr:nvCxnSpPr>
          <xdr:cNvPr id="107" name="Straight Connector 106">
            <a:extLst>
              <a:ext uri="{FF2B5EF4-FFF2-40B4-BE49-F238E27FC236}">
                <a16:creationId xmlns:a16="http://schemas.microsoft.com/office/drawing/2014/main" id="{C838AFEC-2CB1-22DC-4974-26AEC9696252}"/>
              </a:ext>
            </a:extLst>
          </xdr:cNvPr>
          <xdr:cNvCxnSpPr/>
        </xdr:nvCxnSpPr>
        <xdr:spPr>
          <a:xfrm>
            <a:off x="966788" y="2809875"/>
            <a:ext cx="328612"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11" name="Rectangle 110">
            <a:extLst>
              <a:ext uri="{FF2B5EF4-FFF2-40B4-BE49-F238E27FC236}">
                <a16:creationId xmlns:a16="http://schemas.microsoft.com/office/drawing/2014/main" id="{FE0DD466-87B7-4CEA-8B97-4D7E3E6CB411}"/>
              </a:ext>
            </a:extLst>
          </xdr:cNvPr>
          <xdr:cNvSpPr/>
        </xdr:nvSpPr>
        <xdr:spPr>
          <a:xfrm>
            <a:off x="4857751" y="2819401"/>
            <a:ext cx="323849" cy="95250"/>
          </a:xfrm>
          <a:prstGeom prst="rect">
            <a:avLst/>
          </a:prstGeom>
          <a:pattFill prst="ltUpDiag">
            <a:fgClr>
              <a:schemeClr val="tx1"/>
            </a:fgClr>
            <a:bgClr>
              <a:schemeClr val="bg1"/>
            </a:bgClr>
          </a:patt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kern="1200"/>
          </a:p>
        </xdr:txBody>
      </xdr:sp>
      <xdr:cxnSp macro="">
        <xdr:nvCxnSpPr>
          <xdr:cNvPr id="112" name="Straight Connector 111">
            <a:extLst>
              <a:ext uri="{FF2B5EF4-FFF2-40B4-BE49-F238E27FC236}">
                <a16:creationId xmlns:a16="http://schemas.microsoft.com/office/drawing/2014/main" id="{D8F8B173-EB82-4BE9-AB1E-7508F53F5311}"/>
              </a:ext>
            </a:extLst>
          </xdr:cNvPr>
          <xdr:cNvCxnSpPr/>
        </xdr:nvCxnSpPr>
        <xdr:spPr>
          <a:xfrm>
            <a:off x="4852988" y="2809875"/>
            <a:ext cx="328612"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14" name="Straight Connector 113">
            <a:extLst>
              <a:ext uri="{FF2B5EF4-FFF2-40B4-BE49-F238E27FC236}">
                <a16:creationId xmlns:a16="http://schemas.microsoft.com/office/drawing/2014/main" id="{5F131D4B-4386-85F7-CDC5-1F5BF7308052}"/>
              </a:ext>
            </a:extLst>
          </xdr:cNvPr>
          <xdr:cNvCxnSpPr/>
        </xdr:nvCxnSpPr>
        <xdr:spPr>
          <a:xfrm flipH="1">
            <a:off x="419101" y="2809875"/>
            <a:ext cx="495300"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16" name="Straight Connector 115">
            <a:extLst>
              <a:ext uri="{FF2B5EF4-FFF2-40B4-BE49-F238E27FC236}">
                <a16:creationId xmlns:a16="http://schemas.microsoft.com/office/drawing/2014/main" id="{76D41730-5947-ED7B-4922-6256F831AEBE}"/>
              </a:ext>
            </a:extLst>
          </xdr:cNvPr>
          <xdr:cNvCxnSpPr/>
        </xdr:nvCxnSpPr>
        <xdr:spPr>
          <a:xfrm flipV="1">
            <a:off x="809625" y="1028701"/>
            <a:ext cx="0" cy="183356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18" name="Straight Connector 117">
            <a:extLst>
              <a:ext uri="{FF2B5EF4-FFF2-40B4-BE49-F238E27FC236}">
                <a16:creationId xmlns:a16="http://schemas.microsoft.com/office/drawing/2014/main" id="{F7BDAF0D-BDB1-70AB-A3C0-2E4D64B19874}"/>
              </a:ext>
            </a:extLst>
          </xdr:cNvPr>
          <xdr:cNvCxnSpPr/>
        </xdr:nvCxnSpPr>
        <xdr:spPr>
          <a:xfrm>
            <a:off x="419100" y="1095375"/>
            <a:ext cx="2533652"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22" name="Straight Connector 121">
            <a:extLst>
              <a:ext uri="{FF2B5EF4-FFF2-40B4-BE49-F238E27FC236}">
                <a16:creationId xmlns:a16="http://schemas.microsoft.com/office/drawing/2014/main" id="{D9660DB9-CDD1-FF60-44D7-FFA0C3D24579}"/>
              </a:ext>
            </a:extLst>
          </xdr:cNvPr>
          <xdr:cNvCxnSpPr/>
        </xdr:nvCxnSpPr>
        <xdr:spPr>
          <a:xfrm flipH="1">
            <a:off x="776288" y="1062036"/>
            <a:ext cx="66675" cy="666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24" name="Straight Connector 123">
            <a:extLst>
              <a:ext uri="{FF2B5EF4-FFF2-40B4-BE49-F238E27FC236}">
                <a16:creationId xmlns:a16="http://schemas.microsoft.com/office/drawing/2014/main" id="{2B60AF12-5CEE-4353-80F2-335B09854245}"/>
              </a:ext>
            </a:extLst>
          </xdr:cNvPr>
          <xdr:cNvCxnSpPr/>
        </xdr:nvCxnSpPr>
        <xdr:spPr>
          <a:xfrm flipH="1">
            <a:off x="776289" y="2776541"/>
            <a:ext cx="66675" cy="666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27" name="Straight Connector 126">
            <a:extLst>
              <a:ext uri="{FF2B5EF4-FFF2-40B4-BE49-F238E27FC236}">
                <a16:creationId xmlns:a16="http://schemas.microsoft.com/office/drawing/2014/main" id="{86FDDAD3-8FD7-804C-CC26-BA56CA6374E3}"/>
              </a:ext>
            </a:extLst>
          </xdr:cNvPr>
          <xdr:cNvCxnSpPr/>
        </xdr:nvCxnSpPr>
        <xdr:spPr>
          <a:xfrm>
            <a:off x="742951" y="1666876"/>
            <a:ext cx="328613"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28" name="Straight Connector 127">
            <a:extLst>
              <a:ext uri="{FF2B5EF4-FFF2-40B4-BE49-F238E27FC236}">
                <a16:creationId xmlns:a16="http://schemas.microsoft.com/office/drawing/2014/main" id="{D659DFA1-70EE-4ADB-8635-F57337E489BB}"/>
              </a:ext>
            </a:extLst>
          </xdr:cNvPr>
          <xdr:cNvCxnSpPr/>
        </xdr:nvCxnSpPr>
        <xdr:spPr>
          <a:xfrm flipH="1">
            <a:off x="776288" y="1633536"/>
            <a:ext cx="66675" cy="666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29" name="Straight Connector 128">
            <a:extLst>
              <a:ext uri="{FF2B5EF4-FFF2-40B4-BE49-F238E27FC236}">
                <a16:creationId xmlns:a16="http://schemas.microsoft.com/office/drawing/2014/main" id="{FB0442D0-92B7-47B5-ADBA-50B50ED51733}"/>
              </a:ext>
            </a:extLst>
          </xdr:cNvPr>
          <xdr:cNvCxnSpPr/>
        </xdr:nvCxnSpPr>
        <xdr:spPr>
          <a:xfrm flipV="1">
            <a:off x="485771" y="1028702"/>
            <a:ext cx="0" cy="183356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30" name="Straight Connector 129">
            <a:extLst>
              <a:ext uri="{FF2B5EF4-FFF2-40B4-BE49-F238E27FC236}">
                <a16:creationId xmlns:a16="http://schemas.microsoft.com/office/drawing/2014/main" id="{809226B9-3B71-4F77-86F4-3B54F726CB49}"/>
              </a:ext>
            </a:extLst>
          </xdr:cNvPr>
          <xdr:cNvCxnSpPr/>
        </xdr:nvCxnSpPr>
        <xdr:spPr>
          <a:xfrm flipH="1">
            <a:off x="452434" y="1062037"/>
            <a:ext cx="66675" cy="666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31" name="Straight Connector 130">
            <a:extLst>
              <a:ext uri="{FF2B5EF4-FFF2-40B4-BE49-F238E27FC236}">
                <a16:creationId xmlns:a16="http://schemas.microsoft.com/office/drawing/2014/main" id="{B337657E-EB03-4DDC-9D1E-18D2C0DDD4A4}"/>
              </a:ext>
            </a:extLst>
          </xdr:cNvPr>
          <xdr:cNvCxnSpPr/>
        </xdr:nvCxnSpPr>
        <xdr:spPr>
          <a:xfrm flipH="1">
            <a:off x="452435" y="2776542"/>
            <a:ext cx="66675" cy="666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36" name="Straight Connector 135">
            <a:extLst>
              <a:ext uri="{FF2B5EF4-FFF2-40B4-BE49-F238E27FC236}">
                <a16:creationId xmlns:a16="http://schemas.microsoft.com/office/drawing/2014/main" id="{373E2C69-414E-E355-5A5E-A41A0FCD8DA4}"/>
              </a:ext>
            </a:extLst>
          </xdr:cNvPr>
          <xdr:cNvCxnSpPr/>
        </xdr:nvCxnSpPr>
        <xdr:spPr>
          <a:xfrm>
            <a:off x="1133476" y="2971800"/>
            <a:ext cx="0" cy="47148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38" name="Straight Connector 137">
            <a:extLst>
              <a:ext uri="{FF2B5EF4-FFF2-40B4-BE49-F238E27FC236}">
                <a16:creationId xmlns:a16="http://schemas.microsoft.com/office/drawing/2014/main" id="{FD718FC2-BBDF-F9FD-E1B0-7B52F60F021B}"/>
              </a:ext>
            </a:extLst>
          </xdr:cNvPr>
          <xdr:cNvCxnSpPr/>
        </xdr:nvCxnSpPr>
        <xdr:spPr>
          <a:xfrm>
            <a:off x="1066803" y="3095625"/>
            <a:ext cx="4010022"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40" name="Straight Connector 139">
            <a:extLst>
              <a:ext uri="{FF2B5EF4-FFF2-40B4-BE49-F238E27FC236}">
                <a16:creationId xmlns:a16="http://schemas.microsoft.com/office/drawing/2014/main" id="{C2B65617-4C44-499B-A517-DDE95DDF6829}"/>
              </a:ext>
            </a:extLst>
          </xdr:cNvPr>
          <xdr:cNvCxnSpPr/>
        </xdr:nvCxnSpPr>
        <xdr:spPr>
          <a:xfrm flipH="1">
            <a:off x="1100133" y="3062289"/>
            <a:ext cx="66675" cy="666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41" name="Straight Connector 140">
            <a:extLst>
              <a:ext uri="{FF2B5EF4-FFF2-40B4-BE49-F238E27FC236}">
                <a16:creationId xmlns:a16="http://schemas.microsoft.com/office/drawing/2014/main" id="{8360CCA6-3507-4134-B257-589374E8B819}"/>
              </a:ext>
            </a:extLst>
          </xdr:cNvPr>
          <xdr:cNvCxnSpPr/>
        </xdr:nvCxnSpPr>
        <xdr:spPr>
          <a:xfrm>
            <a:off x="1066803" y="3381375"/>
            <a:ext cx="4000497"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42" name="Straight Connector 141">
            <a:extLst>
              <a:ext uri="{FF2B5EF4-FFF2-40B4-BE49-F238E27FC236}">
                <a16:creationId xmlns:a16="http://schemas.microsoft.com/office/drawing/2014/main" id="{0559986B-8383-4DDE-AE4D-2655435BA0F7}"/>
              </a:ext>
            </a:extLst>
          </xdr:cNvPr>
          <xdr:cNvCxnSpPr/>
        </xdr:nvCxnSpPr>
        <xdr:spPr>
          <a:xfrm flipH="1">
            <a:off x="1100133" y="3348039"/>
            <a:ext cx="66675" cy="666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43" name="Straight Connector 142">
            <a:extLst>
              <a:ext uri="{FF2B5EF4-FFF2-40B4-BE49-F238E27FC236}">
                <a16:creationId xmlns:a16="http://schemas.microsoft.com/office/drawing/2014/main" id="{D5A58F4D-6A84-4E49-8029-2F034757855A}"/>
              </a:ext>
            </a:extLst>
          </xdr:cNvPr>
          <xdr:cNvCxnSpPr/>
        </xdr:nvCxnSpPr>
        <xdr:spPr>
          <a:xfrm>
            <a:off x="5019676" y="2971800"/>
            <a:ext cx="0" cy="47148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44" name="Straight Connector 143">
            <a:extLst>
              <a:ext uri="{FF2B5EF4-FFF2-40B4-BE49-F238E27FC236}">
                <a16:creationId xmlns:a16="http://schemas.microsoft.com/office/drawing/2014/main" id="{84FFCDAD-C19F-4604-9842-878CC35C1B9C}"/>
              </a:ext>
            </a:extLst>
          </xdr:cNvPr>
          <xdr:cNvCxnSpPr/>
        </xdr:nvCxnSpPr>
        <xdr:spPr>
          <a:xfrm flipH="1">
            <a:off x="4986333" y="3062289"/>
            <a:ext cx="66675" cy="666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45" name="Straight Connector 144">
            <a:extLst>
              <a:ext uri="{FF2B5EF4-FFF2-40B4-BE49-F238E27FC236}">
                <a16:creationId xmlns:a16="http://schemas.microsoft.com/office/drawing/2014/main" id="{5FA77360-760E-4BDF-95A9-C9882CFB0C0D}"/>
              </a:ext>
            </a:extLst>
          </xdr:cNvPr>
          <xdr:cNvCxnSpPr/>
        </xdr:nvCxnSpPr>
        <xdr:spPr>
          <a:xfrm flipH="1">
            <a:off x="4986333" y="3348039"/>
            <a:ext cx="66675" cy="666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48" name="Straight Connector 147">
            <a:extLst>
              <a:ext uri="{FF2B5EF4-FFF2-40B4-BE49-F238E27FC236}">
                <a16:creationId xmlns:a16="http://schemas.microsoft.com/office/drawing/2014/main" id="{7C133104-D63D-47BC-8225-92C035439E15}"/>
              </a:ext>
            </a:extLst>
          </xdr:cNvPr>
          <xdr:cNvCxnSpPr/>
        </xdr:nvCxnSpPr>
        <xdr:spPr>
          <a:xfrm>
            <a:off x="3076586" y="2686047"/>
            <a:ext cx="0" cy="47148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49" name="Straight Connector 148">
            <a:extLst>
              <a:ext uri="{FF2B5EF4-FFF2-40B4-BE49-F238E27FC236}">
                <a16:creationId xmlns:a16="http://schemas.microsoft.com/office/drawing/2014/main" id="{E636A741-4EEC-4D95-871F-E5FF35EF2AFF}"/>
              </a:ext>
            </a:extLst>
          </xdr:cNvPr>
          <xdr:cNvCxnSpPr/>
        </xdr:nvCxnSpPr>
        <xdr:spPr>
          <a:xfrm flipH="1">
            <a:off x="3043243" y="3062286"/>
            <a:ext cx="66675" cy="666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51" name="Straight Connector 150">
            <a:extLst>
              <a:ext uri="{FF2B5EF4-FFF2-40B4-BE49-F238E27FC236}">
                <a16:creationId xmlns:a16="http://schemas.microsoft.com/office/drawing/2014/main" id="{E516AB34-4E69-C7CD-4066-B0901EE3E798}"/>
              </a:ext>
            </a:extLst>
          </xdr:cNvPr>
          <xdr:cNvCxnSpPr/>
        </xdr:nvCxnSpPr>
        <xdr:spPr>
          <a:xfrm flipV="1">
            <a:off x="1166813" y="1357315"/>
            <a:ext cx="2043118" cy="59944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53" name="Straight Connector 152">
            <a:extLst>
              <a:ext uri="{FF2B5EF4-FFF2-40B4-BE49-F238E27FC236}">
                <a16:creationId xmlns:a16="http://schemas.microsoft.com/office/drawing/2014/main" id="{D2465EE2-8CB1-74E3-B7F6-46875A549FBE}"/>
              </a:ext>
            </a:extLst>
          </xdr:cNvPr>
          <xdr:cNvCxnSpPr/>
        </xdr:nvCxnSpPr>
        <xdr:spPr>
          <a:xfrm flipH="1" flipV="1">
            <a:off x="3084899" y="1126295"/>
            <a:ext cx="88049" cy="30706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56" name="Straight Connector 155">
            <a:extLst>
              <a:ext uri="{FF2B5EF4-FFF2-40B4-BE49-F238E27FC236}">
                <a16:creationId xmlns:a16="http://schemas.microsoft.com/office/drawing/2014/main" id="{01F5F9CE-6B22-CE09-4A2C-657CC4E38230}"/>
              </a:ext>
            </a:extLst>
          </xdr:cNvPr>
          <xdr:cNvCxnSpPr/>
        </xdr:nvCxnSpPr>
        <xdr:spPr>
          <a:xfrm flipH="1">
            <a:off x="3138485" y="1338259"/>
            <a:ext cx="38102" cy="7620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58" name="Straight Connector 157">
            <a:extLst>
              <a:ext uri="{FF2B5EF4-FFF2-40B4-BE49-F238E27FC236}">
                <a16:creationId xmlns:a16="http://schemas.microsoft.com/office/drawing/2014/main" id="{763A4C62-1BAF-4001-9B13-85F1F2EB0A7B}"/>
              </a:ext>
            </a:extLst>
          </xdr:cNvPr>
          <xdr:cNvCxnSpPr/>
        </xdr:nvCxnSpPr>
        <xdr:spPr>
          <a:xfrm flipH="1" flipV="1">
            <a:off x="1151324" y="1693035"/>
            <a:ext cx="88049" cy="30706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59" name="Straight Connector 158">
            <a:extLst>
              <a:ext uri="{FF2B5EF4-FFF2-40B4-BE49-F238E27FC236}">
                <a16:creationId xmlns:a16="http://schemas.microsoft.com/office/drawing/2014/main" id="{225A86FB-DF8F-46CE-876D-DB86245299A1}"/>
              </a:ext>
            </a:extLst>
          </xdr:cNvPr>
          <xdr:cNvCxnSpPr/>
        </xdr:nvCxnSpPr>
        <xdr:spPr>
          <a:xfrm flipH="1">
            <a:off x="1204910" y="1904999"/>
            <a:ext cx="38102" cy="7620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78" name="Straight Connector 177">
            <a:extLst>
              <a:ext uri="{FF2B5EF4-FFF2-40B4-BE49-F238E27FC236}">
                <a16:creationId xmlns:a16="http://schemas.microsoft.com/office/drawing/2014/main" id="{9A855D82-DBF3-15CB-BEC3-6AA43113C214}"/>
              </a:ext>
            </a:extLst>
          </xdr:cNvPr>
          <xdr:cNvCxnSpPr/>
        </xdr:nvCxnSpPr>
        <xdr:spPr>
          <a:xfrm>
            <a:off x="4681539" y="1666876"/>
            <a:ext cx="280988" cy="0"/>
          </a:xfrm>
          <a:prstGeom prst="line">
            <a:avLst/>
          </a:prstGeom>
        </xdr:spPr>
        <xdr:style>
          <a:lnRef idx="1">
            <a:schemeClr val="accent1"/>
          </a:lnRef>
          <a:fillRef idx="0">
            <a:schemeClr val="accent1"/>
          </a:fillRef>
          <a:effectRef idx="0">
            <a:schemeClr val="accent1"/>
          </a:effectRef>
          <a:fontRef idx="minor">
            <a:schemeClr val="tx1"/>
          </a:fontRef>
        </xdr:style>
      </xdr:cxnSp>
      <xdr:sp macro="" textlink="">
        <xdr:nvSpPr>
          <xdr:cNvPr id="179" name="Arc 178">
            <a:extLst>
              <a:ext uri="{FF2B5EF4-FFF2-40B4-BE49-F238E27FC236}">
                <a16:creationId xmlns:a16="http://schemas.microsoft.com/office/drawing/2014/main" id="{98EED277-7B0F-37FC-61C2-3F21BFF1DE49}"/>
              </a:ext>
            </a:extLst>
          </xdr:cNvPr>
          <xdr:cNvSpPr/>
        </xdr:nvSpPr>
        <xdr:spPr>
          <a:xfrm rot="13320143">
            <a:off x="4724399" y="1547812"/>
            <a:ext cx="161926" cy="161926"/>
          </a:xfrm>
          <a:prstGeom prst="arc">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tr-TR" sz="1100" kern="1200"/>
          </a:p>
        </xdr:txBody>
      </xdr:sp>
    </xdr:grpSp>
    <xdr:clientData/>
  </xdr:twoCellAnchor>
  <xdr:twoCellAnchor>
    <xdr:from>
      <xdr:col>2</xdr:col>
      <xdr:colOff>95250</xdr:colOff>
      <xdr:row>64</xdr:row>
      <xdr:rowOff>123825</xdr:rowOff>
    </xdr:from>
    <xdr:to>
      <xdr:col>34</xdr:col>
      <xdr:colOff>57148</xdr:colOff>
      <xdr:row>83</xdr:row>
      <xdr:rowOff>69850</xdr:rowOff>
    </xdr:to>
    <xdr:grpSp>
      <xdr:nvGrpSpPr>
        <xdr:cNvPr id="2514" name="Group 2513">
          <a:extLst>
            <a:ext uri="{FF2B5EF4-FFF2-40B4-BE49-F238E27FC236}">
              <a16:creationId xmlns:a16="http://schemas.microsoft.com/office/drawing/2014/main" id="{3EAC9039-BB1A-1EE7-B798-510729D2B8FF}"/>
            </a:ext>
          </a:extLst>
        </xdr:cNvPr>
        <xdr:cNvGrpSpPr/>
      </xdr:nvGrpSpPr>
      <xdr:grpSpPr>
        <a:xfrm>
          <a:off x="419100" y="9648825"/>
          <a:ext cx="5143498" cy="2660650"/>
          <a:chOff x="419100" y="9648825"/>
          <a:chExt cx="5143498" cy="2660650"/>
        </a:xfrm>
      </xdr:grpSpPr>
      <xdr:sp macro="" textlink="">
        <xdr:nvSpPr>
          <xdr:cNvPr id="318" name="Freeform: Shape 317">
            <a:extLst>
              <a:ext uri="{FF2B5EF4-FFF2-40B4-BE49-F238E27FC236}">
                <a16:creationId xmlns:a16="http://schemas.microsoft.com/office/drawing/2014/main" id="{10874926-AF7F-7D40-2EA8-3781765F8EC4}"/>
              </a:ext>
            </a:extLst>
          </xdr:cNvPr>
          <xdr:cNvSpPr/>
        </xdr:nvSpPr>
        <xdr:spPr>
          <a:xfrm>
            <a:off x="1133475" y="9950450"/>
            <a:ext cx="3889375" cy="1717675"/>
          </a:xfrm>
          <a:custGeom>
            <a:avLst/>
            <a:gdLst>
              <a:gd name="connsiteX0" fmla="*/ 0 w 3892550"/>
              <a:gd name="connsiteY0" fmla="*/ 574675 h 1717675"/>
              <a:gd name="connsiteX1" fmla="*/ 0 w 3892550"/>
              <a:gd name="connsiteY1" fmla="*/ 1717675 h 1717675"/>
              <a:gd name="connsiteX2" fmla="*/ 3892550 w 3892550"/>
              <a:gd name="connsiteY2" fmla="*/ 1717675 h 1717675"/>
              <a:gd name="connsiteX3" fmla="*/ 3892550 w 3892550"/>
              <a:gd name="connsiteY3" fmla="*/ 577850 h 1717675"/>
              <a:gd name="connsiteX4" fmla="*/ 1946275 w 3892550"/>
              <a:gd name="connsiteY4" fmla="*/ 0 h 1717675"/>
              <a:gd name="connsiteX5" fmla="*/ 0 w 3892550"/>
              <a:gd name="connsiteY5" fmla="*/ 574675 h 171767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3892550" h="1717675">
                <a:moveTo>
                  <a:pt x="0" y="574675"/>
                </a:moveTo>
                <a:lnTo>
                  <a:pt x="0" y="1717675"/>
                </a:lnTo>
                <a:lnTo>
                  <a:pt x="3892550" y="1717675"/>
                </a:lnTo>
                <a:lnTo>
                  <a:pt x="3892550" y="577850"/>
                </a:lnTo>
                <a:lnTo>
                  <a:pt x="1946275" y="0"/>
                </a:lnTo>
                <a:lnTo>
                  <a:pt x="0" y="574675"/>
                </a:lnTo>
                <a:close/>
              </a:path>
            </a:pathLst>
          </a:cu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kern="1200"/>
          </a:p>
        </xdr:txBody>
      </xdr:sp>
      <xdr:sp macro="" textlink="">
        <xdr:nvSpPr>
          <xdr:cNvPr id="32" name="Rectangle 31">
            <a:extLst>
              <a:ext uri="{FF2B5EF4-FFF2-40B4-BE49-F238E27FC236}">
                <a16:creationId xmlns:a16="http://schemas.microsoft.com/office/drawing/2014/main" id="{B297F133-8E2C-4807-B8ED-5BAC491AE129}"/>
              </a:ext>
            </a:extLst>
          </xdr:cNvPr>
          <xdr:cNvSpPr/>
        </xdr:nvSpPr>
        <xdr:spPr>
          <a:xfrm>
            <a:off x="971551" y="11677651"/>
            <a:ext cx="323849" cy="95250"/>
          </a:xfrm>
          <a:prstGeom prst="rect">
            <a:avLst/>
          </a:prstGeom>
          <a:pattFill prst="ltUpDiag">
            <a:fgClr>
              <a:schemeClr val="tx1"/>
            </a:fgClr>
            <a:bgClr>
              <a:schemeClr val="bg1"/>
            </a:bgClr>
          </a:patt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kern="1200"/>
          </a:p>
        </xdr:txBody>
      </xdr:sp>
      <xdr:cxnSp macro="">
        <xdr:nvCxnSpPr>
          <xdr:cNvPr id="70" name="Straight Connector 69">
            <a:extLst>
              <a:ext uri="{FF2B5EF4-FFF2-40B4-BE49-F238E27FC236}">
                <a16:creationId xmlns:a16="http://schemas.microsoft.com/office/drawing/2014/main" id="{D8C03AD2-2D03-47ED-90D5-78D905C0960A}"/>
              </a:ext>
            </a:extLst>
          </xdr:cNvPr>
          <xdr:cNvCxnSpPr/>
        </xdr:nvCxnSpPr>
        <xdr:spPr>
          <a:xfrm>
            <a:off x="966788" y="11668125"/>
            <a:ext cx="328612"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72" name="Rectangle 71">
            <a:extLst>
              <a:ext uri="{FF2B5EF4-FFF2-40B4-BE49-F238E27FC236}">
                <a16:creationId xmlns:a16="http://schemas.microsoft.com/office/drawing/2014/main" id="{61B610F4-39B5-4FDF-ABA0-5139FF7AB639}"/>
              </a:ext>
            </a:extLst>
          </xdr:cNvPr>
          <xdr:cNvSpPr/>
        </xdr:nvSpPr>
        <xdr:spPr>
          <a:xfrm>
            <a:off x="4857751" y="11677651"/>
            <a:ext cx="323849" cy="95250"/>
          </a:xfrm>
          <a:prstGeom prst="rect">
            <a:avLst/>
          </a:prstGeom>
          <a:pattFill prst="ltUpDiag">
            <a:fgClr>
              <a:schemeClr val="tx1"/>
            </a:fgClr>
            <a:bgClr>
              <a:schemeClr val="bg1"/>
            </a:bgClr>
          </a:patt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kern="1200"/>
          </a:p>
        </xdr:txBody>
      </xdr:sp>
      <xdr:cxnSp macro="">
        <xdr:nvCxnSpPr>
          <xdr:cNvPr id="74" name="Straight Connector 73">
            <a:extLst>
              <a:ext uri="{FF2B5EF4-FFF2-40B4-BE49-F238E27FC236}">
                <a16:creationId xmlns:a16="http://schemas.microsoft.com/office/drawing/2014/main" id="{FEE83EB1-E576-425E-AB16-B6AF6DD4D8B3}"/>
              </a:ext>
            </a:extLst>
          </xdr:cNvPr>
          <xdr:cNvCxnSpPr/>
        </xdr:nvCxnSpPr>
        <xdr:spPr>
          <a:xfrm>
            <a:off x="4852988" y="11668125"/>
            <a:ext cx="328612"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17" name="Straight Connector 116">
            <a:extLst>
              <a:ext uri="{FF2B5EF4-FFF2-40B4-BE49-F238E27FC236}">
                <a16:creationId xmlns:a16="http://schemas.microsoft.com/office/drawing/2014/main" id="{2D1E4C25-78E8-0A10-75D9-8AAFCDED21C6}"/>
              </a:ext>
            </a:extLst>
          </xdr:cNvPr>
          <xdr:cNvCxnSpPr/>
        </xdr:nvCxnSpPr>
        <xdr:spPr>
          <a:xfrm flipV="1">
            <a:off x="2428876" y="10139363"/>
            <a:ext cx="0" cy="1533525"/>
          </a:xfrm>
          <a:prstGeom prst="line">
            <a:avLst/>
          </a:prstGeom>
          <a:noFill/>
          <a:ln w="6350"/>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120" name="Straight Connector 119">
            <a:extLst>
              <a:ext uri="{FF2B5EF4-FFF2-40B4-BE49-F238E27FC236}">
                <a16:creationId xmlns:a16="http://schemas.microsoft.com/office/drawing/2014/main" id="{B1B18611-3CEA-4DDA-A0E0-81981AABCA5A}"/>
              </a:ext>
            </a:extLst>
          </xdr:cNvPr>
          <xdr:cNvCxnSpPr/>
        </xdr:nvCxnSpPr>
        <xdr:spPr>
          <a:xfrm flipV="1">
            <a:off x="3724275" y="10144125"/>
            <a:ext cx="0" cy="1524000"/>
          </a:xfrm>
          <a:prstGeom prst="line">
            <a:avLst/>
          </a:prstGeom>
          <a:noFill/>
          <a:ln w="6350"/>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132" name="Straight Connector 131">
            <a:extLst>
              <a:ext uri="{FF2B5EF4-FFF2-40B4-BE49-F238E27FC236}">
                <a16:creationId xmlns:a16="http://schemas.microsoft.com/office/drawing/2014/main" id="{F3CEE744-FA59-FE12-09D9-F20B74C94EA5}"/>
              </a:ext>
            </a:extLst>
          </xdr:cNvPr>
          <xdr:cNvCxnSpPr/>
        </xdr:nvCxnSpPr>
        <xdr:spPr>
          <a:xfrm>
            <a:off x="1133475" y="10887082"/>
            <a:ext cx="400050" cy="0"/>
          </a:xfrm>
          <a:prstGeom prst="line">
            <a:avLst/>
          </a:prstGeom>
          <a:noFill/>
          <a:ln w="6350"/>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133" name="Straight Connector 132">
            <a:extLst>
              <a:ext uri="{FF2B5EF4-FFF2-40B4-BE49-F238E27FC236}">
                <a16:creationId xmlns:a16="http://schemas.microsoft.com/office/drawing/2014/main" id="{FBC1FD70-9408-45EE-B924-238F851D2163}"/>
              </a:ext>
            </a:extLst>
          </xdr:cNvPr>
          <xdr:cNvCxnSpPr/>
        </xdr:nvCxnSpPr>
        <xdr:spPr>
          <a:xfrm>
            <a:off x="1133470" y="11291897"/>
            <a:ext cx="404818" cy="0"/>
          </a:xfrm>
          <a:prstGeom prst="line">
            <a:avLst/>
          </a:prstGeom>
          <a:noFill/>
          <a:ln w="6350"/>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134" name="Straight Connector 133">
            <a:extLst>
              <a:ext uri="{FF2B5EF4-FFF2-40B4-BE49-F238E27FC236}">
                <a16:creationId xmlns:a16="http://schemas.microsoft.com/office/drawing/2014/main" id="{40B50008-FB08-47A5-BCD0-F03DE939A35F}"/>
              </a:ext>
            </a:extLst>
          </xdr:cNvPr>
          <xdr:cNvCxnSpPr/>
        </xdr:nvCxnSpPr>
        <xdr:spPr>
          <a:xfrm>
            <a:off x="1133474" y="10525125"/>
            <a:ext cx="400051" cy="0"/>
          </a:xfrm>
          <a:prstGeom prst="line">
            <a:avLst/>
          </a:prstGeom>
          <a:noFill/>
          <a:ln w="6350"/>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137" name="Straight Connector 136">
            <a:extLst>
              <a:ext uri="{FF2B5EF4-FFF2-40B4-BE49-F238E27FC236}">
                <a16:creationId xmlns:a16="http://schemas.microsoft.com/office/drawing/2014/main" id="{54F8B06E-5360-ADB4-919A-8D15A3AE69AA}"/>
              </a:ext>
            </a:extLst>
          </xdr:cNvPr>
          <xdr:cNvCxnSpPr/>
        </xdr:nvCxnSpPr>
        <xdr:spPr>
          <a:xfrm flipV="1">
            <a:off x="1543040" y="10406063"/>
            <a:ext cx="0" cy="1262065"/>
          </a:xfrm>
          <a:prstGeom prst="line">
            <a:avLst/>
          </a:prstGeom>
          <a:noFill/>
          <a:ln w="6350"/>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146" name="Straight Connector 145">
            <a:extLst>
              <a:ext uri="{FF2B5EF4-FFF2-40B4-BE49-F238E27FC236}">
                <a16:creationId xmlns:a16="http://schemas.microsoft.com/office/drawing/2014/main" id="{D1E31A8F-52BB-4078-9131-1803A0F2D14A}"/>
              </a:ext>
            </a:extLst>
          </xdr:cNvPr>
          <xdr:cNvCxnSpPr/>
        </xdr:nvCxnSpPr>
        <xdr:spPr>
          <a:xfrm flipV="1">
            <a:off x="2014535" y="10272713"/>
            <a:ext cx="0" cy="1395415"/>
          </a:xfrm>
          <a:prstGeom prst="line">
            <a:avLst/>
          </a:prstGeom>
          <a:noFill/>
          <a:ln w="6350"/>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152" name="Straight Connector 151">
            <a:extLst>
              <a:ext uri="{FF2B5EF4-FFF2-40B4-BE49-F238E27FC236}">
                <a16:creationId xmlns:a16="http://schemas.microsoft.com/office/drawing/2014/main" id="{ACA252F7-4704-4688-A2C9-ABFBEF6EFCB2}"/>
              </a:ext>
            </a:extLst>
          </xdr:cNvPr>
          <xdr:cNvCxnSpPr/>
        </xdr:nvCxnSpPr>
        <xdr:spPr>
          <a:xfrm flipV="1">
            <a:off x="4610100" y="10406062"/>
            <a:ext cx="0" cy="1262065"/>
          </a:xfrm>
          <a:prstGeom prst="line">
            <a:avLst/>
          </a:prstGeom>
          <a:noFill/>
          <a:ln w="6350"/>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154" name="Straight Connector 153">
            <a:extLst>
              <a:ext uri="{FF2B5EF4-FFF2-40B4-BE49-F238E27FC236}">
                <a16:creationId xmlns:a16="http://schemas.microsoft.com/office/drawing/2014/main" id="{8B496DA4-9015-4A93-B3E9-337F4DDDE5FA}"/>
              </a:ext>
            </a:extLst>
          </xdr:cNvPr>
          <xdr:cNvCxnSpPr/>
        </xdr:nvCxnSpPr>
        <xdr:spPr>
          <a:xfrm flipV="1">
            <a:off x="4152908" y="10272713"/>
            <a:ext cx="0" cy="1395415"/>
          </a:xfrm>
          <a:prstGeom prst="line">
            <a:avLst/>
          </a:prstGeom>
          <a:noFill/>
          <a:ln w="6350"/>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155" name="Straight Connector 154">
            <a:extLst>
              <a:ext uri="{FF2B5EF4-FFF2-40B4-BE49-F238E27FC236}">
                <a16:creationId xmlns:a16="http://schemas.microsoft.com/office/drawing/2014/main" id="{B805ADFD-D7FD-449C-B82D-44D5234C86FF}"/>
              </a:ext>
            </a:extLst>
          </xdr:cNvPr>
          <xdr:cNvCxnSpPr/>
        </xdr:nvCxnSpPr>
        <xdr:spPr>
          <a:xfrm flipV="1">
            <a:off x="3076575" y="9953624"/>
            <a:ext cx="0" cy="852489"/>
          </a:xfrm>
          <a:prstGeom prst="line">
            <a:avLst/>
          </a:prstGeom>
          <a:noFill/>
          <a:ln w="6350"/>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161" name="Straight Connector 160">
            <a:extLst>
              <a:ext uri="{FF2B5EF4-FFF2-40B4-BE49-F238E27FC236}">
                <a16:creationId xmlns:a16="http://schemas.microsoft.com/office/drawing/2014/main" id="{3F0245B1-10C3-1EEA-212B-950E5B95FB30}"/>
              </a:ext>
            </a:extLst>
          </xdr:cNvPr>
          <xdr:cNvCxnSpPr/>
        </xdr:nvCxnSpPr>
        <xdr:spPr>
          <a:xfrm>
            <a:off x="2428875" y="10810875"/>
            <a:ext cx="1295400" cy="0"/>
          </a:xfrm>
          <a:prstGeom prst="line">
            <a:avLst/>
          </a:prstGeom>
          <a:noFill/>
          <a:ln w="6350"/>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170" name="Straight Connector 169">
            <a:extLst>
              <a:ext uri="{FF2B5EF4-FFF2-40B4-BE49-F238E27FC236}">
                <a16:creationId xmlns:a16="http://schemas.microsoft.com/office/drawing/2014/main" id="{DE3803FB-2A8B-4059-BDD4-0AB04B17A7C1}"/>
              </a:ext>
            </a:extLst>
          </xdr:cNvPr>
          <xdr:cNvCxnSpPr/>
        </xdr:nvCxnSpPr>
        <xdr:spPr>
          <a:xfrm>
            <a:off x="4613275" y="10887084"/>
            <a:ext cx="411173" cy="0"/>
          </a:xfrm>
          <a:prstGeom prst="line">
            <a:avLst/>
          </a:prstGeom>
          <a:noFill/>
          <a:ln w="6350"/>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172" name="Straight Connector 171">
            <a:extLst>
              <a:ext uri="{FF2B5EF4-FFF2-40B4-BE49-F238E27FC236}">
                <a16:creationId xmlns:a16="http://schemas.microsoft.com/office/drawing/2014/main" id="{6C1D7B03-90B7-40D2-94CB-2AEF1BCDFF8A}"/>
              </a:ext>
            </a:extLst>
          </xdr:cNvPr>
          <xdr:cNvCxnSpPr/>
        </xdr:nvCxnSpPr>
        <xdr:spPr>
          <a:xfrm>
            <a:off x="4616450" y="11291899"/>
            <a:ext cx="407998" cy="0"/>
          </a:xfrm>
          <a:prstGeom prst="line">
            <a:avLst/>
          </a:prstGeom>
          <a:noFill/>
          <a:ln w="6350"/>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177" name="Straight Connector 176">
            <a:extLst>
              <a:ext uri="{FF2B5EF4-FFF2-40B4-BE49-F238E27FC236}">
                <a16:creationId xmlns:a16="http://schemas.microsoft.com/office/drawing/2014/main" id="{3D3F2630-D0CB-4524-AB8D-7FE732F82F0B}"/>
              </a:ext>
            </a:extLst>
          </xdr:cNvPr>
          <xdr:cNvCxnSpPr/>
        </xdr:nvCxnSpPr>
        <xdr:spPr>
          <a:xfrm>
            <a:off x="2432050" y="10810875"/>
            <a:ext cx="1292225" cy="857250"/>
          </a:xfrm>
          <a:prstGeom prst="line">
            <a:avLst/>
          </a:prstGeom>
          <a:noFill/>
          <a:ln w="6350"/>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184" name="Straight Connector 183">
            <a:extLst>
              <a:ext uri="{FF2B5EF4-FFF2-40B4-BE49-F238E27FC236}">
                <a16:creationId xmlns:a16="http://schemas.microsoft.com/office/drawing/2014/main" id="{91D1EA7A-63A7-4525-AFD1-37F97C671F5E}"/>
              </a:ext>
            </a:extLst>
          </xdr:cNvPr>
          <xdr:cNvCxnSpPr/>
        </xdr:nvCxnSpPr>
        <xdr:spPr>
          <a:xfrm flipH="1">
            <a:off x="2425699" y="10806113"/>
            <a:ext cx="1300164" cy="862012"/>
          </a:xfrm>
          <a:prstGeom prst="line">
            <a:avLst/>
          </a:prstGeom>
          <a:noFill/>
          <a:ln w="6350"/>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201" name="Straight Connector 200">
            <a:extLst>
              <a:ext uri="{FF2B5EF4-FFF2-40B4-BE49-F238E27FC236}">
                <a16:creationId xmlns:a16="http://schemas.microsoft.com/office/drawing/2014/main" id="{81DAE12B-C574-18CD-BE08-97B55698AA48}"/>
              </a:ext>
            </a:extLst>
          </xdr:cNvPr>
          <xdr:cNvCxnSpPr/>
        </xdr:nvCxnSpPr>
        <xdr:spPr>
          <a:xfrm>
            <a:off x="1133475" y="11807825"/>
            <a:ext cx="0" cy="4857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03" name="Straight Connector 202">
            <a:extLst>
              <a:ext uri="{FF2B5EF4-FFF2-40B4-BE49-F238E27FC236}">
                <a16:creationId xmlns:a16="http://schemas.microsoft.com/office/drawing/2014/main" id="{FD4EAB8E-8E0C-0379-834A-04D649886468}"/>
              </a:ext>
            </a:extLst>
          </xdr:cNvPr>
          <xdr:cNvCxnSpPr/>
        </xdr:nvCxnSpPr>
        <xdr:spPr>
          <a:xfrm>
            <a:off x="1079500" y="11957050"/>
            <a:ext cx="40163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08" name="Straight Connector 207">
            <a:extLst>
              <a:ext uri="{FF2B5EF4-FFF2-40B4-BE49-F238E27FC236}">
                <a16:creationId xmlns:a16="http://schemas.microsoft.com/office/drawing/2014/main" id="{759E8DCA-9B21-A889-236C-59995C374B83}"/>
              </a:ext>
            </a:extLst>
          </xdr:cNvPr>
          <xdr:cNvCxnSpPr/>
        </xdr:nvCxnSpPr>
        <xdr:spPr>
          <a:xfrm flipH="1">
            <a:off x="1101725" y="11931650"/>
            <a:ext cx="60325" cy="603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09" name="Straight Connector 208">
            <a:extLst>
              <a:ext uri="{FF2B5EF4-FFF2-40B4-BE49-F238E27FC236}">
                <a16:creationId xmlns:a16="http://schemas.microsoft.com/office/drawing/2014/main" id="{79894844-0D5B-42FE-A758-CC6E6A6FE7D8}"/>
              </a:ext>
            </a:extLst>
          </xdr:cNvPr>
          <xdr:cNvCxnSpPr/>
        </xdr:nvCxnSpPr>
        <xdr:spPr>
          <a:xfrm>
            <a:off x="1076325" y="12239625"/>
            <a:ext cx="3987800"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44" name="Straight Connector 243">
            <a:extLst>
              <a:ext uri="{FF2B5EF4-FFF2-40B4-BE49-F238E27FC236}">
                <a16:creationId xmlns:a16="http://schemas.microsoft.com/office/drawing/2014/main" id="{970C45F7-1EE6-4D23-A9A0-8FCBF5D14EF9}"/>
              </a:ext>
            </a:extLst>
          </xdr:cNvPr>
          <xdr:cNvCxnSpPr/>
        </xdr:nvCxnSpPr>
        <xdr:spPr>
          <a:xfrm flipH="1">
            <a:off x="1101725" y="12211050"/>
            <a:ext cx="60325" cy="603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46" name="Straight Connector 245">
            <a:extLst>
              <a:ext uri="{FF2B5EF4-FFF2-40B4-BE49-F238E27FC236}">
                <a16:creationId xmlns:a16="http://schemas.microsoft.com/office/drawing/2014/main" id="{F42DFBF1-9C4B-44C0-8120-964F8CF5AFA7}"/>
              </a:ext>
            </a:extLst>
          </xdr:cNvPr>
          <xdr:cNvCxnSpPr/>
        </xdr:nvCxnSpPr>
        <xdr:spPr>
          <a:xfrm>
            <a:off x="1543050" y="11757025"/>
            <a:ext cx="0" cy="2540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47" name="Straight Connector 246">
            <a:extLst>
              <a:ext uri="{FF2B5EF4-FFF2-40B4-BE49-F238E27FC236}">
                <a16:creationId xmlns:a16="http://schemas.microsoft.com/office/drawing/2014/main" id="{35DEBEA1-0D64-4D0B-BD3C-FEA1F165BCCC}"/>
              </a:ext>
            </a:extLst>
          </xdr:cNvPr>
          <xdr:cNvCxnSpPr/>
        </xdr:nvCxnSpPr>
        <xdr:spPr>
          <a:xfrm flipH="1">
            <a:off x="1511300" y="11928475"/>
            <a:ext cx="60325" cy="603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50" name="Straight Connector 249">
            <a:extLst>
              <a:ext uri="{FF2B5EF4-FFF2-40B4-BE49-F238E27FC236}">
                <a16:creationId xmlns:a16="http://schemas.microsoft.com/office/drawing/2014/main" id="{F37B2B7F-3402-4644-92F4-B02ABB2CE47F}"/>
              </a:ext>
            </a:extLst>
          </xdr:cNvPr>
          <xdr:cNvCxnSpPr/>
        </xdr:nvCxnSpPr>
        <xdr:spPr>
          <a:xfrm>
            <a:off x="2012950" y="11741150"/>
            <a:ext cx="0" cy="2698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51" name="Straight Connector 250">
            <a:extLst>
              <a:ext uri="{FF2B5EF4-FFF2-40B4-BE49-F238E27FC236}">
                <a16:creationId xmlns:a16="http://schemas.microsoft.com/office/drawing/2014/main" id="{3953BAF9-0A10-4365-9F44-665F189FBF85}"/>
              </a:ext>
            </a:extLst>
          </xdr:cNvPr>
          <xdr:cNvCxnSpPr/>
        </xdr:nvCxnSpPr>
        <xdr:spPr>
          <a:xfrm flipH="1">
            <a:off x="1981200" y="11928475"/>
            <a:ext cx="60325" cy="603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55" name="Straight Connector 254">
            <a:extLst>
              <a:ext uri="{FF2B5EF4-FFF2-40B4-BE49-F238E27FC236}">
                <a16:creationId xmlns:a16="http://schemas.microsoft.com/office/drawing/2014/main" id="{534845C7-C367-49DC-9A97-99F4826DEE5C}"/>
              </a:ext>
            </a:extLst>
          </xdr:cNvPr>
          <xdr:cNvCxnSpPr/>
        </xdr:nvCxnSpPr>
        <xdr:spPr>
          <a:xfrm>
            <a:off x="2432050" y="11741150"/>
            <a:ext cx="0" cy="2698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57" name="Straight Connector 256">
            <a:extLst>
              <a:ext uri="{FF2B5EF4-FFF2-40B4-BE49-F238E27FC236}">
                <a16:creationId xmlns:a16="http://schemas.microsoft.com/office/drawing/2014/main" id="{63CBE1FF-7E97-496C-8A2F-8801A61BFA7A}"/>
              </a:ext>
            </a:extLst>
          </xdr:cNvPr>
          <xdr:cNvCxnSpPr/>
        </xdr:nvCxnSpPr>
        <xdr:spPr>
          <a:xfrm flipH="1">
            <a:off x="2400300" y="11928475"/>
            <a:ext cx="60325" cy="603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58" name="Straight Connector 257">
            <a:extLst>
              <a:ext uri="{FF2B5EF4-FFF2-40B4-BE49-F238E27FC236}">
                <a16:creationId xmlns:a16="http://schemas.microsoft.com/office/drawing/2014/main" id="{C184D9DA-48B6-4D46-B0D0-5EADBDD0E3B7}"/>
              </a:ext>
            </a:extLst>
          </xdr:cNvPr>
          <xdr:cNvCxnSpPr/>
        </xdr:nvCxnSpPr>
        <xdr:spPr>
          <a:xfrm>
            <a:off x="3727450" y="11741150"/>
            <a:ext cx="0" cy="2698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65" name="Straight Connector 264">
            <a:extLst>
              <a:ext uri="{FF2B5EF4-FFF2-40B4-BE49-F238E27FC236}">
                <a16:creationId xmlns:a16="http://schemas.microsoft.com/office/drawing/2014/main" id="{A6CEB483-33DE-4194-95C5-E7FC74E87886}"/>
              </a:ext>
            </a:extLst>
          </xdr:cNvPr>
          <xdr:cNvCxnSpPr/>
        </xdr:nvCxnSpPr>
        <xdr:spPr>
          <a:xfrm flipH="1">
            <a:off x="3695700" y="11928475"/>
            <a:ext cx="60325" cy="603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66" name="Straight Connector 265">
            <a:extLst>
              <a:ext uri="{FF2B5EF4-FFF2-40B4-BE49-F238E27FC236}">
                <a16:creationId xmlns:a16="http://schemas.microsoft.com/office/drawing/2014/main" id="{40A2D4A3-BAC0-4276-AF87-DF1761F2E4C3}"/>
              </a:ext>
            </a:extLst>
          </xdr:cNvPr>
          <xdr:cNvCxnSpPr/>
        </xdr:nvCxnSpPr>
        <xdr:spPr>
          <a:xfrm>
            <a:off x="4152900" y="11741150"/>
            <a:ext cx="0" cy="2698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67" name="Straight Connector 266">
            <a:extLst>
              <a:ext uri="{FF2B5EF4-FFF2-40B4-BE49-F238E27FC236}">
                <a16:creationId xmlns:a16="http://schemas.microsoft.com/office/drawing/2014/main" id="{BDF90CFA-9426-4408-A81B-191BCE91E562}"/>
              </a:ext>
            </a:extLst>
          </xdr:cNvPr>
          <xdr:cNvCxnSpPr/>
        </xdr:nvCxnSpPr>
        <xdr:spPr>
          <a:xfrm flipH="1">
            <a:off x="4121150" y="11928475"/>
            <a:ext cx="60325" cy="603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70" name="Straight Connector 269">
            <a:extLst>
              <a:ext uri="{FF2B5EF4-FFF2-40B4-BE49-F238E27FC236}">
                <a16:creationId xmlns:a16="http://schemas.microsoft.com/office/drawing/2014/main" id="{C403790D-AC2B-4DCB-BE8E-7B8573D4D92D}"/>
              </a:ext>
            </a:extLst>
          </xdr:cNvPr>
          <xdr:cNvCxnSpPr/>
        </xdr:nvCxnSpPr>
        <xdr:spPr>
          <a:xfrm>
            <a:off x="4610100" y="11741150"/>
            <a:ext cx="0" cy="2698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81" name="Straight Connector 280">
            <a:extLst>
              <a:ext uri="{FF2B5EF4-FFF2-40B4-BE49-F238E27FC236}">
                <a16:creationId xmlns:a16="http://schemas.microsoft.com/office/drawing/2014/main" id="{C5F08E50-8286-46D2-9CD3-DE03C6CE6C2C}"/>
              </a:ext>
            </a:extLst>
          </xdr:cNvPr>
          <xdr:cNvCxnSpPr/>
        </xdr:nvCxnSpPr>
        <xdr:spPr>
          <a:xfrm flipH="1">
            <a:off x="4578350" y="11928475"/>
            <a:ext cx="60325" cy="603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83" name="Straight Connector 282">
            <a:extLst>
              <a:ext uri="{FF2B5EF4-FFF2-40B4-BE49-F238E27FC236}">
                <a16:creationId xmlns:a16="http://schemas.microsoft.com/office/drawing/2014/main" id="{3FA768A3-A0EA-4756-AF28-33458445F198}"/>
              </a:ext>
            </a:extLst>
          </xdr:cNvPr>
          <xdr:cNvCxnSpPr/>
        </xdr:nvCxnSpPr>
        <xdr:spPr>
          <a:xfrm>
            <a:off x="5019675" y="11807825"/>
            <a:ext cx="0" cy="50165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87" name="Straight Connector 286">
            <a:extLst>
              <a:ext uri="{FF2B5EF4-FFF2-40B4-BE49-F238E27FC236}">
                <a16:creationId xmlns:a16="http://schemas.microsoft.com/office/drawing/2014/main" id="{7240D978-2302-4E2C-9B3D-E1D7AB9BD7A3}"/>
              </a:ext>
            </a:extLst>
          </xdr:cNvPr>
          <xdr:cNvCxnSpPr/>
        </xdr:nvCxnSpPr>
        <xdr:spPr>
          <a:xfrm flipH="1">
            <a:off x="4987925" y="11928475"/>
            <a:ext cx="60325" cy="603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91" name="Straight Connector 290">
            <a:extLst>
              <a:ext uri="{FF2B5EF4-FFF2-40B4-BE49-F238E27FC236}">
                <a16:creationId xmlns:a16="http://schemas.microsoft.com/office/drawing/2014/main" id="{8E46B1D0-DB56-4182-8D93-FF1F5B373D41}"/>
              </a:ext>
            </a:extLst>
          </xdr:cNvPr>
          <xdr:cNvCxnSpPr/>
        </xdr:nvCxnSpPr>
        <xdr:spPr>
          <a:xfrm flipH="1">
            <a:off x="4991100" y="12207875"/>
            <a:ext cx="60325" cy="603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93" name="Straight Connector 292">
            <a:extLst>
              <a:ext uri="{FF2B5EF4-FFF2-40B4-BE49-F238E27FC236}">
                <a16:creationId xmlns:a16="http://schemas.microsoft.com/office/drawing/2014/main" id="{E0A76B26-D8EE-0BD4-D45E-4B0C8474EE82}"/>
              </a:ext>
            </a:extLst>
          </xdr:cNvPr>
          <xdr:cNvCxnSpPr/>
        </xdr:nvCxnSpPr>
        <xdr:spPr>
          <a:xfrm flipH="1">
            <a:off x="419100" y="9953626"/>
            <a:ext cx="23907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95" name="Straight Connector 294">
            <a:extLst>
              <a:ext uri="{FF2B5EF4-FFF2-40B4-BE49-F238E27FC236}">
                <a16:creationId xmlns:a16="http://schemas.microsoft.com/office/drawing/2014/main" id="{F0CF0DCC-E4B5-128D-1F7E-1202626583F4}"/>
              </a:ext>
            </a:extLst>
          </xdr:cNvPr>
          <xdr:cNvCxnSpPr/>
        </xdr:nvCxnSpPr>
        <xdr:spPr>
          <a:xfrm>
            <a:off x="809625" y="9886951"/>
            <a:ext cx="0" cy="1841499"/>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98" name="Straight Connector 297">
            <a:extLst>
              <a:ext uri="{FF2B5EF4-FFF2-40B4-BE49-F238E27FC236}">
                <a16:creationId xmlns:a16="http://schemas.microsoft.com/office/drawing/2014/main" id="{6EF8B470-4F45-D6B4-CDDF-9A062CDA35C3}"/>
              </a:ext>
            </a:extLst>
          </xdr:cNvPr>
          <xdr:cNvCxnSpPr/>
        </xdr:nvCxnSpPr>
        <xdr:spPr>
          <a:xfrm flipH="1">
            <a:off x="773113" y="9921875"/>
            <a:ext cx="66675" cy="666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302" name="Straight Connector 301">
            <a:extLst>
              <a:ext uri="{FF2B5EF4-FFF2-40B4-BE49-F238E27FC236}">
                <a16:creationId xmlns:a16="http://schemas.microsoft.com/office/drawing/2014/main" id="{76B7250C-C6BA-47B6-B040-3DF5C2C60337}"/>
              </a:ext>
            </a:extLst>
          </xdr:cNvPr>
          <xdr:cNvCxnSpPr/>
        </xdr:nvCxnSpPr>
        <xdr:spPr>
          <a:xfrm>
            <a:off x="487362" y="9886950"/>
            <a:ext cx="0" cy="184785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303" name="Straight Connector 302">
            <a:extLst>
              <a:ext uri="{FF2B5EF4-FFF2-40B4-BE49-F238E27FC236}">
                <a16:creationId xmlns:a16="http://schemas.microsoft.com/office/drawing/2014/main" id="{563C2737-BC6C-427D-998C-CFE7175CFDB6}"/>
              </a:ext>
            </a:extLst>
          </xdr:cNvPr>
          <xdr:cNvCxnSpPr/>
        </xdr:nvCxnSpPr>
        <xdr:spPr>
          <a:xfrm flipH="1">
            <a:off x="450850" y="9921874"/>
            <a:ext cx="66675" cy="666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305" name="Straight Connector 304">
            <a:extLst>
              <a:ext uri="{FF2B5EF4-FFF2-40B4-BE49-F238E27FC236}">
                <a16:creationId xmlns:a16="http://schemas.microsoft.com/office/drawing/2014/main" id="{B9684F9E-06F9-4140-803D-DBA5D25C43B9}"/>
              </a:ext>
            </a:extLst>
          </xdr:cNvPr>
          <xdr:cNvCxnSpPr/>
        </xdr:nvCxnSpPr>
        <xdr:spPr>
          <a:xfrm flipH="1">
            <a:off x="742950" y="10528301"/>
            <a:ext cx="317500"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306" name="Straight Connector 305">
            <a:extLst>
              <a:ext uri="{FF2B5EF4-FFF2-40B4-BE49-F238E27FC236}">
                <a16:creationId xmlns:a16="http://schemas.microsoft.com/office/drawing/2014/main" id="{C42050D7-F6DA-4654-803E-6558D4290F5A}"/>
              </a:ext>
            </a:extLst>
          </xdr:cNvPr>
          <xdr:cNvCxnSpPr/>
        </xdr:nvCxnSpPr>
        <xdr:spPr>
          <a:xfrm flipH="1">
            <a:off x="774700" y="10496549"/>
            <a:ext cx="66675" cy="666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308" name="Straight Connector 307">
            <a:extLst>
              <a:ext uri="{FF2B5EF4-FFF2-40B4-BE49-F238E27FC236}">
                <a16:creationId xmlns:a16="http://schemas.microsoft.com/office/drawing/2014/main" id="{02776C90-ABD5-4AD1-A77B-1CAEA3F48448}"/>
              </a:ext>
            </a:extLst>
          </xdr:cNvPr>
          <xdr:cNvCxnSpPr/>
        </xdr:nvCxnSpPr>
        <xdr:spPr>
          <a:xfrm flipH="1">
            <a:off x="742950" y="10887076"/>
            <a:ext cx="317500"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309" name="Straight Connector 308">
            <a:extLst>
              <a:ext uri="{FF2B5EF4-FFF2-40B4-BE49-F238E27FC236}">
                <a16:creationId xmlns:a16="http://schemas.microsoft.com/office/drawing/2014/main" id="{5BDD2F23-F339-45E2-93BF-C843198766F5}"/>
              </a:ext>
            </a:extLst>
          </xdr:cNvPr>
          <xdr:cNvCxnSpPr/>
        </xdr:nvCxnSpPr>
        <xdr:spPr>
          <a:xfrm flipH="1">
            <a:off x="774700" y="10855324"/>
            <a:ext cx="66675" cy="666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310" name="Straight Connector 309">
            <a:extLst>
              <a:ext uri="{FF2B5EF4-FFF2-40B4-BE49-F238E27FC236}">
                <a16:creationId xmlns:a16="http://schemas.microsoft.com/office/drawing/2014/main" id="{1E4EC18E-416A-4F45-BDDA-71392E8E475B}"/>
              </a:ext>
            </a:extLst>
          </xdr:cNvPr>
          <xdr:cNvCxnSpPr/>
        </xdr:nvCxnSpPr>
        <xdr:spPr>
          <a:xfrm flipH="1">
            <a:off x="742950" y="11293476"/>
            <a:ext cx="317500"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311" name="Straight Connector 310">
            <a:extLst>
              <a:ext uri="{FF2B5EF4-FFF2-40B4-BE49-F238E27FC236}">
                <a16:creationId xmlns:a16="http://schemas.microsoft.com/office/drawing/2014/main" id="{26FAD2F0-714A-4DEF-97E3-5A0DCF456583}"/>
              </a:ext>
            </a:extLst>
          </xdr:cNvPr>
          <xdr:cNvCxnSpPr/>
        </xdr:nvCxnSpPr>
        <xdr:spPr>
          <a:xfrm flipH="1">
            <a:off x="774700" y="11261724"/>
            <a:ext cx="66675" cy="666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312" name="Straight Connector 311">
            <a:extLst>
              <a:ext uri="{FF2B5EF4-FFF2-40B4-BE49-F238E27FC236}">
                <a16:creationId xmlns:a16="http://schemas.microsoft.com/office/drawing/2014/main" id="{51131D81-59DB-488B-806D-FDC99C65DE05}"/>
              </a:ext>
            </a:extLst>
          </xdr:cNvPr>
          <xdr:cNvCxnSpPr/>
        </xdr:nvCxnSpPr>
        <xdr:spPr>
          <a:xfrm flipH="1">
            <a:off x="419100" y="11668127"/>
            <a:ext cx="482600"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313" name="Straight Connector 312">
            <a:extLst>
              <a:ext uri="{FF2B5EF4-FFF2-40B4-BE49-F238E27FC236}">
                <a16:creationId xmlns:a16="http://schemas.microsoft.com/office/drawing/2014/main" id="{F29C56F5-EB34-4B07-B4BC-E947CA1690C1}"/>
              </a:ext>
            </a:extLst>
          </xdr:cNvPr>
          <xdr:cNvCxnSpPr/>
        </xdr:nvCxnSpPr>
        <xdr:spPr>
          <a:xfrm flipH="1">
            <a:off x="773113" y="11636376"/>
            <a:ext cx="66675" cy="666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314" name="Straight Connector 313">
            <a:extLst>
              <a:ext uri="{FF2B5EF4-FFF2-40B4-BE49-F238E27FC236}">
                <a16:creationId xmlns:a16="http://schemas.microsoft.com/office/drawing/2014/main" id="{B1718840-F0C9-4EB8-98CE-ED6D5A2424AB}"/>
              </a:ext>
            </a:extLst>
          </xdr:cNvPr>
          <xdr:cNvCxnSpPr/>
        </xdr:nvCxnSpPr>
        <xdr:spPr>
          <a:xfrm flipH="1">
            <a:off x="450850" y="11636375"/>
            <a:ext cx="66675" cy="666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341" name="Straight Connector 340">
            <a:extLst>
              <a:ext uri="{FF2B5EF4-FFF2-40B4-BE49-F238E27FC236}">
                <a16:creationId xmlns:a16="http://schemas.microsoft.com/office/drawing/2014/main" id="{03BDD0D6-6ABA-119C-E08D-3163D24E7C26}"/>
              </a:ext>
            </a:extLst>
          </xdr:cNvPr>
          <xdr:cNvCxnSpPr/>
        </xdr:nvCxnSpPr>
        <xdr:spPr>
          <a:xfrm>
            <a:off x="5505450" y="10748961"/>
            <a:ext cx="0" cy="97155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342" name="Straight Connector 341">
            <a:extLst>
              <a:ext uri="{FF2B5EF4-FFF2-40B4-BE49-F238E27FC236}">
                <a16:creationId xmlns:a16="http://schemas.microsoft.com/office/drawing/2014/main" id="{4250632F-C3A8-4F2E-AFE6-431530B4F818}"/>
              </a:ext>
            </a:extLst>
          </xdr:cNvPr>
          <xdr:cNvCxnSpPr/>
        </xdr:nvCxnSpPr>
        <xdr:spPr>
          <a:xfrm flipH="1">
            <a:off x="5473700" y="11639550"/>
            <a:ext cx="60325" cy="603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343" name="Straight Connector 342">
            <a:extLst>
              <a:ext uri="{FF2B5EF4-FFF2-40B4-BE49-F238E27FC236}">
                <a16:creationId xmlns:a16="http://schemas.microsoft.com/office/drawing/2014/main" id="{5EC66924-C032-4E53-AE5B-07A3472CCDF2}"/>
              </a:ext>
            </a:extLst>
          </xdr:cNvPr>
          <xdr:cNvCxnSpPr/>
        </xdr:nvCxnSpPr>
        <xdr:spPr>
          <a:xfrm flipH="1">
            <a:off x="5473700" y="10782300"/>
            <a:ext cx="60325" cy="603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376" name="Straight Connector 375">
            <a:extLst>
              <a:ext uri="{FF2B5EF4-FFF2-40B4-BE49-F238E27FC236}">
                <a16:creationId xmlns:a16="http://schemas.microsoft.com/office/drawing/2014/main" id="{A7072107-CAFE-4FB8-AF95-049469666360}"/>
              </a:ext>
            </a:extLst>
          </xdr:cNvPr>
          <xdr:cNvCxnSpPr/>
        </xdr:nvCxnSpPr>
        <xdr:spPr>
          <a:xfrm>
            <a:off x="5229225" y="11668126"/>
            <a:ext cx="328611"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374" name="Straight Connector 373">
            <a:extLst>
              <a:ext uri="{FF2B5EF4-FFF2-40B4-BE49-F238E27FC236}">
                <a16:creationId xmlns:a16="http://schemas.microsoft.com/office/drawing/2014/main" id="{918BB917-9CEF-DFB8-F72C-EB81C2C6EC4B}"/>
              </a:ext>
            </a:extLst>
          </xdr:cNvPr>
          <xdr:cNvCxnSpPr/>
        </xdr:nvCxnSpPr>
        <xdr:spPr>
          <a:xfrm>
            <a:off x="3810000" y="10810876"/>
            <a:ext cx="1752598" cy="0"/>
          </a:xfrm>
          <a:prstGeom prst="line">
            <a:avLst/>
          </a:prstGeom>
        </xdr:spPr>
        <xdr:style>
          <a:lnRef idx="1">
            <a:schemeClr val="accent1"/>
          </a:lnRef>
          <a:fillRef idx="0">
            <a:schemeClr val="accent1"/>
          </a:fillRef>
          <a:effectRef idx="0">
            <a:schemeClr val="accent1"/>
          </a:effectRef>
          <a:fontRef idx="minor">
            <a:schemeClr val="tx1"/>
          </a:fontRef>
        </xdr:style>
      </xdr:cxnSp>
      <xdr:sp macro="" textlink="">
        <xdr:nvSpPr>
          <xdr:cNvPr id="379" name="TextBox 378">
            <a:extLst>
              <a:ext uri="{FF2B5EF4-FFF2-40B4-BE49-F238E27FC236}">
                <a16:creationId xmlns:a16="http://schemas.microsoft.com/office/drawing/2014/main" id="{4EEAE3CE-7046-7BEF-10A2-FFC8F2F8C6F1}"/>
              </a:ext>
            </a:extLst>
          </xdr:cNvPr>
          <xdr:cNvSpPr txBox="1"/>
        </xdr:nvSpPr>
        <xdr:spPr>
          <a:xfrm>
            <a:off x="2676525" y="10829925"/>
            <a:ext cx="828675" cy="438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lang="tr-TR" sz="800" kern="1200">
                <a:latin typeface="Arial" panose="020B0604020202020204" pitchFamily="34" charset="0"/>
                <a:cs typeface="Arial" panose="020B0604020202020204" pitchFamily="34" charset="0"/>
              </a:rPr>
              <a:t>kapı</a:t>
            </a:r>
          </a:p>
        </xdr:txBody>
      </xdr:sp>
      <xdr:cxnSp macro="">
        <xdr:nvCxnSpPr>
          <xdr:cNvPr id="383" name="Straight Connector 382">
            <a:extLst>
              <a:ext uri="{FF2B5EF4-FFF2-40B4-BE49-F238E27FC236}">
                <a16:creationId xmlns:a16="http://schemas.microsoft.com/office/drawing/2014/main" id="{11A420F6-1826-4A2E-8B58-44CBAE006FE2}"/>
              </a:ext>
            </a:extLst>
          </xdr:cNvPr>
          <xdr:cNvCxnSpPr/>
        </xdr:nvCxnSpPr>
        <xdr:spPr>
          <a:xfrm>
            <a:off x="1558925" y="10525125"/>
            <a:ext cx="428625" cy="0"/>
          </a:xfrm>
          <a:prstGeom prst="line">
            <a:avLst/>
          </a:prstGeom>
          <a:noFill/>
          <a:ln w="6350"/>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385" name="Straight Connector 384">
            <a:extLst>
              <a:ext uri="{FF2B5EF4-FFF2-40B4-BE49-F238E27FC236}">
                <a16:creationId xmlns:a16="http://schemas.microsoft.com/office/drawing/2014/main" id="{C8DCC10B-26A4-41C8-80FB-7C83540DCF2C}"/>
              </a:ext>
            </a:extLst>
          </xdr:cNvPr>
          <xdr:cNvCxnSpPr/>
        </xdr:nvCxnSpPr>
        <xdr:spPr>
          <a:xfrm>
            <a:off x="1562100" y="10887075"/>
            <a:ext cx="428625" cy="0"/>
          </a:xfrm>
          <a:prstGeom prst="line">
            <a:avLst/>
          </a:prstGeom>
          <a:noFill/>
          <a:ln w="6350"/>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386" name="Straight Connector 385">
            <a:extLst>
              <a:ext uri="{FF2B5EF4-FFF2-40B4-BE49-F238E27FC236}">
                <a16:creationId xmlns:a16="http://schemas.microsoft.com/office/drawing/2014/main" id="{E0E1DEBB-E9D9-482E-88C2-513ACC6F65A1}"/>
              </a:ext>
            </a:extLst>
          </xdr:cNvPr>
          <xdr:cNvCxnSpPr/>
        </xdr:nvCxnSpPr>
        <xdr:spPr>
          <a:xfrm>
            <a:off x="1565275" y="11293475"/>
            <a:ext cx="428625" cy="0"/>
          </a:xfrm>
          <a:prstGeom prst="line">
            <a:avLst/>
          </a:prstGeom>
          <a:noFill/>
          <a:ln w="6350"/>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387" name="Straight Connector 386">
            <a:extLst>
              <a:ext uri="{FF2B5EF4-FFF2-40B4-BE49-F238E27FC236}">
                <a16:creationId xmlns:a16="http://schemas.microsoft.com/office/drawing/2014/main" id="{86B12E5B-97CC-45D7-A4EF-6D896EFFFC5E}"/>
              </a:ext>
            </a:extLst>
          </xdr:cNvPr>
          <xdr:cNvCxnSpPr/>
        </xdr:nvCxnSpPr>
        <xdr:spPr>
          <a:xfrm>
            <a:off x="2035175" y="10525125"/>
            <a:ext cx="368300" cy="0"/>
          </a:xfrm>
          <a:prstGeom prst="line">
            <a:avLst/>
          </a:prstGeom>
          <a:noFill/>
          <a:ln w="6350"/>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388" name="Straight Connector 387">
            <a:extLst>
              <a:ext uri="{FF2B5EF4-FFF2-40B4-BE49-F238E27FC236}">
                <a16:creationId xmlns:a16="http://schemas.microsoft.com/office/drawing/2014/main" id="{23630C41-8F87-49FB-93B8-2A3188247EB1}"/>
              </a:ext>
            </a:extLst>
          </xdr:cNvPr>
          <xdr:cNvCxnSpPr/>
        </xdr:nvCxnSpPr>
        <xdr:spPr>
          <a:xfrm>
            <a:off x="2038350" y="10887075"/>
            <a:ext cx="365125" cy="0"/>
          </a:xfrm>
          <a:prstGeom prst="line">
            <a:avLst/>
          </a:prstGeom>
          <a:noFill/>
          <a:ln w="6350"/>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389" name="Straight Connector 388">
            <a:extLst>
              <a:ext uri="{FF2B5EF4-FFF2-40B4-BE49-F238E27FC236}">
                <a16:creationId xmlns:a16="http://schemas.microsoft.com/office/drawing/2014/main" id="{D8D5BE88-CB69-408A-971B-B6A0E162A3AE}"/>
              </a:ext>
            </a:extLst>
          </xdr:cNvPr>
          <xdr:cNvCxnSpPr/>
        </xdr:nvCxnSpPr>
        <xdr:spPr>
          <a:xfrm>
            <a:off x="2041525" y="11293475"/>
            <a:ext cx="361950" cy="0"/>
          </a:xfrm>
          <a:prstGeom prst="line">
            <a:avLst/>
          </a:prstGeom>
          <a:noFill/>
          <a:ln w="6350"/>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393" name="Straight Connector 392">
            <a:extLst>
              <a:ext uri="{FF2B5EF4-FFF2-40B4-BE49-F238E27FC236}">
                <a16:creationId xmlns:a16="http://schemas.microsoft.com/office/drawing/2014/main" id="{02A833C8-7497-451D-BD8C-E5C6AE8458D4}"/>
              </a:ext>
            </a:extLst>
          </xdr:cNvPr>
          <xdr:cNvCxnSpPr/>
        </xdr:nvCxnSpPr>
        <xdr:spPr>
          <a:xfrm>
            <a:off x="2454275" y="10525125"/>
            <a:ext cx="590550" cy="0"/>
          </a:xfrm>
          <a:prstGeom prst="line">
            <a:avLst/>
          </a:prstGeom>
          <a:noFill/>
          <a:ln w="6350"/>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395" name="Straight Connector 394">
            <a:extLst>
              <a:ext uri="{FF2B5EF4-FFF2-40B4-BE49-F238E27FC236}">
                <a16:creationId xmlns:a16="http://schemas.microsoft.com/office/drawing/2014/main" id="{B74FF80F-F80F-4A7A-899E-4A8D4BF8D3F8}"/>
              </a:ext>
            </a:extLst>
          </xdr:cNvPr>
          <xdr:cNvCxnSpPr/>
        </xdr:nvCxnSpPr>
        <xdr:spPr>
          <a:xfrm>
            <a:off x="3108325" y="10525125"/>
            <a:ext cx="590550" cy="0"/>
          </a:xfrm>
          <a:prstGeom prst="line">
            <a:avLst/>
          </a:prstGeom>
          <a:noFill/>
          <a:ln w="6350"/>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405" name="Straight Connector 404">
            <a:extLst>
              <a:ext uri="{FF2B5EF4-FFF2-40B4-BE49-F238E27FC236}">
                <a16:creationId xmlns:a16="http://schemas.microsoft.com/office/drawing/2014/main" id="{9C947351-CD3A-4478-8834-BB0347635FD6}"/>
              </a:ext>
            </a:extLst>
          </xdr:cNvPr>
          <xdr:cNvCxnSpPr/>
        </xdr:nvCxnSpPr>
        <xdr:spPr>
          <a:xfrm>
            <a:off x="3746500" y="10528300"/>
            <a:ext cx="377825" cy="0"/>
          </a:xfrm>
          <a:prstGeom prst="line">
            <a:avLst/>
          </a:prstGeom>
          <a:noFill/>
          <a:ln w="6350"/>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408" name="Straight Connector 407">
            <a:extLst>
              <a:ext uri="{FF2B5EF4-FFF2-40B4-BE49-F238E27FC236}">
                <a16:creationId xmlns:a16="http://schemas.microsoft.com/office/drawing/2014/main" id="{06C06B15-0A1D-4582-A219-AF52B615C561}"/>
              </a:ext>
            </a:extLst>
          </xdr:cNvPr>
          <xdr:cNvCxnSpPr/>
        </xdr:nvCxnSpPr>
        <xdr:spPr>
          <a:xfrm>
            <a:off x="4178300" y="10528300"/>
            <a:ext cx="412750" cy="0"/>
          </a:xfrm>
          <a:prstGeom prst="line">
            <a:avLst/>
          </a:prstGeom>
          <a:noFill/>
          <a:ln w="6350"/>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410" name="Straight Connector 409">
            <a:extLst>
              <a:ext uri="{FF2B5EF4-FFF2-40B4-BE49-F238E27FC236}">
                <a16:creationId xmlns:a16="http://schemas.microsoft.com/office/drawing/2014/main" id="{5B0982C7-567D-4915-945F-BFFDCD9A87CC}"/>
              </a:ext>
            </a:extLst>
          </xdr:cNvPr>
          <xdr:cNvCxnSpPr/>
        </xdr:nvCxnSpPr>
        <xdr:spPr>
          <a:xfrm>
            <a:off x="4619625" y="10528300"/>
            <a:ext cx="400050" cy="0"/>
          </a:xfrm>
          <a:prstGeom prst="line">
            <a:avLst/>
          </a:prstGeom>
          <a:noFill/>
          <a:ln w="6350"/>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412" name="Straight Connector 411">
            <a:extLst>
              <a:ext uri="{FF2B5EF4-FFF2-40B4-BE49-F238E27FC236}">
                <a16:creationId xmlns:a16="http://schemas.microsoft.com/office/drawing/2014/main" id="{9BDE541F-7C98-4E13-A05F-9076425C08C8}"/>
              </a:ext>
            </a:extLst>
          </xdr:cNvPr>
          <xdr:cNvCxnSpPr/>
        </xdr:nvCxnSpPr>
        <xdr:spPr>
          <a:xfrm>
            <a:off x="3759200" y="10887075"/>
            <a:ext cx="365125" cy="0"/>
          </a:xfrm>
          <a:prstGeom prst="line">
            <a:avLst/>
          </a:prstGeom>
          <a:noFill/>
          <a:ln w="6350"/>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413" name="Straight Connector 412">
            <a:extLst>
              <a:ext uri="{FF2B5EF4-FFF2-40B4-BE49-F238E27FC236}">
                <a16:creationId xmlns:a16="http://schemas.microsoft.com/office/drawing/2014/main" id="{28236D66-11CA-4B10-BEC4-8E04DD09CD5F}"/>
              </a:ext>
            </a:extLst>
          </xdr:cNvPr>
          <xdr:cNvCxnSpPr/>
        </xdr:nvCxnSpPr>
        <xdr:spPr>
          <a:xfrm>
            <a:off x="3762375" y="11293475"/>
            <a:ext cx="361950" cy="0"/>
          </a:xfrm>
          <a:prstGeom prst="line">
            <a:avLst/>
          </a:prstGeom>
          <a:noFill/>
          <a:ln w="6350"/>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415" name="Straight Connector 414">
            <a:extLst>
              <a:ext uri="{FF2B5EF4-FFF2-40B4-BE49-F238E27FC236}">
                <a16:creationId xmlns:a16="http://schemas.microsoft.com/office/drawing/2014/main" id="{56E6673B-3503-4EBA-BB45-147309FF497E}"/>
              </a:ext>
            </a:extLst>
          </xdr:cNvPr>
          <xdr:cNvCxnSpPr/>
        </xdr:nvCxnSpPr>
        <xdr:spPr>
          <a:xfrm>
            <a:off x="4178300" y="10887075"/>
            <a:ext cx="400050" cy="0"/>
          </a:xfrm>
          <a:prstGeom prst="line">
            <a:avLst/>
          </a:prstGeom>
          <a:noFill/>
          <a:ln w="6350"/>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416" name="Straight Connector 415">
            <a:extLst>
              <a:ext uri="{FF2B5EF4-FFF2-40B4-BE49-F238E27FC236}">
                <a16:creationId xmlns:a16="http://schemas.microsoft.com/office/drawing/2014/main" id="{0AC65FD9-D4F1-4C2B-8F2A-BF73A1F02C9E}"/>
              </a:ext>
            </a:extLst>
          </xdr:cNvPr>
          <xdr:cNvCxnSpPr/>
        </xdr:nvCxnSpPr>
        <xdr:spPr>
          <a:xfrm>
            <a:off x="4181475" y="11293475"/>
            <a:ext cx="403225" cy="0"/>
          </a:xfrm>
          <a:prstGeom prst="line">
            <a:avLst/>
          </a:prstGeom>
          <a:noFill/>
          <a:ln w="6350"/>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430" name="Straight Connector 429">
            <a:extLst>
              <a:ext uri="{FF2B5EF4-FFF2-40B4-BE49-F238E27FC236}">
                <a16:creationId xmlns:a16="http://schemas.microsoft.com/office/drawing/2014/main" id="{E52CF32B-4DDB-427C-8231-D19F545AEDDB}"/>
              </a:ext>
            </a:extLst>
          </xdr:cNvPr>
          <xdr:cNvCxnSpPr/>
        </xdr:nvCxnSpPr>
        <xdr:spPr>
          <a:xfrm flipV="1">
            <a:off x="3724275" y="9958388"/>
            <a:ext cx="709613" cy="457200"/>
          </a:xfrm>
          <a:prstGeom prst="line">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32" name="Straight Connector 431">
            <a:extLst>
              <a:ext uri="{FF2B5EF4-FFF2-40B4-BE49-F238E27FC236}">
                <a16:creationId xmlns:a16="http://schemas.microsoft.com/office/drawing/2014/main" id="{7812569A-3A77-4E40-B6FB-552A0E7F712A}"/>
              </a:ext>
            </a:extLst>
          </xdr:cNvPr>
          <xdr:cNvCxnSpPr/>
        </xdr:nvCxnSpPr>
        <xdr:spPr>
          <a:xfrm flipV="1">
            <a:off x="3071813" y="9791700"/>
            <a:ext cx="842962" cy="414338"/>
          </a:xfrm>
          <a:prstGeom prst="line">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34" name="Straight Connector 433">
            <a:extLst>
              <a:ext uri="{FF2B5EF4-FFF2-40B4-BE49-F238E27FC236}">
                <a16:creationId xmlns:a16="http://schemas.microsoft.com/office/drawing/2014/main" id="{0C496CBC-8686-462D-8798-AB3EAC463207}"/>
              </a:ext>
            </a:extLst>
          </xdr:cNvPr>
          <xdr:cNvCxnSpPr/>
        </xdr:nvCxnSpPr>
        <xdr:spPr>
          <a:xfrm flipV="1">
            <a:off x="4152901" y="9948863"/>
            <a:ext cx="290512" cy="509588"/>
          </a:xfrm>
          <a:prstGeom prst="line">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39" name="Straight Connector 438">
            <a:extLst>
              <a:ext uri="{FF2B5EF4-FFF2-40B4-BE49-F238E27FC236}">
                <a16:creationId xmlns:a16="http://schemas.microsoft.com/office/drawing/2014/main" id="{A2F69C72-669E-4149-90FB-F6420A2B48E1}"/>
              </a:ext>
            </a:extLst>
          </xdr:cNvPr>
          <xdr:cNvCxnSpPr/>
        </xdr:nvCxnSpPr>
        <xdr:spPr>
          <a:xfrm flipH="1" flipV="1">
            <a:off x="4448175" y="9948863"/>
            <a:ext cx="157164" cy="709613"/>
          </a:xfrm>
          <a:prstGeom prst="line">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41" name="Straight Connector 440">
            <a:extLst>
              <a:ext uri="{FF2B5EF4-FFF2-40B4-BE49-F238E27FC236}">
                <a16:creationId xmlns:a16="http://schemas.microsoft.com/office/drawing/2014/main" id="{A237DA71-4AEC-4F13-806A-8996347FECC2}"/>
              </a:ext>
            </a:extLst>
          </xdr:cNvPr>
          <xdr:cNvCxnSpPr/>
        </xdr:nvCxnSpPr>
        <xdr:spPr>
          <a:xfrm flipH="1" flipV="1">
            <a:off x="1452563" y="9782175"/>
            <a:ext cx="338137" cy="1109663"/>
          </a:xfrm>
          <a:prstGeom prst="line">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43" name="Straight Connector 442">
            <a:extLst>
              <a:ext uri="{FF2B5EF4-FFF2-40B4-BE49-F238E27FC236}">
                <a16:creationId xmlns:a16="http://schemas.microsoft.com/office/drawing/2014/main" id="{2A30E94C-9275-4EFA-A4CD-A24D13288B8C}"/>
              </a:ext>
            </a:extLst>
          </xdr:cNvPr>
          <xdr:cNvCxnSpPr/>
        </xdr:nvCxnSpPr>
        <xdr:spPr>
          <a:xfrm flipH="1" flipV="1">
            <a:off x="1457325" y="9786938"/>
            <a:ext cx="771525" cy="742950"/>
          </a:xfrm>
          <a:prstGeom prst="line">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45" name="Straight Connector 444">
            <a:extLst>
              <a:ext uri="{FF2B5EF4-FFF2-40B4-BE49-F238E27FC236}">
                <a16:creationId xmlns:a16="http://schemas.microsoft.com/office/drawing/2014/main" id="{51EEEBF1-E3AF-4F81-B293-AB38D5956F13}"/>
              </a:ext>
            </a:extLst>
          </xdr:cNvPr>
          <xdr:cNvCxnSpPr/>
        </xdr:nvCxnSpPr>
        <xdr:spPr>
          <a:xfrm flipH="1" flipV="1">
            <a:off x="1452563" y="9777413"/>
            <a:ext cx="814387" cy="1519237"/>
          </a:xfrm>
          <a:prstGeom prst="line">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86" name="Straight Connector 485">
            <a:extLst>
              <a:ext uri="{FF2B5EF4-FFF2-40B4-BE49-F238E27FC236}">
                <a16:creationId xmlns:a16="http://schemas.microsoft.com/office/drawing/2014/main" id="{00CAC8EA-382D-43AB-A693-E4CC41727F44}"/>
              </a:ext>
            </a:extLst>
          </xdr:cNvPr>
          <xdr:cNvCxnSpPr/>
        </xdr:nvCxnSpPr>
        <xdr:spPr>
          <a:xfrm flipV="1">
            <a:off x="1300163" y="9782175"/>
            <a:ext cx="152400" cy="1100139"/>
          </a:xfrm>
          <a:prstGeom prst="line">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89" name="Straight Connector 488">
            <a:extLst>
              <a:ext uri="{FF2B5EF4-FFF2-40B4-BE49-F238E27FC236}">
                <a16:creationId xmlns:a16="http://schemas.microsoft.com/office/drawing/2014/main" id="{B78C3348-633A-4DAF-A759-4BF4DC05BEB0}"/>
              </a:ext>
            </a:extLst>
          </xdr:cNvPr>
          <xdr:cNvCxnSpPr/>
        </xdr:nvCxnSpPr>
        <xdr:spPr>
          <a:xfrm flipH="1" flipV="1">
            <a:off x="2066925" y="9658350"/>
            <a:ext cx="752475" cy="876300"/>
          </a:xfrm>
          <a:prstGeom prst="line">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92" name="Straight Connector 491">
            <a:extLst>
              <a:ext uri="{FF2B5EF4-FFF2-40B4-BE49-F238E27FC236}">
                <a16:creationId xmlns:a16="http://schemas.microsoft.com/office/drawing/2014/main" id="{77A28B45-E6FC-45FD-A279-7AEB7366EAA3}"/>
              </a:ext>
            </a:extLst>
          </xdr:cNvPr>
          <xdr:cNvCxnSpPr/>
        </xdr:nvCxnSpPr>
        <xdr:spPr>
          <a:xfrm flipH="1" flipV="1">
            <a:off x="2057400" y="9648825"/>
            <a:ext cx="1343025" cy="876300"/>
          </a:xfrm>
          <a:prstGeom prst="line">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52</xdr:col>
      <xdr:colOff>95250</xdr:colOff>
      <xdr:row>67</xdr:row>
      <xdr:rowOff>79375</xdr:rowOff>
    </xdr:from>
    <xdr:to>
      <xdr:col>60</xdr:col>
      <xdr:colOff>63500</xdr:colOff>
      <xdr:row>79</xdr:row>
      <xdr:rowOff>63500</xdr:rowOff>
    </xdr:to>
    <xdr:grpSp>
      <xdr:nvGrpSpPr>
        <xdr:cNvPr id="793" name="Group 792">
          <a:extLst>
            <a:ext uri="{FF2B5EF4-FFF2-40B4-BE49-F238E27FC236}">
              <a16:creationId xmlns:a16="http://schemas.microsoft.com/office/drawing/2014/main" id="{D04CC0C7-187E-E712-F1A9-C545A796F1ED}"/>
            </a:ext>
          </a:extLst>
        </xdr:cNvPr>
        <xdr:cNvGrpSpPr/>
      </xdr:nvGrpSpPr>
      <xdr:grpSpPr>
        <a:xfrm>
          <a:off x="8515350" y="10033000"/>
          <a:ext cx="1263650" cy="1698625"/>
          <a:chOff x="8515350" y="10033000"/>
          <a:chExt cx="1263650" cy="1698625"/>
        </a:xfrm>
      </xdr:grpSpPr>
      <xdr:sp macro="" textlink="">
        <xdr:nvSpPr>
          <xdr:cNvPr id="468" name="Freeform: Shape 467">
            <a:extLst>
              <a:ext uri="{FF2B5EF4-FFF2-40B4-BE49-F238E27FC236}">
                <a16:creationId xmlns:a16="http://schemas.microsoft.com/office/drawing/2014/main" id="{FDA5CB1D-E076-4E1B-7089-7371A91E6BBC}"/>
              </a:ext>
            </a:extLst>
          </xdr:cNvPr>
          <xdr:cNvSpPr/>
        </xdr:nvSpPr>
        <xdr:spPr>
          <a:xfrm>
            <a:off x="8905875" y="10382251"/>
            <a:ext cx="485775" cy="1289050"/>
          </a:xfrm>
          <a:custGeom>
            <a:avLst/>
            <a:gdLst>
              <a:gd name="connsiteX0" fmla="*/ 400050 w 485775"/>
              <a:gd name="connsiteY0" fmla="*/ 282575 h 1279525"/>
              <a:gd name="connsiteX1" fmla="*/ 482600 w 485775"/>
              <a:gd name="connsiteY1" fmla="*/ 282575 h 1279525"/>
              <a:gd name="connsiteX2" fmla="*/ 482600 w 485775"/>
              <a:gd name="connsiteY2" fmla="*/ 0 h 1279525"/>
              <a:gd name="connsiteX3" fmla="*/ 0 w 485775"/>
              <a:gd name="connsiteY3" fmla="*/ 0 h 1279525"/>
              <a:gd name="connsiteX4" fmla="*/ 0 w 485775"/>
              <a:gd name="connsiteY4" fmla="*/ 1279525 h 1279525"/>
              <a:gd name="connsiteX5" fmla="*/ 485775 w 485775"/>
              <a:gd name="connsiteY5" fmla="*/ 1279525 h 1279525"/>
              <a:gd name="connsiteX6" fmla="*/ 485775 w 485775"/>
              <a:gd name="connsiteY6" fmla="*/ 993775 h 1279525"/>
              <a:gd name="connsiteX7" fmla="*/ 400050 w 485775"/>
              <a:gd name="connsiteY7" fmla="*/ 993775 h 1279525"/>
              <a:gd name="connsiteX8" fmla="*/ 400050 w 485775"/>
              <a:gd name="connsiteY8" fmla="*/ 1184275 h 1279525"/>
              <a:gd name="connsiteX9" fmla="*/ 88900 w 485775"/>
              <a:gd name="connsiteY9" fmla="*/ 1184275 h 1279525"/>
              <a:gd name="connsiteX10" fmla="*/ 88900 w 485775"/>
              <a:gd name="connsiteY10" fmla="*/ 82550 h 1279525"/>
              <a:gd name="connsiteX11" fmla="*/ 396875 w 485775"/>
              <a:gd name="connsiteY11" fmla="*/ 82550 h 1279525"/>
              <a:gd name="connsiteX12" fmla="*/ 400050 w 485775"/>
              <a:gd name="connsiteY12" fmla="*/ 282575 h 12795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Lst>
            <a:rect l="l" t="t" r="r" b="b"/>
            <a:pathLst>
              <a:path w="485775" h="1279525">
                <a:moveTo>
                  <a:pt x="400050" y="282575"/>
                </a:moveTo>
                <a:lnTo>
                  <a:pt x="482600" y="282575"/>
                </a:lnTo>
                <a:lnTo>
                  <a:pt x="482600" y="0"/>
                </a:lnTo>
                <a:lnTo>
                  <a:pt x="0" y="0"/>
                </a:lnTo>
                <a:lnTo>
                  <a:pt x="0" y="1279525"/>
                </a:lnTo>
                <a:lnTo>
                  <a:pt x="485775" y="1279525"/>
                </a:lnTo>
                <a:lnTo>
                  <a:pt x="485775" y="993775"/>
                </a:lnTo>
                <a:lnTo>
                  <a:pt x="400050" y="993775"/>
                </a:lnTo>
                <a:lnTo>
                  <a:pt x="400050" y="1184275"/>
                </a:lnTo>
                <a:lnTo>
                  <a:pt x="88900" y="1184275"/>
                </a:lnTo>
                <a:lnTo>
                  <a:pt x="88900" y="82550"/>
                </a:lnTo>
                <a:lnTo>
                  <a:pt x="396875" y="82550"/>
                </a:lnTo>
                <a:cubicBezTo>
                  <a:pt x="397933" y="149225"/>
                  <a:pt x="398992" y="215900"/>
                  <a:pt x="400050" y="282575"/>
                </a:cubicBezTo>
                <a:close/>
              </a:path>
            </a:pathLst>
          </a:cu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kern="1200"/>
          </a:p>
        </xdr:txBody>
      </xdr:sp>
      <xdr:cxnSp macro="">
        <xdr:nvCxnSpPr>
          <xdr:cNvPr id="480" name="Straight Connector 479">
            <a:extLst>
              <a:ext uri="{FF2B5EF4-FFF2-40B4-BE49-F238E27FC236}">
                <a16:creationId xmlns:a16="http://schemas.microsoft.com/office/drawing/2014/main" id="{5370671E-90A5-6D45-5896-C4DEED107D4E}"/>
              </a:ext>
            </a:extLst>
          </xdr:cNvPr>
          <xdr:cNvCxnSpPr/>
        </xdr:nvCxnSpPr>
        <xdr:spPr>
          <a:xfrm flipH="1">
            <a:off x="8518525" y="10382250"/>
            <a:ext cx="3333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482" name="Straight Connector 481">
            <a:extLst>
              <a:ext uri="{FF2B5EF4-FFF2-40B4-BE49-F238E27FC236}">
                <a16:creationId xmlns:a16="http://schemas.microsoft.com/office/drawing/2014/main" id="{932C2ECF-6004-80B3-9DBC-A4D493D1E151}"/>
              </a:ext>
            </a:extLst>
          </xdr:cNvPr>
          <xdr:cNvCxnSpPr/>
        </xdr:nvCxnSpPr>
        <xdr:spPr>
          <a:xfrm>
            <a:off x="8582025" y="10328275"/>
            <a:ext cx="0" cy="140335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485" name="Straight Connector 484">
            <a:extLst>
              <a:ext uri="{FF2B5EF4-FFF2-40B4-BE49-F238E27FC236}">
                <a16:creationId xmlns:a16="http://schemas.microsoft.com/office/drawing/2014/main" id="{9C43BBB2-2E10-D54B-7705-9859B133EF24}"/>
              </a:ext>
            </a:extLst>
          </xdr:cNvPr>
          <xdr:cNvCxnSpPr/>
        </xdr:nvCxnSpPr>
        <xdr:spPr>
          <a:xfrm flipH="1">
            <a:off x="8553450" y="10353675"/>
            <a:ext cx="60325" cy="603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487" name="Straight Connector 486">
            <a:extLst>
              <a:ext uri="{FF2B5EF4-FFF2-40B4-BE49-F238E27FC236}">
                <a16:creationId xmlns:a16="http://schemas.microsoft.com/office/drawing/2014/main" id="{E269EC8D-76D0-41B7-AC4A-3B4B45227A00}"/>
              </a:ext>
            </a:extLst>
          </xdr:cNvPr>
          <xdr:cNvCxnSpPr/>
        </xdr:nvCxnSpPr>
        <xdr:spPr>
          <a:xfrm flipH="1">
            <a:off x="8515350" y="11671300"/>
            <a:ext cx="3333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488" name="Straight Connector 487">
            <a:extLst>
              <a:ext uri="{FF2B5EF4-FFF2-40B4-BE49-F238E27FC236}">
                <a16:creationId xmlns:a16="http://schemas.microsoft.com/office/drawing/2014/main" id="{7714C9D4-32AB-47E5-8320-1A56CF95DC00}"/>
              </a:ext>
            </a:extLst>
          </xdr:cNvPr>
          <xdr:cNvCxnSpPr/>
        </xdr:nvCxnSpPr>
        <xdr:spPr>
          <a:xfrm flipH="1">
            <a:off x="8550275" y="11642725"/>
            <a:ext cx="60325" cy="603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491" name="Straight Connector 490">
            <a:extLst>
              <a:ext uri="{FF2B5EF4-FFF2-40B4-BE49-F238E27FC236}">
                <a16:creationId xmlns:a16="http://schemas.microsoft.com/office/drawing/2014/main" id="{73D55593-0EEF-741E-7921-934C1FA5EF44}"/>
              </a:ext>
            </a:extLst>
          </xdr:cNvPr>
          <xdr:cNvCxnSpPr/>
        </xdr:nvCxnSpPr>
        <xdr:spPr>
          <a:xfrm flipV="1">
            <a:off x="8905875" y="10033000"/>
            <a:ext cx="0" cy="29845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494" name="Straight Connector 493">
            <a:extLst>
              <a:ext uri="{FF2B5EF4-FFF2-40B4-BE49-F238E27FC236}">
                <a16:creationId xmlns:a16="http://schemas.microsoft.com/office/drawing/2014/main" id="{6A3F398B-3F26-3B4A-868F-6E27610EDD6D}"/>
              </a:ext>
            </a:extLst>
          </xdr:cNvPr>
          <xdr:cNvCxnSpPr/>
        </xdr:nvCxnSpPr>
        <xdr:spPr>
          <a:xfrm>
            <a:off x="8839200" y="10099675"/>
            <a:ext cx="603250"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496" name="Straight Connector 495">
            <a:extLst>
              <a:ext uri="{FF2B5EF4-FFF2-40B4-BE49-F238E27FC236}">
                <a16:creationId xmlns:a16="http://schemas.microsoft.com/office/drawing/2014/main" id="{9D8F93BA-44AD-4AE1-9BD7-604634EBE58A}"/>
              </a:ext>
            </a:extLst>
          </xdr:cNvPr>
          <xdr:cNvCxnSpPr/>
        </xdr:nvCxnSpPr>
        <xdr:spPr>
          <a:xfrm flipH="1">
            <a:off x="8874125" y="10071100"/>
            <a:ext cx="60325" cy="603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498" name="Straight Connector 497">
            <a:extLst>
              <a:ext uri="{FF2B5EF4-FFF2-40B4-BE49-F238E27FC236}">
                <a16:creationId xmlns:a16="http://schemas.microsoft.com/office/drawing/2014/main" id="{5CF28A22-856B-439D-9877-BAFF6C0EE7EC}"/>
              </a:ext>
            </a:extLst>
          </xdr:cNvPr>
          <xdr:cNvCxnSpPr/>
        </xdr:nvCxnSpPr>
        <xdr:spPr>
          <a:xfrm flipV="1">
            <a:off x="9391650" y="10033000"/>
            <a:ext cx="0" cy="29845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499" name="Straight Connector 498">
            <a:extLst>
              <a:ext uri="{FF2B5EF4-FFF2-40B4-BE49-F238E27FC236}">
                <a16:creationId xmlns:a16="http://schemas.microsoft.com/office/drawing/2014/main" id="{76013749-B356-4477-AB8D-580B9F554976}"/>
              </a:ext>
            </a:extLst>
          </xdr:cNvPr>
          <xdr:cNvCxnSpPr/>
        </xdr:nvCxnSpPr>
        <xdr:spPr>
          <a:xfrm flipH="1">
            <a:off x="9359900" y="10071100"/>
            <a:ext cx="60325" cy="603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02" name="Straight Connector 501">
            <a:extLst>
              <a:ext uri="{FF2B5EF4-FFF2-40B4-BE49-F238E27FC236}">
                <a16:creationId xmlns:a16="http://schemas.microsoft.com/office/drawing/2014/main" id="{50A816F9-9FD9-4A36-B09B-93C454FA32EF}"/>
              </a:ext>
            </a:extLst>
          </xdr:cNvPr>
          <xdr:cNvCxnSpPr/>
        </xdr:nvCxnSpPr>
        <xdr:spPr>
          <a:xfrm flipH="1">
            <a:off x="9445625" y="10385425"/>
            <a:ext cx="3333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04" name="Straight Connector 503">
            <a:extLst>
              <a:ext uri="{FF2B5EF4-FFF2-40B4-BE49-F238E27FC236}">
                <a16:creationId xmlns:a16="http://schemas.microsoft.com/office/drawing/2014/main" id="{70A5CE56-AEE9-4357-9D4C-5CFEC689328C}"/>
              </a:ext>
            </a:extLst>
          </xdr:cNvPr>
          <xdr:cNvCxnSpPr/>
        </xdr:nvCxnSpPr>
        <xdr:spPr>
          <a:xfrm>
            <a:off x="9715500" y="10331450"/>
            <a:ext cx="0" cy="40005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05" name="Straight Connector 504">
            <a:extLst>
              <a:ext uri="{FF2B5EF4-FFF2-40B4-BE49-F238E27FC236}">
                <a16:creationId xmlns:a16="http://schemas.microsoft.com/office/drawing/2014/main" id="{B403A607-A419-48DE-B0B2-5DBC3A95AF26}"/>
              </a:ext>
            </a:extLst>
          </xdr:cNvPr>
          <xdr:cNvCxnSpPr/>
        </xdr:nvCxnSpPr>
        <xdr:spPr>
          <a:xfrm flipH="1">
            <a:off x="9686925" y="10356850"/>
            <a:ext cx="60325" cy="603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07" name="Straight Connector 506">
            <a:extLst>
              <a:ext uri="{FF2B5EF4-FFF2-40B4-BE49-F238E27FC236}">
                <a16:creationId xmlns:a16="http://schemas.microsoft.com/office/drawing/2014/main" id="{1AA886F5-65C8-45FE-8271-D16B6DF36422}"/>
              </a:ext>
            </a:extLst>
          </xdr:cNvPr>
          <xdr:cNvCxnSpPr/>
        </xdr:nvCxnSpPr>
        <xdr:spPr>
          <a:xfrm flipH="1">
            <a:off x="9436100" y="10668000"/>
            <a:ext cx="3333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08" name="Straight Connector 507">
            <a:extLst>
              <a:ext uri="{FF2B5EF4-FFF2-40B4-BE49-F238E27FC236}">
                <a16:creationId xmlns:a16="http://schemas.microsoft.com/office/drawing/2014/main" id="{3F79934A-A019-4B62-97DA-75A500EA6916}"/>
              </a:ext>
            </a:extLst>
          </xdr:cNvPr>
          <xdr:cNvCxnSpPr/>
        </xdr:nvCxnSpPr>
        <xdr:spPr>
          <a:xfrm flipH="1">
            <a:off x="9683750" y="10639425"/>
            <a:ext cx="60325" cy="603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09" name="Straight Connector 508">
            <a:extLst>
              <a:ext uri="{FF2B5EF4-FFF2-40B4-BE49-F238E27FC236}">
                <a16:creationId xmlns:a16="http://schemas.microsoft.com/office/drawing/2014/main" id="{788A65DF-1320-4F23-BC52-6A67FA2C6574}"/>
              </a:ext>
            </a:extLst>
          </xdr:cNvPr>
          <xdr:cNvCxnSpPr/>
        </xdr:nvCxnSpPr>
        <xdr:spPr>
          <a:xfrm flipH="1">
            <a:off x="8839200" y="10956925"/>
            <a:ext cx="203200"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65" name="Straight Connector 64">
            <a:extLst>
              <a:ext uri="{FF2B5EF4-FFF2-40B4-BE49-F238E27FC236}">
                <a16:creationId xmlns:a16="http://schemas.microsoft.com/office/drawing/2014/main" id="{09B0051D-2E30-4305-8B23-5223017C18A9}"/>
              </a:ext>
            </a:extLst>
          </xdr:cNvPr>
          <xdr:cNvCxnSpPr/>
        </xdr:nvCxnSpPr>
        <xdr:spPr>
          <a:xfrm flipH="1">
            <a:off x="8874125" y="10928350"/>
            <a:ext cx="60325" cy="603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75" name="Straight Connector 74">
            <a:extLst>
              <a:ext uri="{FF2B5EF4-FFF2-40B4-BE49-F238E27FC236}">
                <a16:creationId xmlns:a16="http://schemas.microsoft.com/office/drawing/2014/main" id="{1A04C2D9-BD9F-4F01-8B42-1559561EC9AA}"/>
              </a:ext>
            </a:extLst>
          </xdr:cNvPr>
          <xdr:cNvCxnSpPr/>
        </xdr:nvCxnSpPr>
        <xdr:spPr>
          <a:xfrm flipH="1">
            <a:off x="8966200" y="10928350"/>
            <a:ext cx="60325" cy="60325"/>
          </a:xfrm>
          <a:prstGeom prst="line">
            <a:avLst/>
          </a:prstGeom>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xdr:col>
      <xdr:colOff>95250</xdr:colOff>
      <xdr:row>23</xdr:row>
      <xdr:rowOff>61913</xdr:rowOff>
    </xdr:from>
    <xdr:to>
      <xdr:col>33</xdr:col>
      <xdr:colOff>28575</xdr:colOff>
      <xdr:row>63</xdr:row>
      <xdr:rowOff>61915</xdr:rowOff>
    </xdr:to>
    <xdr:grpSp>
      <xdr:nvGrpSpPr>
        <xdr:cNvPr id="324" name="Group 323">
          <a:extLst>
            <a:ext uri="{FF2B5EF4-FFF2-40B4-BE49-F238E27FC236}">
              <a16:creationId xmlns:a16="http://schemas.microsoft.com/office/drawing/2014/main" id="{895DE873-5818-B190-1A70-98E98C47A33A}"/>
            </a:ext>
          </a:extLst>
        </xdr:cNvPr>
        <xdr:cNvGrpSpPr/>
      </xdr:nvGrpSpPr>
      <xdr:grpSpPr>
        <a:xfrm>
          <a:off x="419100" y="3729038"/>
          <a:ext cx="4953000" cy="5715002"/>
          <a:chOff x="419100" y="3729038"/>
          <a:chExt cx="4953000" cy="5715002"/>
        </a:xfrm>
      </xdr:grpSpPr>
      <xdr:sp macro="" textlink="">
        <xdr:nvSpPr>
          <xdr:cNvPr id="2" name="Rectangle 1">
            <a:extLst>
              <a:ext uri="{FF2B5EF4-FFF2-40B4-BE49-F238E27FC236}">
                <a16:creationId xmlns:a16="http://schemas.microsoft.com/office/drawing/2014/main" id="{9E728678-7B24-3918-232B-D4108DF4B76F}"/>
              </a:ext>
            </a:extLst>
          </xdr:cNvPr>
          <xdr:cNvSpPr/>
        </xdr:nvSpPr>
        <xdr:spPr>
          <a:xfrm>
            <a:off x="1133475" y="4381499"/>
            <a:ext cx="3886200" cy="5000625"/>
          </a:xfrm>
          <a:prstGeom prst="rect">
            <a:avLst/>
          </a:prstGeom>
          <a:solidFill>
            <a:schemeClr val="bg1">
              <a:lumMod val="95000"/>
            </a:schemeClr>
          </a:solidFill>
          <a:ln w="63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kern="1200"/>
          </a:p>
        </xdr:txBody>
      </xdr:sp>
      <xdr:cxnSp macro="">
        <xdr:nvCxnSpPr>
          <xdr:cNvPr id="6" name="Straight Connector 5">
            <a:extLst>
              <a:ext uri="{FF2B5EF4-FFF2-40B4-BE49-F238E27FC236}">
                <a16:creationId xmlns:a16="http://schemas.microsoft.com/office/drawing/2014/main" id="{5FAA3F0E-C438-2AF4-A2D4-5334C05D79C5}"/>
              </a:ext>
            </a:extLst>
          </xdr:cNvPr>
          <xdr:cNvCxnSpPr/>
        </xdr:nvCxnSpPr>
        <xdr:spPr>
          <a:xfrm>
            <a:off x="3038476" y="4381501"/>
            <a:ext cx="0" cy="500062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 name="Straight Connector 6">
            <a:extLst>
              <a:ext uri="{FF2B5EF4-FFF2-40B4-BE49-F238E27FC236}">
                <a16:creationId xmlns:a16="http://schemas.microsoft.com/office/drawing/2014/main" id="{BFAA18AC-9255-414E-AF1B-91DB88E0E85F}"/>
              </a:ext>
            </a:extLst>
          </xdr:cNvPr>
          <xdr:cNvCxnSpPr/>
        </xdr:nvCxnSpPr>
        <xdr:spPr>
          <a:xfrm>
            <a:off x="3114675" y="4381500"/>
            <a:ext cx="0" cy="50006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 name="Straight Connector 9">
            <a:extLst>
              <a:ext uri="{FF2B5EF4-FFF2-40B4-BE49-F238E27FC236}">
                <a16:creationId xmlns:a16="http://schemas.microsoft.com/office/drawing/2014/main" id="{3C50A3ED-0F88-4263-B1C1-15B5CC792613}"/>
              </a:ext>
            </a:extLst>
          </xdr:cNvPr>
          <xdr:cNvCxnSpPr/>
        </xdr:nvCxnSpPr>
        <xdr:spPr>
          <a:xfrm>
            <a:off x="1619250" y="4381500"/>
            <a:ext cx="0" cy="500062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1" name="Straight Connector 10">
            <a:extLst>
              <a:ext uri="{FF2B5EF4-FFF2-40B4-BE49-F238E27FC236}">
                <a16:creationId xmlns:a16="http://schemas.microsoft.com/office/drawing/2014/main" id="{CD4D4417-4825-4703-A442-8B43F1D38519}"/>
              </a:ext>
            </a:extLst>
          </xdr:cNvPr>
          <xdr:cNvCxnSpPr/>
        </xdr:nvCxnSpPr>
        <xdr:spPr>
          <a:xfrm>
            <a:off x="2105025" y="4381500"/>
            <a:ext cx="0" cy="500062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2" name="Straight Connector 11">
            <a:extLst>
              <a:ext uri="{FF2B5EF4-FFF2-40B4-BE49-F238E27FC236}">
                <a16:creationId xmlns:a16="http://schemas.microsoft.com/office/drawing/2014/main" id="{D3A7C302-84EA-4F53-BEB1-C85D334E3CF3}"/>
              </a:ext>
            </a:extLst>
          </xdr:cNvPr>
          <xdr:cNvCxnSpPr/>
        </xdr:nvCxnSpPr>
        <xdr:spPr>
          <a:xfrm>
            <a:off x="2590801" y="4386262"/>
            <a:ext cx="0" cy="500062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 name="Straight Connector 12">
            <a:extLst>
              <a:ext uri="{FF2B5EF4-FFF2-40B4-BE49-F238E27FC236}">
                <a16:creationId xmlns:a16="http://schemas.microsoft.com/office/drawing/2014/main" id="{40D61806-A50B-4A7D-8E9A-87E1DB08A5F8}"/>
              </a:ext>
            </a:extLst>
          </xdr:cNvPr>
          <xdr:cNvCxnSpPr/>
        </xdr:nvCxnSpPr>
        <xdr:spPr>
          <a:xfrm>
            <a:off x="3562351" y="4381501"/>
            <a:ext cx="0" cy="500062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4" name="Straight Connector 13">
            <a:extLst>
              <a:ext uri="{FF2B5EF4-FFF2-40B4-BE49-F238E27FC236}">
                <a16:creationId xmlns:a16="http://schemas.microsoft.com/office/drawing/2014/main" id="{8CEC64FA-7FA3-47DA-A88E-689941C3F4B1}"/>
              </a:ext>
            </a:extLst>
          </xdr:cNvPr>
          <xdr:cNvCxnSpPr/>
        </xdr:nvCxnSpPr>
        <xdr:spPr>
          <a:xfrm>
            <a:off x="4048126" y="4381501"/>
            <a:ext cx="0" cy="500062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5" name="Straight Connector 14">
            <a:extLst>
              <a:ext uri="{FF2B5EF4-FFF2-40B4-BE49-F238E27FC236}">
                <a16:creationId xmlns:a16="http://schemas.microsoft.com/office/drawing/2014/main" id="{615F9D22-FB7D-461B-84ED-780FEEB09D2C}"/>
              </a:ext>
            </a:extLst>
          </xdr:cNvPr>
          <xdr:cNvCxnSpPr/>
        </xdr:nvCxnSpPr>
        <xdr:spPr>
          <a:xfrm>
            <a:off x="4533902" y="4386263"/>
            <a:ext cx="0" cy="500062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7" name="Straight Connector 16">
            <a:extLst>
              <a:ext uri="{FF2B5EF4-FFF2-40B4-BE49-F238E27FC236}">
                <a16:creationId xmlns:a16="http://schemas.microsoft.com/office/drawing/2014/main" id="{BC8A41A3-A627-CE97-0DC0-61C4EF0222BE}"/>
              </a:ext>
            </a:extLst>
          </xdr:cNvPr>
          <xdr:cNvCxnSpPr/>
        </xdr:nvCxnSpPr>
        <xdr:spPr>
          <a:xfrm>
            <a:off x="1133475" y="5095876"/>
            <a:ext cx="38862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0" name="Straight Connector 19">
            <a:extLst>
              <a:ext uri="{FF2B5EF4-FFF2-40B4-BE49-F238E27FC236}">
                <a16:creationId xmlns:a16="http://schemas.microsoft.com/office/drawing/2014/main" id="{4A496BF8-967D-4A9C-BA49-A31C8A607D82}"/>
              </a:ext>
            </a:extLst>
          </xdr:cNvPr>
          <xdr:cNvCxnSpPr/>
        </xdr:nvCxnSpPr>
        <xdr:spPr>
          <a:xfrm>
            <a:off x="1133475" y="5810251"/>
            <a:ext cx="38862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1" name="Straight Connector 20">
            <a:extLst>
              <a:ext uri="{FF2B5EF4-FFF2-40B4-BE49-F238E27FC236}">
                <a16:creationId xmlns:a16="http://schemas.microsoft.com/office/drawing/2014/main" id="{18F0A56A-4A0C-452E-8A51-960A618960AF}"/>
              </a:ext>
            </a:extLst>
          </xdr:cNvPr>
          <xdr:cNvCxnSpPr/>
        </xdr:nvCxnSpPr>
        <xdr:spPr>
          <a:xfrm>
            <a:off x="1133475" y="6524626"/>
            <a:ext cx="38862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2" name="Straight Connector 21">
            <a:extLst>
              <a:ext uri="{FF2B5EF4-FFF2-40B4-BE49-F238E27FC236}">
                <a16:creationId xmlns:a16="http://schemas.microsoft.com/office/drawing/2014/main" id="{D9C864FF-2A8C-4787-864E-9B1F2ABCFB4F}"/>
              </a:ext>
            </a:extLst>
          </xdr:cNvPr>
          <xdr:cNvCxnSpPr/>
        </xdr:nvCxnSpPr>
        <xdr:spPr>
          <a:xfrm>
            <a:off x="1133474" y="7239000"/>
            <a:ext cx="38862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3" name="Straight Connector 22">
            <a:extLst>
              <a:ext uri="{FF2B5EF4-FFF2-40B4-BE49-F238E27FC236}">
                <a16:creationId xmlns:a16="http://schemas.microsoft.com/office/drawing/2014/main" id="{D8F36715-7C67-4AD8-B1EB-8BE051DC6666}"/>
              </a:ext>
            </a:extLst>
          </xdr:cNvPr>
          <xdr:cNvCxnSpPr/>
        </xdr:nvCxnSpPr>
        <xdr:spPr>
          <a:xfrm>
            <a:off x="1133474" y="7953375"/>
            <a:ext cx="38862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4" name="Straight Connector 23">
            <a:extLst>
              <a:ext uri="{FF2B5EF4-FFF2-40B4-BE49-F238E27FC236}">
                <a16:creationId xmlns:a16="http://schemas.microsoft.com/office/drawing/2014/main" id="{E1809A3A-998A-4FD2-8E19-47F2D6521D2F}"/>
              </a:ext>
            </a:extLst>
          </xdr:cNvPr>
          <xdr:cNvCxnSpPr/>
        </xdr:nvCxnSpPr>
        <xdr:spPr>
          <a:xfrm>
            <a:off x="1133474" y="8667750"/>
            <a:ext cx="38862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6" name="Straight Connector 25">
            <a:extLst>
              <a:ext uri="{FF2B5EF4-FFF2-40B4-BE49-F238E27FC236}">
                <a16:creationId xmlns:a16="http://schemas.microsoft.com/office/drawing/2014/main" id="{782880D0-9AC6-E147-A05E-4EA08C7AE979}"/>
              </a:ext>
            </a:extLst>
          </xdr:cNvPr>
          <xdr:cNvCxnSpPr/>
        </xdr:nvCxnSpPr>
        <xdr:spPr>
          <a:xfrm>
            <a:off x="1138238" y="4386263"/>
            <a:ext cx="971550" cy="70961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8" name="Straight Connector 27">
            <a:extLst>
              <a:ext uri="{FF2B5EF4-FFF2-40B4-BE49-F238E27FC236}">
                <a16:creationId xmlns:a16="http://schemas.microsoft.com/office/drawing/2014/main" id="{11AE0570-B8AB-48FB-81B9-D4F41755D2A9}"/>
              </a:ext>
            </a:extLst>
          </xdr:cNvPr>
          <xdr:cNvCxnSpPr/>
        </xdr:nvCxnSpPr>
        <xdr:spPr>
          <a:xfrm flipV="1">
            <a:off x="1133475" y="4381500"/>
            <a:ext cx="971550" cy="7143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3" name="Straight Connector 32">
            <a:extLst>
              <a:ext uri="{FF2B5EF4-FFF2-40B4-BE49-F238E27FC236}">
                <a16:creationId xmlns:a16="http://schemas.microsoft.com/office/drawing/2014/main" id="{3FA9297D-226B-4CA2-AF03-4FBA4E95FCDF}"/>
              </a:ext>
            </a:extLst>
          </xdr:cNvPr>
          <xdr:cNvCxnSpPr/>
        </xdr:nvCxnSpPr>
        <xdr:spPr>
          <a:xfrm>
            <a:off x="2109788" y="4386263"/>
            <a:ext cx="971550" cy="70961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4" name="Straight Connector 33">
            <a:extLst>
              <a:ext uri="{FF2B5EF4-FFF2-40B4-BE49-F238E27FC236}">
                <a16:creationId xmlns:a16="http://schemas.microsoft.com/office/drawing/2014/main" id="{72065702-88F1-403E-80F2-51E5CF374215}"/>
              </a:ext>
            </a:extLst>
          </xdr:cNvPr>
          <xdr:cNvCxnSpPr/>
        </xdr:nvCxnSpPr>
        <xdr:spPr>
          <a:xfrm flipV="1">
            <a:off x="2105025" y="4381500"/>
            <a:ext cx="971550" cy="7143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5" name="Straight Connector 34">
            <a:extLst>
              <a:ext uri="{FF2B5EF4-FFF2-40B4-BE49-F238E27FC236}">
                <a16:creationId xmlns:a16="http://schemas.microsoft.com/office/drawing/2014/main" id="{F82785CE-406B-4C66-BB9A-68BBCE43090D}"/>
              </a:ext>
            </a:extLst>
          </xdr:cNvPr>
          <xdr:cNvCxnSpPr/>
        </xdr:nvCxnSpPr>
        <xdr:spPr>
          <a:xfrm>
            <a:off x="3081338" y="4386263"/>
            <a:ext cx="971550" cy="70961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6" name="Straight Connector 35">
            <a:extLst>
              <a:ext uri="{FF2B5EF4-FFF2-40B4-BE49-F238E27FC236}">
                <a16:creationId xmlns:a16="http://schemas.microsoft.com/office/drawing/2014/main" id="{9BEA6C84-82A5-4958-A9FA-3C0F638E5F8B}"/>
              </a:ext>
            </a:extLst>
          </xdr:cNvPr>
          <xdr:cNvCxnSpPr/>
        </xdr:nvCxnSpPr>
        <xdr:spPr>
          <a:xfrm flipV="1">
            <a:off x="3076575" y="4381500"/>
            <a:ext cx="971550" cy="7143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7" name="Straight Connector 36">
            <a:extLst>
              <a:ext uri="{FF2B5EF4-FFF2-40B4-BE49-F238E27FC236}">
                <a16:creationId xmlns:a16="http://schemas.microsoft.com/office/drawing/2014/main" id="{1D6310E3-157E-40BC-AA2F-9659CB0CC035}"/>
              </a:ext>
            </a:extLst>
          </xdr:cNvPr>
          <xdr:cNvCxnSpPr/>
        </xdr:nvCxnSpPr>
        <xdr:spPr>
          <a:xfrm>
            <a:off x="4052888" y="4386263"/>
            <a:ext cx="971550" cy="70961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8" name="Straight Connector 37">
            <a:extLst>
              <a:ext uri="{FF2B5EF4-FFF2-40B4-BE49-F238E27FC236}">
                <a16:creationId xmlns:a16="http://schemas.microsoft.com/office/drawing/2014/main" id="{675940E5-52EC-44E9-AC99-AD620C3B3490}"/>
              </a:ext>
            </a:extLst>
          </xdr:cNvPr>
          <xdr:cNvCxnSpPr/>
        </xdr:nvCxnSpPr>
        <xdr:spPr>
          <a:xfrm flipV="1">
            <a:off x="4048125" y="4381500"/>
            <a:ext cx="971550" cy="7143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9" name="Straight Connector 38">
            <a:extLst>
              <a:ext uri="{FF2B5EF4-FFF2-40B4-BE49-F238E27FC236}">
                <a16:creationId xmlns:a16="http://schemas.microsoft.com/office/drawing/2014/main" id="{DFBD6DA4-6F8E-46E9-B954-A009C4AE8861}"/>
              </a:ext>
            </a:extLst>
          </xdr:cNvPr>
          <xdr:cNvCxnSpPr/>
        </xdr:nvCxnSpPr>
        <xdr:spPr>
          <a:xfrm>
            <a:off x="1138238" y="6529397"/>
            <a:ext cx="971550" cy="70961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0" name="Straight Connector 39">
            <a:extLst>
              <a:ext uri="{FF2B5EF4-FFF2-40B4-BE49-F238E27FC236}">
                <a16:creationId xmlns:a16="http://schemas.microsoft.com/office/drawing/2014/main" id="{24C86025-E55E-435F-B9CF-63EF122D44B2}"/>
              </a:ext>
            </a:extLst>
          </xdr:cNvPr>
          <xdr:cNvCxnSpPr/>
        </xdr:nvCxnSpPr>
        <xdr:spPr>
          <a:xfrm flipV="1">
            <a:off x="1133475" y="6524634"/>
            <a:ext cx="971550" cy="7143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1" name="Straight Connector 40">
            <a:extLst>
              <a:ext uri="{FF2B5EF4-FFF2-40B4-BE49-F238E27FC236}">
                <a16:creationId xmlns:a16="http://schemas.microsoft.com/office/drawing/2014/main" id="{C5AFB88B-EF5E-4F56-A401-6E859D361FCC}"/>
              </a:ext>
            </a:extLst>
          </xdr:cNvPr>
          <xdr:cNvCxnSpPr/>
        </xdr:nvCxnSpPr>
        <xdr:spPr>
          <a:xfrm>
            <a:off x="2109788" y="6529397"/>
            <a:ext cx="971550" cy="70961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2" name="Straight Connector 41">
            <a:extLst>
              <a:ext uri="{FF2B5EF4-FFF2-40B4-BE49-F238E27FC236}">
                <a16:creationId xmlns:a16="http://schemas.microsoft.com/office/drawing/2014/main" id="{056CF7BB-8F04-4714-AAD1-80FC3B3DAF1E}"/>
              </a:ext>
            </a:extLst>
          </xdr:cNvPr>
          <xdr:cNvCxnSpPr/>
        </xdr:nvCxnSpPr>
        <xdr:spPr>
          <a:xfrm flipV="1">
            <a:off x="2105025" y="6524634"/>
            <a:ext cx="971550" cy="7143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3" name="Straight Connector 42">
            <a:extLst>
              <a:ext uri="{FF2B5EF4-FFF2-40B4-BE49-F238E27FC236}">
                <a16:creationId xmlns:a16="http://schemas.microsoft.com/office/drawing/2014/main" id="{E4474106-6084-4048-89F8-4E4FE5A329D4}"/>
              </a:ext>
            </a:extLst>
          </xdr:cNvPr>
          <xdr:cNvCxnSpPr/>
        </xdr:nvCxnSpPr>
        <xdr:spPr>
          <a:xfrm>
            <a:off x="3081338" y="6529397"/>
            <a:ext cx="971550" cy="70961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4" name="Straight Connector 43">
            <a:extLst>
              <a:ext uri="{FF2B5EF4-FFF2-40B4-BE49-F238E27FC236}">
                <a16:creationId xmlns:a16="http://schemas.microsoft.com/office/drawing/2014/main" id="{E8A40EDB-E70B-4F2B-BECA-52B3F6FB6CB3}"/>
              </a:ext>
            </a:extLst>
          </xdr:cNvPr>
          <xdr:cNvCxnSpPr/>
        </xdr:nvCxnSpPr>
        <xdr:spPr>
          <a:xfrm flipV="1">
            <a:off x="3076575" y="6524634"/>
            <a:ext cx="971550" cy="7143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5" name="Straight Connector 44">
            <a:extLst>
              <a:ext uri="{FF2B5EF4-FFF2-40B4-BE49-F238E27FC236}">
                <a16:creationId xmlns:a16="http://schemas.microsoft.com/office/drawing/2014/main" id="{14968193-2B29-45E7-B128-022F2F4269B5}"/>
              </a:ext>
            </a:extLst>
          </xdr:cNvPr>
          <xdr:cNvCxnSpPr/>
        </xdr:nvCxnSpPr>
        <xdr:spPr>
          <a:xfrm>
            <a:off x="4052888" y="6529397"/>
            <a:ext cx="971550" cy="70961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6" name="Straight Connector 45">
            <a:extLst>
              <a:ext uri="{FF2B5EF4-FFF2-40B4-BE49-F238E27FC236}">
                <a16:creationId xmlns:a16="http://schemas.microsoft.com/office/drawing/2014/main" id="{504A5DFD-27D1-4BEE-A36C-026D00631DF4}"/>
              </a:ext>
            </a:extLst>
          </xdr:cNvPr>
          <xdr:cNvCxnSpPr/>
        </xdr:nvCxnSpPr>
        <xdr:spPr>
          <a:xfrm flipV="1">
            <a:off x="4048125" y="6524634"/>
            <a:ext cx="971550" cy="7143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7" name="Straight Connector 46">
            <a:extLst>
              <a:ext uri="{FF2B5EF4-FFF2-40B4-BE49-F238E27FC236}">
                <a16:creationId xmlns:a16="http://schemas.microsoft.com/office/drawing/2014/main" id="{F57A7D04-4216-47F1-B761-79192A96810E}"/>
              </a:ext>
            </a:extLst>
          </xdr:cNvPr>
          <xdr:cNvCxnSpPr/>
        </xdr:nvCxnSpPr>
        <xdr:spPr>
          <a:xfrm>
            <a:off x="1133475" y="7239001"/>
            <a:ext cx="38862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6" name="Straight Connector 55">
            <a:extLst>
              <a:ext uri="{FF2B5EF4-FFF2-40B4-BE49-F238E27FC236}">
                <a16:creationId xmlns:a16="http://schemas.microsoft.com/office/drawing/2014/main" id="{37FECBAA-B352-4C58-81E9-EFC7651C59DB}"/>
              </a:ext>
            </a:extLst>
          </xdr:cNvPr>
          <xdr:cNvCxnSpPr/>
        </xdr:nvCxnSpPr>
        <xdr:spPr>
          <a:xfrm>
            <a:off x="1133475" y="8667751"/>
            <a:ext cx="38862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7" name="Straight Connector 56">
            <a:extLst>
              <a:ext uri="{FF2B5EF4-FFF2-40B4-BE49-F238E27FC236}">
                <a16:creationId xmlns:a16="http://schemas.microsoft.com/office/drawing/2014/main" id="{04FE5019-F6DF-4143-83F1-1F9F4C37F71E}"/>
              </a:ext>
            </a:extLst>
          </xdr:cNvPr>
          <xdr:cNvCxnSpPr/>
        </xdr:nvCxnSpPr>
        <xdr:spPr>
          <a:xfrm>
            <a:off x="1138238" y="8672513"/>
            <a:ext cx="971550" cy="70961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8" name="Straight Connector 57">
            <a:extLst>
              <a:ext uri="{FF2B5EF4-FFF2-40B4-BE49-F238E27FC236}">
                <a16:creationId xmlns:a16="http://schemas.microsoft.com/office/drawing/2014/main" id="{5B309173-DB5B-4502-9D0E-75C80CED6D8C}"/>
              </a:ext>
            </a:extLst>
          </xdr:cNvPr>
          <xdr:cNvCxnSpPr/>
        </xdr:nvCxnSpPr>
        <xdr:spPr>
          <a:xfrm flipV="1">
            <a:off x="1133475" y="8667750"/>
            <a:ext cx="971550" cy="7143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9" name="Straight Connector 58">
            <a:extLst>
              <a:ext uri="{FF2B5EF4-FFF2-40B4-BE49-F238E27FC236}">
                <a16:creationId xmlns:a16="http://schemas.microsoft.com/office/drawing/2014/main" id="{F95101D4-E446-4E00-B1F9-590368722FFC}"/>
              </a:ext>
            </a:extLst>
          </xdr:cNvPr>
          <xdr:cNvCxnSpPr/>
        </xdr:nvCxnSpPr>
        <xdr:spPr>
          <a:xfrm>
            <a:off x="2109788" y="8672513"/>
            <a:ext cx="971550" cy="70961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0" name="Straight Connector 59">
            <a:extLst>
              <a:ext uri="{FF2B5EF4-FFF2-40B4-BE49-F238E27FC236}">
                <a16:creationId xmlns:a16="http://schemas.microsoft.com/office/drawing/2014/main" id="{61CDA498-0230-4B7D-A884-23F87E0569B0}"/>
              </a:ext>
            </a:extLst>
          </xdr:cNvPr>
          <xdr:cNvCxnSpPr/>
        </xdr:nvCxnSpPr>
        <xdr:spPr>
          <a:xfrm flipV="1">
            <a:off x="2105025" y="8667750"/>
            <a:ext cx="971550" cy="7143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1" name="Straight Connector 60">
            <a:extLst>
              <a:ext uri="{FF2B5EF4-FFF2-40B4-BE49-F238E27FC236}">
                <a16:creationId xmlns:a16="http://schemas.microsoft.com/office/drawing/2014/main" id="{948B3C81-8956-46DF-B930-00FCE6DC3777}"/>
              </a:ext>
            </a:extLst>
          </xdr:cNvPr>
          <xdr:cNvCxnSpPr/>
        </xdr:nvCxnSpPr>
        <xdr:spPr>
          <a:xfrm>
            <a:off x="3081338" y="8672513"/>
            <a:ext cx="971550" cy="70961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2" name="Straight Connector 61">
            <a:extLst>
              <a:ext uri="{FF2B5EF4-FFF2-40B4-BE49-F238E27FC236}">
                <a16:creationId xmlns:a16="http://schemas.microsoft.com/office/drawing/2014/main" id="{B861CA3F-0A24-47E9-81CE-28422EB47D36}"/>
              </a:ext>
            </a:extLst>
          </xdr:cNvPr>
          <xdr:cNvCxnSpPr/>
        </xdr:nvCxnSpPr>
        <xdr:spPr>
          <a:xfrm flipV="1">
            <a:off x="3076575" y="8667750"/>
            <a:ext cx="971550" cy="7143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3" name="Straight Connector 62">
            <a:extLst>
              <a:ext uri="{FF2B5EF4-FFF2-40B4-BE49-F238E27FC236}">
                <a16:creationId xmlns:a16="http://schemas.microsoft.com/office/drawing/2014/main" id="{4BF210C3-A21D-4518-A1CE-F34922F8B206}"/>
              </a:ext>
            </a:extLst>
          </xdr:cNvPr>
          <xdr:cNvCxnSpPr/>
        </xdr:nvCxnSpPr>
        <xdr:spPr>
          <a:xfrm>
            <a:off x="4052888" y="8672513"/>
            <a:ext cx="971550" cy="70961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4" name="Straight Connector 63">
            <a:extLst>
              <a:ext uri="{FF2B5EF4-FFF2-40B4-BE49-F238E27FC236}">
                <a16:creationId xmlns:a16="http://schemas.microsoft.com/office/drawing/2014/main" id="{8C0F488C-47D7-44BE-BC10-19371B4E64B0}"/>
              </a:ext>
            </a:extLst>
          </xdr:cNvPr>
          <xdr:cNvCxnSpPr/>
        </xdr:nvCxnSpPr>
        <xdr:spPr>
          <a:xfrm flipV="1">
            <a:off x="4048125" y="8667750"/>
            <a:ext cx="971550" cy="7143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6" name="Straight Connector 65">
            <a:extLst>
              <a:ext uri="{FF2B5EF4-FFF2-40B4-BE49-F238E27FC236}">
                <a16:creationId xmlns:a16="http://schemas.microsoft.com/office/drawing/2014/main" id="{043AC5A9-80AF-60EF-3533-7943868DF61C}"/>
              </a:ext>
            </a:extLst>
          </xdr:cNvPr>
          <xdr:cNvCxnSpPr/>
        </xdr:nvCxnSpPr>
        <xdr:spPr>
          <a:xfrm>
            <a:off x="2386013" y="4262438"/>
            <a:ext cx="0" cy="404812"/>
          </a:xfrm>
          <a:prstGeom prst="line">
            <a:avLst/>
          </a:prstGeom>
          <a:ln w="9525">
            <a:solidFill>
              <a:schemeClr val="accent6">
                <a:lumMod val="75000"/>
              </a:schemeClr>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67" name="Straight Connector 66">
            <a:extLst>
              <a:ext uri="{FF2B5EF4-FFF2-40B4-BE49-F238E27FC236}">
                <a16:creationId xmlns:a16="http://schemas.microsoft.com/office/drawing/2014/main" id="{FD849B1B-70A7-4D5A-83EC-F2715176BB36}"/>
              </a:ext>
            </a:extLst>
          </xdr:cNvPr>
          <xdr:cNvCxnSpPr/>
        </xdr:nvCxnSpPr>
        <xdr:spPr>
          <a:xfrm>
            <a:off x="2409826" y="4262438"/>
            <a:ext cx="0" cy="404812"/>
          </a:xfrm>
          <a:prstGeom prst="line">
            <a:avLst/>
          </a:prstGeom>
          <a:ln w="9525">
            <a:solidFill>
              <a:schemeClr val="accent6">
                <a:lumMod val="75000"/>
              </a:schemeClr>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68" name="Straight Connector 67">
            <a:extLst>
              <a:ext uri="{FF2B5EF4-FFF2-40B4-BE49-F238E27FC236}">
                <a16:creationId xmlns:a16="http://schemas.microsoft.com/office/drawing/2014/main" id="{ACFC9504-BF8A-419E-B87D-3EFC45172694}"/>
              </a:ext>
            </a:extLst>
          </xdr:cNvPr>
          <xdr:cNvCxnSpPr/>
        </xdr:nvCxnSpPr>
        <xdr:spPr>
          <a:xfrm>
            <a:off x="3752847" y="4267203"/>
            <a:ext cx="0" cy="404812"/>
          </a:xfrm>
          <a:prstGeom prst="line">
            <a:avLst/>
          </a:prstGeom>
          <a:ln w="9525">
            <a:solidFill>
              <a:schemeClr val="accent6">
                <a:lumMod val="75000"/>
              </a:schemeClr>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69" name="Straight Connector 68">
            <a:extLst>
              <a:ext uri="{FF2B5EF4-FFF2-40B4-BE49-F238E27FC236}">
                <a16:creationId xmlns:a16="http://schemas.microsoft.com/office/drawing/2014/main" id="{FCAF8D49-7B18-4F4E-BA21-361DB194B028}"/>
              </a:ext>
            </a:extLst>
          </xdr:cNvPr>
          <xdr:cNvCxnSpPr/>
        </xdr:nvCxnSpPr>
        <xdr:spPr>
          <a:xfrm>
            <a:off x="3776660" y="4267203"/>
            <a:ext cx="0" cy="404812"/>
          </a:xfrm>
          <a:prstGeom prst="line">
            <a:avLst/>
          </a:prstGeom>
          <a:ln w="9525">
            <a:solidFill>
              <a:schemeClr val="accent6">
                <a:lumMod val="75000"/>
              </a:schemeClr>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71" name="Straight Connector 70">
            <a:extLst>
              <a:ext uri="{FF2B5EF4-FFF2-40B4-BE49-F238E27FC236}">
                <a16:creationId xmlns:a16="http://schemas.microsoft.com/office/drawing/2014/main" id="{F20082BC-18AC-5AA3-1929-695FD5739243}"/>
              </a:ext>
            </a:extLst>
          </xdr:cNvPr>
          <xdr:cNvCxnSpPr/>
        </xdr:nvCxnSpPr>
        <xdr:spPr>
          <a:xfrm flipH="1">
            <a:off x="419100" y="4381501"/>
            <a:ext cx="622300"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73" name="Straight Connector 72">
            <a:extLst>
              <a:ext uri="{FF2B5EF4-FFF2-40B4-BE49-F238E27FC236}">
                <a16:creationId xmlns:a16="http://schemas.microsoft.com/office/drawing/2014/main" id="{56CA758E-AA06-92EE-F46B-1F1575B744AD}"/>
              </a:ext>
            </a:extLst>
          </xdr:cNvPr>
          <xdr:cNvCxnSpPr/>
        </xdr:nvCxnSpPr>
        <xdr:spPr>
          <a:xfrm>
            <a:off x="809626" y="4314823"/>
            <a:ext cx="0" cy="512921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76" name="Straight Connector 75">
            <a:extLst>
              <a:ext uri="{FF2B5EF4-FFF2-40B4-BE49-F238E27FC236}">
                <a16:creationId xmlns:a16="http://schemas.microsoft.com/office/drawing/2014/main" id="{34E30519-3670-60B0-FE76-9496D02536A2}"/>
              </a:ext>
            </a:extLst>
          </xdr:cNvPr>
          <xdr:cNvCxnSpPr/>
        </xdr:nvCxnSpPr>
        <xdr:spPr>
          <a:xfrm flipH="1">
            <a:off x="776287" y="4348163"/>
            <a:ext cx="66675" cy="666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77" name="Straight Connector 76">
            <a:extLst>
              <a:ext uri="{FF2B5EF4-FFF2-40B4-BE49-F238E27FC236}">
                <a16:creationId xmlns:a16="http://schemas.microsoft.com/office/drawing/2014/main" id="{8D1833D4-CB3A-4EE6-8333-3C4E564202A3}"/>
              </a:ext>
            </a:extLst>
          </xdr:cNvPr>
          <xdr:cNvCxnSpPr/>
        </xdr:nvCxnSpPr>
        <xdr:spPr>
          <a:xfrm flipH="1">
            <a:off x="752475" y="5095879"/>
            <a:ext cx="26352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78" name="Straight Connector 77">
            <a:extLst>
              <a:ext uri="{FF2B5EF4-FFF2-40B4-BE49-F238E27FC236}">
                <a16:creationId xmlns:a16="http://schemas.microsoft.com/office/drawing/2014/main" id="{00682FC9-F821-47D7-8EDE-1853D5A5CF31}"/>
              </a:ext>
            </a:extLst>
          </xdr:cNvPr>
          <xdr:cNvCxnSpPr/>
        </xdr:nvCxnSpPr>
        <xdr:spPr>
          <a:xfrm flipH="1">
            <a:off x="776283" y="5062541"/>
            <a:ext cx="66675" cy="666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83" name="Straight Connector 82">
            <a:extLst>
              <a:ext uri="{FF2B5EF4-FFF2-40B4-BE49-F238E27FC236}">
                <a16:creationId xmlns:a16="http://schemas.microsoft.com/office/drawing/2014/main" id="{355EE366-BE4A-4DA2-B0EA-DB5689B1D75B}"/>
              </a:ext>
            </a:extLst>
          </xdr:cNvPr>
          <xdr:cNvCxnSpPr/>
        </xdr:nvCxnSpPr>
        <xdr:spPr>
          <a:xfrm flipH="1">
            <a:off x="752475" y="5810254"/>
            <a:ext cx="2825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84" name="Straight Connector 83">
            <a:extLst>
              <a:ext uri="{FF2B5EF4-FFF2-40B4-BE49-F238E27FC236}">
                <a16:creationId xmlns:a16="http://schemas.microsoft.com/office/drawing/2014/main" id="{608E632F-53D9-45C7-BCB2-EA6C273CCBC0}"/>
              </a:ext>
            </a:extLst>
          </xdr:cNvPr>
          <xdr:cNvCxnSpPr/>
        </xdr:nvCxnSpPr>
        <xdr:spPr>
          <a:xfrm flipH="1">
            <a:off x="776283" y="5776916"/>
            <a:ext cx="66675" cy="666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85" name="Straight Connector 84">
            <a:extLst>
              <a:ext uri="{FF2B5EF4-FFF2-40B4-BE49-F238E27FC236}">
                <a16:creationId xmlns:a16="http://schemas.microsoft.com/office/drawing/2014/main" id="{A9A392FE-F48F-4E48-A263-CF423AD9CA15}"/>
              </a:ext>
            </a:extLst>
          </xdr:cNvPr>
          <xdr:cNvCxnSpPr/>
        </xdr:nvCxnSpPr>
        <xdr:spPr>
          <a:xfrm flipH="1">
            <a:off x="752475" y="6524629"/>
            <a:ext cx="273050"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86" name="Straight Connector 85">
            <a:extLst>
              <a:ext uri="{FF2B5EF4-FFF2-40B4-BE49-F238E27FC236}">
                <a16:creationId xmlns:a16="http://schemas.microsoft.com/office/drawing/2014/main" id="{C6F70189-4559-4286-82AC-0FDECE0DC95E}"/>
              </a:ext>
            </a:extLst>
          </xdr:cNvPr>
          <xdr:cNvCxnSpPr/>
        </xdr:nvCxnSpPr>
        <xdr:spPr>
          <a:xfrm flipH="1">
            <a:off x="776283" y="6491291"/>
            <a:ext cx="66675" cy="666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87" name="Straight Connector 86">
            <a:extLst>
              <a:ext uri="{FF2B5EF4-FFF2-40B4-BE49-F238E27FC236}">
                <a16:creationId xmlns:a16="http://schemas.microsoft.com/office/drawing/2014/main" id="{C0E2962C-4544-425D-82C3-454A764B6664}"/>
              </a:ext>
            </a:extLst>
          </xdr:cNvPr>
          <xdr:cNvCxnSpPr/>
        </xdr:nvCxnSpPr>
        <xdr:spPr>
          <a:xfrm flipH="1">
            <a:off x="752475" y="7239004"/>
            <a:ext cx="2698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88" name="Straight Connector 87">
            <a:extLst>
              <a:ext uri="{FF2B5EF4-FFF2-40B4-BE49-F238E27FC236}">
                <a16:creationId xmlns:a16="http://schemas.microsoft.com/office/drawing/2014/main" id="{8DCED0BF-2831-4B6F-891B-DA3A9AC5E843}"/>
              </a:ext>
            </a:extLst>
          </xdr:cNvPr>
          <xdr:cNvCxnSpPr/>
        </xdr:nvCxnSpPr>
        <xdr:spPr>
          <a:xfrm flipH="1">
            <a:off x="776283" y="7205666"/>
            <a:ext cx="66675" cy="666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89" name="Straight Connector 88">
            <a:extLst>
              <a:ext uri="{FF2B5EF4-FFF2-40B4-BE49-F238E27FC236}">
                <a16:creationId xmlns:a16="http://schemas.microsoft.com/office/drawing/2014/main" id="{3A4D05B9-33B0-4E91-9572-1FD89DDAAE59}"/>
              </a:ext>
            </a:extLst>
          </xdr:cNvPr>
          <xdr:cNvCxnSpPr/>
        </xdr:nvCxnSpPr>
        <xdr:spPr>
          <a:xfrm flipH="1">
            <a:off x="752475" y="7953379"/>
            <a:ext cx="2698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90" name="Straight Connector 89">
            <a:extLst>
              <a:ext uri="{FF2B5EF4-FFF2-40B4-BE49-F238E27FC236}">
                <a16:creationId xmlns:a16="http://schemas.microsoft.com/office/drawing/2014/main" id="{23E0D4AE-8BC8-4591-8EAF-347ACEE1A891}"/>
              </a:ext>
            </a:extLst>
          </xdr:cNvPr>
          <xdr:cNvCxnSpPr/>
        </xdr:nvCxnSpPr>
        <xdr:spPr>
          <a:xfrm flipH="1">
            <a:off x="776283" y="7920041"/>
            <a:ext cx="66675" cy="666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91" name="Straight Connector 90">
            <a:extLst>
              <a:ext uri="{FF2B5EF4-FFF2-40B4-BE49-F238E27FC236}">
                <a16:creationId xmlns:a16="http://schemas.microsoft.com/office/drawing/2014/main" id="{0C78AB4F-ABAB-4A82-AB70-C8E8B642FA0C}"/>
              </a:ext>
            </a:extLst>
          </xdr:cNvPr>
          <xdr:cNvCxnSpPr/>
        </xdr:nvCxnSpPr>
        <xdr:spPr>
          <a:xfrm flipH="1">
            <a:off x="752475" y="8667754"/>
            <a:ext cx="28892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92" name="Straight Connector 91">
            <a:extLst>
              <a:ext uri="{FF2B5EF4-FFF2-40B4-BE49-F238E27FC236}">
                <a16:creationId xmlns:a16="http://schemas.microsoft.com/office/drawing/2014/main" id="{D1DCDE4D-3136-46E2-B7BD-D01947C36303}"/>
              </a:ext>
            </a:extLst>
          </xdr:cNvPr>
          <xdr:cNvCxnSpPr/>
        </xdr:nvCxnSpPr>
        <xdr:spPr>
          <a:xfrm flipH="1">
            <a:off x="776283" y="8634416"/>
            <a:ext cx="66675" cy="666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93" name="Straight Connector 92">
            <a:extLst>
              <a:ext uri="{FF2B5EF4-FFF2-40B4-BE49-F238E27FC236}">
                <a16:creationId xmlns:a16="http://schemas.microsoft.com/office/drawing/2014/main" id="{B16FDDBB-0F73-4BF4-8F73-F2D752870C12}"/>
              </a:ext>
            </a:extLst>
          </xdr:cNvPr>
          <xdr:cNvCxnSpPr/>
        </xdr:nvCxnSpPr>
        <xdr:spPr>
          <a:xfrm>
            <a:off x="485776" y="4314825"/>
            <a:ext cx="0" cy="512921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94" name="Straight Connector 93">
            <a:extLst>
              <a:ext uri="{FF2B5EF4-FFF2-40B4-BE49-F238E27FC236}">
                <a16:creationId xmlns:a16="http://schemas.microsoft.com/office/drawing/2014/main" id="{7F928BA8-EAD5-46B0-9950-EF4EE77EF1A9}"/>
              </a:ext>
            </a:extLst>
          </xdr:cNvPr>
          <xdr:cNvCxnSpPr/>
        </xdr:nvCxnSpPr>
        <xdr:spPr>
          <a:xfrm flipH="1">
            <a:off x="452437" y="4348165"/>
            <a:ext cx="66675" cy="666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95" name="Straight Connector 94">
            <a:extLst>
              <a:ext uri="{FF2B5EF4-FFF2-40B4-BE49-F238E27FC236}">
                <a16:creationId xmlns:a16="http://schemas.microsoft.com/office/drawing/2014/main" id="{354B993D-820C-4637-BA72-F38820D57AFC}"/>
              </a:ext>
            </a:extLst>
          </xdr:cNvPr>
          <xdr:cNvCxnSpPr/>
        </xdr:nvCxnSpPr>
        <xdr:spPr>
          <a:xfrm flipH="1">
            <a:off x="419100" y="9382126"/>
            <a:ext cx="59372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96" name="Straight Connector 95">
            <a:extLst>
              <a:ext uri="{FF2B5EF4-FFF2-40B4-BE49-F238E27FC236}">
                <a16:creationId xmlns:a16="http://schemas.microsoft.com/office/drawing/2014/main" id="{506DD8C9-88FF-4249-9F01-907DA5BB8CDF}"/>
              </a:ext>
            </a:extLst>
          </xdr:cNvPr>
          <xdr:cNvCxnSpPr/>
        </xdr:nvCxnSpPr>
        <xdr:spPr>
          <a:xfrm flipH="1">
            <a:off x="776287" y="9348788"/>
            <a:ext cx="66675" cy="666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97" name="Straight Connector 96">
            <a:extLst>
              <a:ext uri="{FF2B5EF4-FFF2-40B4-BE49-F238E27FC236}">
                <a16:creationId xmlns:a16="http://schemas.microsoft.com/office/drawing/2014/main" id="{02CAEA21-903B-4DD1-9C74-6FCAB54D6895}"/>
              </a:ext>
            </a:extLst>
          </xdr:cNvPr>
          <xdr:cNvCxnSpPr/>
        </xdr:nvCxnSpPr>
        <xdr:spPr>
          <a:xfrm flipH="1">
            <a:off x="452437" y="9348790"/>
            <a:ext cx="66675" cy="666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99" name="Straight Connector 98">
            <a:extLst>
              <a:ext uri="{FF2B5EF4-FFF2-40B4-BE49-F238E27FC236}">
                <a16:creationId xmlns:a16="http://schemas.microsoft.com/office/drawing/2014/main" id="{7ACD2A0F-9662-6D98-E43A-BB2B23A3B332}"/>
              </a:ext>
            </a:extLst>
          </xdr:cNvPr>
          <xdr:cNvCxnSpPr/>
        </xdr:nvCxnSpPr>
        <xdr:spPr>
          <a:xfrm>
            <a:off x="1019177" y="5429248"/>
            <a:ext cx="314322" cy="0"/>
          </a:xfrm>
          <a:prstGeom prst="line">
            <a:avLst/>
          </a:prstGeom>
          <a:ln w="9525">
            <a:solidFill>
              <a:schemeClr val="accent6">
                <a:lumMod val="75000"/>
              </a:schemeClr>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01" name="Straight Connector 100">
            <a:extLst>
              <a:ext uri="{FF2B5EF4-FFF2-40B4-BE49-F238E27FC236}">
                <a16:creationId xmlns:a16="http://schemas.microsoft.com/office/drawing/2014/main" id="{66DBB39B-3FB3-48EB-9D22-2285526849FF}"/>
              </a:ext>
            </a:extLst>
          </xdr:cNvPr>
          <xdr:cNvCxnSpPr/>
        </xdr:nvCxnSpPr>
        <xdr:spPr>
          <a:xfrm>
            <a:off x="1019178" y="5453061"/>
            <a:ext cx="314322" cy="0"/>
          </a:xfrm>
          <a:prstGeom prst="line">
            <a:avLst/>
          </a:prstGeom>
          <a:ln w="9525">
            <a:solidFill>
              <a:schemeClr val="accent6">
                <a:lumMod val="75000"/>
              </a:schemeClr>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02" name="Straight Connector 101">
            <a:extLst>
              <a:ext uri="{FF2B5EF4-FFF2-40B4-BE49-F238E27FC236}">
                <a16:creationId xmlns:a16="http://schemas.microsoft.com/office/drawing/2014/main" id="{4B1F3CF9-86E5-4E22-A5D3-4815BA94EBCB}"/>
              </a:ext>
            </a:extLst>
          </xdr:cNvPr>
          <xdr:cNvCxnSpPr/>
        </xdr:nvCxnSpPr>
        <xdr:spPr>
          <a:xfrm>
            <a:off x="4838700" y="5434011"/>
            <a:ext cx="314322" cy="0"/>
          </a:xfrm>
          <a:prstGeom prst="line">
            <a:avLst/>
          </a:prstGeom>
          <a:ln w="9525">
            <a:solidFill>
              <a:schemeClr val="accent6">
                <a:lumMod val="75000"/>
              </a:schemeClr>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03" name="Straight Connector 102">
            <a:extLst>
              <a:ext uri="{FF2B5EF4-FFF2-40B4-BE49-F238E27FC236}">
                <a16:creationId xmlns:a16="http://schemas.microsoft.com/office/drawing/2014/main" id="{06F12FF4-568E-4415-AD21-729FAFBFDB65}"/>
              </a:ext>
            </a:extLst>
          </xdr:cNvPr>
          <xdr:cNvCxnSpPr/>
        </xdr:nvCxnSpPr>
        <xdr:spPr>
          <a:xfrm>
            <a:off x="4838701" y="5457824"/>
            <a:ext cx="314322" cy="0"/>
          </a:xfrm>
          <a:prstGeom prst="line">
            <a:avLst/>
          </a:prstGeom>
          <a:ln w="9525">
            <a:solidFill>
              <a:schemeClr val="accent6">
                <a:lumMod val="75000"/>
              </a:schemeClr>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62" name="Straight Connector 161">
            <a:extLst>
              <a:ext uri="{FF2B5EF4-FFF2-40B4-BE49-F238E27FC236}">
                <a16:creationId xmlns:a16="http://schemas.microsoft.com/office/drawing/2014/main" id="{518ECE65-9346-6DCC-32A8-66839A34A999}"/>
              </a:ext>
            </a:extLst>
          </xdr:cNvPr>
          <xdr:cNvCxnSpPr/>
        </xdr:nvCxnSpPr>
        <xdr:spPr>
          <a:xfrm>
            <a:off x="985836" y="5305428"/>
            <a:ext cx="300038" cy="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163" name="Isosceles Triangle 162">
            <a:extLst>
              <a:ext uri="{FF2B5EF4-FFF2-40B4-BE49-F238E27FC236}">
                <a16:creationId xmlns:a16="http://schemas.microsoft.com/office/drawing/2014/main" id="{D118222A-4BB8-3AE3-1F71-DBA9D50C7F28}"/>
              </a:ext>
            </a:extLst>
          </xdr:cNvPr>
          <xdr:cNvSpPr/>
        </xdr:nvSpPr>
        <xdr:spPr>
          <a:xfrm>
            <a:off x="995364" y="5202457"/>
            <a:ext cx="95250" cy="82112"/>
          </a:xfrm>
          <a:prstGeom prst="triangle">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kern="1200"/>
          </a:p>
        </xdr:txBody>
      </xdr:sp>
      <xdr:cxnSp macro="">
        <xdr:nvCxnSpPr>
          <xdr:cNvPr id="164" name="Straight Connector 163">
            <a:extLst>
              <a:ext uri="{FF2B5EF4-FFF2-40B4-BE49-F238E27FC236}">
                <a16:creationId xmlns:a16="http://schemas.microsoft.com/office/drawing/2014/main" id="{313959A6-B8C5-4826-9250-851B561DF376}"/>
              </a:ext>
            </a:extLst>
          </xdr:cNvPr>
          <xdr:cNvCxnSpPr/>
        </xdr:nvCxnSpPr>
        <xdr:spPr>
          <a:xfrm>
            <a:off x="4914898" y="5303621"/>
            <a:ext cx="300038" cy="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165" name="Isosceles Triangle 164">
            <a:extLst>
              <a:ext uri="{FF2B5EF4-FFF2-40B4-BE49-F238E27FC236}">
                <a16:creationId xmlns:a16="http://schemas.microsoft.com/office/drawing/2014/main" id="{F805CAF1-49A7-4708-8CD5-055A21E0B436}"/>
              </a:ext>
            </a:extLst>
          </xdr:cNvPr>
          <xdr:cNvSpPr/>
        </xdr:nvSpPr>
        <xdr:spPr>
          <a:xfrm>
            <a:off x="5114928" y="5200650"/>
            <a:ext cx="95250" cy="82112"/>
          </a:xfrm>
          <a:prstGeom prst="triangle">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kern="1200"/>
          </a:p>
        </xdr:txBody>
      </xdr:sp>
      <xdr:cxnSp macro="">
        <xdr:nvCxnSpPr>
          <xdr:cNvPr id="345" name="Straight Connector 344">
            <a:extLst>
              <a:ext uri="{FF2B5EF4-FFF2-40B4-BE49-F238E27FC236}">
                <a16:creationId xmlns:a16="http://schemas.microsoft.com/office/drawing/2014/main" id="{C0037082-1A9A-E44B-36ED-34780D363173}"/>
              </a:ext>
            </a:extLst>
          </xdr:cNvPr>
          <xdr:cNvCxnSpPr/>
        </xdr:nvCxnSpPr>
        <xdr:spPr>
          <a:xfrm>
            <a:off x="5051425" y="4381500"/>
            <a:ext cx="0" cy="71755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347" name="Straight Connector 346">
            <a:extLst>
              <a:ext uri="{FF2B5EF4-FFF2-40B4-BE49-F238E27FC236}">
                <a16:creationId xmlns:a16="http://schemas.microsoft.com/office/drawing/2014/main" id="{1CFF0E20-51BB-42B8-9829-F848FBA80702}"/>
              </a:ext>
            </a:extLst>
          </xdr:cNvPr>
          <xdr:cNvCxnSpPr/>
        </xdr:nvCxnSpPr>
        <xdr:spPr>
          <a:xfrm>
            <a:off x="1108075" y="4384675"/>
            <a:ext cx="0" cy="71755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350" name="Straight Connector 349">
            <a:extLst>
              <a:ext uri="{FF2B5EF4-FFF2-40B4-BE49-F238E27FC236}">
                <a16:creationId xmlns:a16="http://schemas.microsoft.com/office/drawing/2014/main" id="{962CA876-28B5-459A-96F3-26C49BFA0B83}"/>
              </a:ext>
            </a:extLst>
          </xdr:cNvPr>
          <xdr:cNvCxnSpPr/>
        </xdr:nvCxnSpPr>
        <xdr:spPr>
          <a:xfrm>
            <a:off x="5048250" y="6524634"/>
            <a:ext cx="0" cy="71755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351" name="Straight Connector 350">
            <a:extLst>
              <a:ext uri="{FF2B5EF4-FFF2-40B4-BE49-F238E27FC236}">
                <a16:creationId xmlns:a16="http://schemas.microsoft.com/office/drawing/2014/main" id="{E9A975B3-6D2D-4981-B64E-40B30F87F4B5}"/>
              </a:ext>
            </a:extLst>
          </xdr:cNvPr>
          <xdr:cNvCxnSpPr/>
        </xdr:nvCxnSpPr>
        <xdr:spPr>
          <a:xfrm>
            <a:off x="1104900" y="6527809"/>
            <a:ext cx="0" cy="71755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354" name="Straight Connector 353">
            <a:extLst>
              <a:ext uri="{FF2B5EF4-FFF2-40B4-BE49-F238E27FC236}">
                <a16:creationId xmlns:a16="http://schemas.microsoft.com/office/drawing/2014/main" id="{F9FC7274-AAF1-4B7A-BF23-2CCB85DC4979}"/>
              </a:ext>
            </a:extLst>
          </xdr:cNvPr>
          <xdr:cNvCxnSpPr/>
        </xdr:nvCxnSpPr>
        <xdr:spPr>
          <a:xfrm>
            <a:off x="5048250" y="8667750"/>
            <a:ext cx="0" cy="71755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355" name="Straight Connector 354">
            <a:extLst>
              <a:ext uri="{FF2B5EF4-FFF2-40B4-BE49-F238E27FC236}">
                <a16:creationId xmlns:a16="http://schemas.microsoft.com/office/drawing/2014/main" id="{B9FDD797-43DE-4BCA-ABB2-4FB1AD3A7430}"/>
              </a:ext>
            </a:extLst>
          </xdr:cNvPr>
          <xdr:cNvCxnSpPr/>
        </xdr:nvCxnSpPr>
        <xdr:spPr>
          <a:xfrm>
            <a:off x="1104900" y="8670925"/>
            <a:ext cx="0" cy="71755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366" name="Freeform: Shape 365">
            <a:extLst>
              <a:ext uri="{FF2B5EF4-FFF2-40B4-BE49-F238E27FC236}">
                <a16:creationId xmlns:a16="http://schemas.microsoft.com/office/drawing/2014/main" id="{CE9A05AC-9DBC-0F8C-35A0-729120F72825}"/>
              </a:ext>
            </a:extLst>
          </xdr:cNvPr>
          <xdr:cNvSpPr/>
        </xdr:nvSpPr>
        <xdr:spPr>
          <a:xfrm>
            <a:off x="3084513" y="5840413"/>
            <a:ext cx="517525" cy="317500"/>
          </a:xfrm>
          <a:custGeom>
            <a:avLst/>
            <a:gdLst>
              <a:gd name="connsiteX0" fmla="*/ 0 w 517525"/>
              <a:gd name="connsiteY0" fmla="*/ 0 h 292100"/>
              <a:gd name="connsiteX1" fmla="*/ 53975 w 517525"/>
              <a:gd name="connsiteY1" fmla="*/ 0 h 292100"/>
              <a:gd name="connsiteX2" fmla="*/ 434975 w 517525"/>
              <a:gd name="connsiteY2" fmla="*/ 292100 h 292100"/>
              <a:gd name="connsiteX3" fmla="*/ 517525 w 517525"/>
              <a:gd name="connsiteY3" fmla="*/ 292100 h 292100"/>
            </a:gdLst>
            <a:ahLst/>
            <a:cxnLst>
              <a:cxn ang="0">
                <a:pos x="connsiteX0" y="connsiteY0"/>
              </a:cxn>
              <a:cxn ang="0">
                <a:pos x="connsiteX1" y="connsiteY1"/>
              </a:cxn>
              <a:cxn ang="0">
                <a:pos x="connsiteX2" y="connsiteY2"/>
              </a:cxn>
              <a:cxn ang="0">
                <a:pos x="connsiteX3" y="connsiteY3"/>
              </a:cxn>
            </a:cxnLst>
            <a:rect l="l" t="t" r="r" b="b"/>
            <a:pathLst>
              <a:path w="517525" h="292100">
                <a:moveTo>
                  <a:pt x="0" y="0"/>
                </a:moveTo>
                <a:lnTo>
                  <a:pt x="53975" y="0"/>
                </a:lnTo>
                <a:lnTo>
                  <a:pt x="434975" y="292100"/>
                </a:lnTo>
                <a:lnTo>
                  <a:pt x="517525" y="292100"/>
                </a:lnTo>
              </a:path>
            </a:pathLst>
          </a:custGeom>
          <a:no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kern="1200"/>
          </a:p>
        </xdr:txBody>
      </xdr:sp>
      <xdr:sp macro="" textlink="">
        <xdr:nvSpPr>
          <xdr:cNvPr id="367" name="Freeform: Shape 366">
            <a:extLst>
              <a:ext uri="{FF2B5EF4-FFF2-40B4-BE49-F238E27FC236}">
                <a16:creationId xmlns:a16="http://schemas.microsoft.com/office/drawing/2014/main" id="{83445228-58D8-3F89-0A98-C8FAB2B55AFF}"/>
              </a:ext>
            </a:extLst>
          </xdr:cNvPr>
          <xdr:cNvSpPr/>
        </xdr:nvSpPr>
        <xdr:spPr>
          <a:xfrm>
            <a:off x="3074988" y="6199188"/>
            <a:ext cx="523875" cy="298450"/>
          </a:xfrm>
          <a:custGeom>
            <a:avLst/>
            <a:gdLst>
              <a:gd name="connsiteX0" fmla="*/ 0 w 523875"/>
              <a:gd name="connsiteY0" fmla="*/ 298450 h 298450"/>
              <a:gd name="connsiteX1" fmla="*/ 73025 w 523875"/>
              <a:gd name="connsiteY1" fmla="*/ 298450 h 298450"/>
              <a:gd name="connsiteX2" fmla="*/ 447675 w 523875"/>
              <a:gd name="connsiteY2" fmla="*/ 0 h 298450"/>
              <a:gd name="connsiteX3" fmla="*/ 523875 w 523875"/>
              <a:gd name="connsiteY3" fmla="*/ 0 h 298450"/>
            </a:gdLst>
            <a:ahLst/>
            <a:cxnLst>
              <a:cxn ang="0">
                <a:pos x="connsiteX0" y="connsiteY0"/>
              </a:cxn>
              <a:cxn ang="0">
                <a:pos x="connsiteX1" y="connsiteY1"/>
              </a:cxn>
              <a:cxn ang="0">
                <a:pos x="connsiteX2" y="connsiteY2"/>
              </a:cxn>
              <a:cxn ang="0">
                <a:pos x="connsiteX3" y="connsiteY3"/>
              </a:cxn>
            </a:cxnLst>
            <a:rect l="l" t="t" r="r" b="b"/>
            <a:pathLst>
              <a:path w="523875" h="298450">
                <a:moveTo>
                  <a:pt x="0" y="298450"/>
                </a:moveTo>
                <a:lnTo>
                  <a:pt x="73025" y="298450"/>
                </a:lnTo>
                <a:lnTo>
                  <a:pt x="447675" y="0"/>
                </a:lnTo>
                <a:lnTo>
                  <a:pt x="523875" y="0"/>
                </a:lnTo>
              </a:path>
            </a:pathLst>
          </a:custGeom>
          <a:no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kern="1200"/>
          </a:p>
        </xdr:txBody>
      </xdr:sp>
      <xdr:cxnSp macro="">
        <xdr:nvCxnSpPr>
          <xdr:cNvPr id="369" name="Straight Connector 368">
            <a:extLst>
              <a:ext uri="{FF2B5EF4-FFF2-40B4-BE49-F238E27FC236}">
                <a16:creationId xmlns:a16="http://schemas.microsoft.com/office/drawing/2014/main" id="{B71862CC-FC67-B761-A885-0983E94C2038}"/>
              </a:ext>
            </a:extLst>
          </xdr:cNvPr>
          <xdr:cNvCxnSpPr/>
        </xdr:nvCxnSpPr>
        <xdr:spPr>
          <a:xfrm>
            <a:off x="3516313" y="6176963"/>
            <a:ext cx="5746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71" name="Straight Connector 370">
            <a:extLst>
              <a:ext uri="{FF2B5EF4-FFF2-40B4-BE49-F238E27FC236}">
                <a16:creationId xmlns:a16="http://schemas.microsoft.com/office/drawing/2014/main" id="{110C82E9-3866-4112-B641-C53A5BBE381B}"/>
              </a:ext>
            </a:extLst>
          </xdr:cNvPr>
          <xdr:cNvCxnSpPr/>
        </xdr:nvCxnSpPr>
        <xdr:spPr>
          <a:xfrm>
            <a:off x="4002088" y="6196013"/>
            <a:ext cx="5746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72" name="Straight Connector 371">
            <a:extLst>
              <a:ext uri="{FF2B5EF4-FFF2-40B4-BE49-F238E27FC236}">
                <a16:creationId xmlns:a16="http://schemas.microsoft.com/office/drawing/2014/main" id="{B5D8F026-0816-4A48-89B4-7048BCA8EE93}"/>
              </a:ext>
            </a:extLst>
          </xdr:cNvPr>
          <xdr:cNvCxnSpPr/>
        </xdr:nvCxnSpPr>
        <xdr:spPr>
          <a:xfrm>
            <a:off x="4487863" y="6173788"/>
            <a:ext cx="5746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48" name="Straight Connector 447">
            <a:extLst>
              <a:ext uri="{FF2B5EF4-FFF2-40B4-BE49-F238E27FC236}">
                <a16:creationId xmlns:a16="http://schemas.microsoft.com/office/drawing/2014/main" id="{13CB1872-8DEB-4F46-9E36-6EE2DB4EE890}"/>
              </a:ext>
            </a:extLst>
          </xdr:cNvPr>
          <xdr:cNvCxnSpPr/>
        </xdr:nvCxnSpPr>
        <xdr:spPr>
          <a:xfrm flipV="1">
            <a:off x="4767262" y="5795963"/>
            <a:ext cx="590551" cy="371474"/>
          </a:xfrm>
          <a:prstGeom prst="line">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51" name="Straight Connector 450">
            <a:extLst>
              <a:ext uri="{FF2B5EF4-FFF2-40B4-BE49-F238E27FC236}">
                <a16:creationId xmlns:a16="http://schemas.microsoft.com/office/drawing/2014/main" id="{D3A2DC4F-547D-F57B-39F7-1DACFE482302}"/>
              </a:ext>
            </a:extLst>
          </xdr:cNvPr>
          <xdr:cNvCxnSpPr/>
        </xdr:nvCxnSpPr>
        <xdr:spPr>
          <a:xfrm flipV="1">
            <a:off x="1133475" y="3729038"/>
            <a:ext cx="0" cy="6096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453" name="Straight Connector 452">
            <a:extLst>
              <a:ext uri="{FF2B5EF4-FFF2-40B4-BE49-F238E27FC236}">
                <a16:creationId xmlns:a16="http://schemas.microsoft.com/office/drawing/2014/main" id="{C43DBA3B-956D-78AC-2E9D-C262B968DF69}"/>
              </a:ext>
            </a:extLst>
          </xdr:cNvPr>
          <xdr:cNvCxnSpPr/>
        </xdr:nvCxnSpPr>
        <xdr:spPr>
          <a:xfrm>
            <a:off x="1071564" y="4095751"/>
            <a:ext cx="4005261"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454" name="Straight Connector 453">
            <a:extLst>
              <a:ext uri="{FF2B5EF4-FFF2-40B4-BE49-F238E27FC236}">
                <a16:creationId xmlns:a16="http://schemas.microsoft.com/office/drawing/2014/main" id="{16459499-56E0-4061-B70B-8EEDC4ADC5E9}"/>
              </a:ext>
            </a:extLst>
          </xdr:cNvPr>
          <xdr:cNvCxnSpPr/>
        </xdr:nvCxnSpPr>
        <xdr:spPr>
          <a:xfrm flipH="1">
            <a:off x="1100135" y="4062415"/>
            <a:ext cx="66675" cy="666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456" name="Straight Connector 455">
            <a:extLst>
              <a:ext uri="{FF2B5EF4-FFF2-40B4-BE49-F238E27FC236}">
                <a16:creationId xmlns:a16="http://schemas.microsoft.com/office/drawing/2014/main" id="{1B88EB41-724B-45CC-AF06-DE7983BBD4EF}"/>
              </a:ext>
            </a:extLst>
          </xdr:cNvPr>
          <xdr:cNvCxnSpPr/>
        </xdr:nvCxnSpPr>
        <xdr:spPr>
          <a:xfrm>
            <a:off x="1071562" y="3809998"/>
            <a:ext cx="4010026"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457" name="Straight Connector 456">
            <a:extLst>
              <a:ext uri="{FF2B5EF4-FFF2-40B4-BE49-F238E27FC236}">
                <a16:creationId xmlns:a16="http://schemas.microsoft.com/office/drawing/2014/main" id="{CBBD9E9A-6F36-47FA-B105-1863F615F66D}"/>
              </a:ext>
            </a:extLst>
          </xdr:cNvPr>
          <xdr:cNvCxnSpPr/>
        </xdr:nvCxnSpPr>
        <xdr:spPr>
          <a:xfrm flipH="1">
            <a:off x="1100133" y="3776662"/>
            <a:ext cx="66675" cy="666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458" name="Straight Connector 457">
            <a:extLst>
              <a:ext uri="{FF2B5EF4-FFF2-40B4-BE49-F238E27FC236}">
                <a16:creationId xmlns:a16="http://schemas.microsoft.com/office/drawing/2014/main" id="{637F891C-39FB-4D6D-BD9C-59FBE10CD7A6}"/>
              </a:ext>
            </a:extLst>
          </xdr:cNvPr>
          <xdr:cNvCxnSpPr/>
        </xdr:nvCxnSpPr>
        <xdr:spPr>
          <a:xfrm flipV="1">
            <a:off x="1619250" y="4033838"/>
            <a:ext cx="0" cy="3048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459" name="Straight Connector 458">
            <a:extLst>
              <a:ext uri="{FF2B5EF4-FFF2-40B4-BE49-F238E27FC236}">
                <a16:creationId xmlns:a16="http://schemas.microsoft.com/office/drawing/2014/main" id="{32654442-4003-409A-BCF4-BFD34BA7A7C8}"/>
              </a:ext>
            </a:extLst>
          </xdr:cNvPr>
          <xdr:cNvCxnSpPr/>
        </xdr:nvCxnSpPr>
        <xdr:spPr>
          <a:xfrm flipH="1">
            <a:off x="1585910" y="4062415"/>
            <a:ext cx="66675" cy="666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461" name="Straight Connector 460">
            <a:extLst>
              <a:ext uri="{FF2B5EF4-FFF2-40B4-BE49-F238E27FC236}">
                <a16:creationId xmlns:a16="http://schemas.microsoft.com/office/drawing/2014/main" id="{9A7237D7-74F7-4696-91B0-0615ED366AE1}"/>
              </a:ext>
            </a:extLst>
          </xdr:cNvPr>
          <xdr:cNvCxnSpPr/>
        </xdr:nvCxnSpPr>
        <xdr:spPr>
          <a:xfrm flipV="1">
            <a:off x="2105025" y="4029075"/>
            <a:ext cx="0" cy="30956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462" name="Straight Connector 461">
            <a:extLst>
              <a:ext uri="{FF2B5EF4-FFF2-40B4-BE49-F238E27FC236}">
                <a16:creationId xmlns:a16="http://schemas.microsoft.com/office/drawing/2014/main" id="{7B1FADC5-29EB-434B-9C20-77AB2091CCC5}"/>
              </a:ext>
            </a:extLst>
          </xdr:cNvPr>
          <xdr:cNvCxnSpPr/>
        </xdr:nvCxnSpPr>
        <xdr:spPr>
          <a:xfrm flipH="1">
            <a:off x="2071685" y="4062415"/>
            <a:ext cx="66675" cy="666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464" name="Straight Connector 463">
            <a:extLst>
              <a:ext uri="{FF2B5EF4-FFF2-40B4-BE49-F238E27FC236}">
                <a16:creationId xmlns:a16="http://schemas.microsoft.com/office/drawing/2014/main" id="{10459EB8-A916-44E3-8511-C23FB446E29C}"/>
              </a:ext>
            </a:extLst>
          </xdr:cNvPr>
          <xdr:cNvCxnSpPr/>
        </xdr:nvCxnSpPr>
        <xdr:spPr>
          <a:xfrm flipV="1">
            <a:off x="2590800" y="4024313"/>
            <a:ext cx="0" cy="3143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465" name="Straight Connector 464">
            <a:extLst>
              <a:ext uri="{FF2B5EF4-FFF2-40B4-BE49-F238E27FC236}">
                <a16:creationId xmlns:a16="http://schemas.microsoft.com/office/drawing/2014/main" id="{17EDE200-83B3-4341-8018-E8F6BC363CD8}"/>
              </a:ext>
            </a:extLst>
          </xdr:cNvPr>
          <xdr:cNvCxnSpPr/>
        </xdr:nvCxnSpPr>
        <xdr:spPr>
          <a:xfrm flipH="1">
            <a:off x="2557460" y="4062415"/>
            <a:ext cx="66675" cy="666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470" name="Straight Connector 469">
            <a:extLst>
              <a:ext uri="{FF2B5EF4-FFF2-40B4-BE49-F238E27FC236}">
                <a16:creationId xmlns:a16="http://schemas.microsoft.com/office/drawing/2014/main" id="{8063CD7B-1809-4B22-A994-1C8C05B5353B}"/>
              </a:ext>
            </a:extLst>
          </xdr:cNvPr>
          <xdr:cNvCxnSpPr/>
        </xdr:nvCxnSpPr>
        <xdr:spPr>
          <a:xfrm flipV="1">
            <a:off x="3076575" y="4024313"/>
            <a:ext cx="0" cy="3143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471" name="Straight Connector 470">
            <a:extLst>
              <a:ext uri="{FF2B5EF4-FFF2-40B4-BE49-F238E27FC236}">
                <a16:creationId xmlns:a16="http://schemas.microsoft.com/office/drawing/2014/main" id="{EE8F685B-6F95-41E1-ADDF-4B2DCDCB83D0}"/>
              </a:ext>
            </a:extLst>
          </xdr:cNvPr>
          <xdr:cNvCxnSpPr/>
        </xdr:nvCxnSpPr>
        <xdr:spPr>
          <a:xfrm flipH="1">
            <a:off x="3043235" y="4062415"/>
            <a:ext cx="66675" cy="666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472" name="Straight Connector 471">
            <a:extLst>
              <a:ext uri="{FF2B5EF4-FFF2-40B4-BE49-F238E27FC236}">
                <a16:creationId xmlns:a16="http://schemas.microsoft.com/office/drawing/2014/main" id="{C671FB62-B94C-4E8E-BAD4-1664C4CD2379}"/>
              </a:ext>
            </a:extLst>
          </xdr:cNvPr>
          <xdr:cNvCxnSpPr/>
        </xdr:nvCxnSpPr>
        <xdr:spPr>
          <a:xfrm flipV="1">
            <a:off x="3562350" y="4024313"/>
            <a:ext cx="0" cy="3143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473" name="Straight Connector 472">
            <a:extLst>
              <a:ext uri="{FF2B5EF4-FFF2-40B4-BE49-F238E27FC236}">
                <a16:creationId xmlns:a16="http://schemas.microsoft.com/office/drawing/2014/main" id="{A81D5AF3-F1C1-4132-9505-DD7F02C759A9}"/>
              </a:ext>
            </a:extLst>
          </xdr:cNvPr>
          <xdr:cNvCxnSpPr/>
        </xdr:nvCxnSpPr>
        <xdr:spPr>
          <a:xfrm flipH="1">
            <a:off x="3529010" y="4062415"/>
            <a:ext cx="66675" cy="666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474" name="Straight Connector 473">
            <a:extLst>
              <a:ext uri="{FF2B5EF4-FFF2-40B4-BE49-F238E27FC236}">
                <a16:creationId xmlns:a16="http://schemas.microsoft.com/office/drawing/2014/main" id="{3E460EAC-8232-48C7-A302-759800A96BED}"/>
              </a:ext>
            </a:extLst>
          </xdr:cNvPr>
          <xdr:cNvCxnSpPr/>
        </xdr:nvCxnSpPr>
        <xdr:spPr>
          <a:xfrm flipV="1">
            <a:off x="4048125" y="4024313"/>
            <a:ext cx="0" cy="3143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475" name="Straight Connector 474">
            <a:extLst>
              <a:ext uri="{FF2B5EF4-FFF2-40B4-BE49-F238E27FC236}">
                <a16:creationId xmlns:a16="http://schemas.microsoft.com/office/drawing/2014/main" id="{851C7804-0856-4431-9548-901064EA870D}"/>
              </a:ext>
            </a:extLst>
          </xdr:cNvPr>
          <xdr:cNvCxnSpPr/>
        </xdr:nvCxnSpPr>
        <xdr:spPr>
          <a:xfrm flipH="1">
            <a:off x="4014785" y="4062415"/>
            <a:ext cx="66675" cy="666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476" name="Straight Connector 475">
            <a:extLst>
              <a:ext uri="{FF2B5EF4-FFF2-40B4-BE49-F238E27FC236}">
                <a16:creationId xmlns:a16="http://schemas.microsoft.com/office/drawing/2014/main" id="{BCEF934F-2330-4F8E-A959-EBCD80E4169F}"/>
              </a:ext>
            </a:extLst>
          </xdr:cNvPr>
          <xdr:cNvCxnSpPr/>
        </xdr:nvCxnSpPr>
        <xdr:spPr>
          <a:xfrm flipV="1">
            <a:off x="4533900" y="4024313"/>
            <a:ext cx="0" cy="3143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477" name="Straight Connector 476">
            <a:extLst>
              <a:ext uri="{FF2B5EF4-FFF2-40B4-BE49-F238E27FC236}">
                <a16:creationId xmlns:a16="http://schemas.microsoft.com/office/drawing/2014/main" id="{C1B25093-FEF9-4860-BC68-A0AC4383E46F}"/>
              </a:ext>
            </a:extLst>
          </xdr:cNvPr>
          <xdr:cNvCxnSpPr/>
        </xdr:nvCxnSpPr>
        <xdr:spPr>
          <a:xfrm flipH="1">
            <a:off x="4500560" y="4062415"/>
            <a:ext cx="66675" cy="666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478" name="Straight Connector 477">
            <a:extLst>
              <a:ext uri="{FF2B5EF4-FFF2-40B4-BE49-F238E27FC236}">
                <a16:creationId xmlns:a16="http://schemas.microsoft.com/office/drawing/2014/main" id="{EB70EB27-A05F-4D49-8F7E-EAC54DBA1E45}"/>
              </a:ext>
            </a:extLst>
          </xdr:cNvPr>
          <xdr:cNvCxnSpPr/>
        </xdr:nvCxnSpPr>
        <xdr:spPr>
          <a:xfrm flipV="1">
            <a:off x="5019675" y="3748088"/>
            <a:ext cx="0" cy="59055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479" name="Straight Connector 478">
            <a:extLst>
              <a:ext uri="{FF2B5EF4-FFF2-40B4-BE49-F238E27FC236}">
                <a16:creationId xmlns:a16="http://schemas.microsoft.com/office/drawing/2014/main" id="{E7AA2CFC-94E1-46CF-B08C-EFAC9C7BEA9B}"/>
              </a:ext>
            </a:extLst>
          </xdr:cNvPr>
          <xdr:cNvCxnSpPr/>
        </xdr:nvCxnSpPr>
        <xdr:spPr>
          <a:xfrm flipH="1">
            <a:off x="4986335" y="4062415"/>
            <a:ext cx="66675" cy="666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483" name="Straight Connector 482">
            <a:extLst>
              <a:ext uri="{FF2B5EF4-FFF2-40B4-BE49-F238E27FC236}">
                <a16:creationId xmlns:a16="http://schemas.microsoft.com/office/drawing/2014/main" id="{4153FD16-6166-49E4-AED2-5776F00DA6E2}"/>
              </a:ext>
            </a:extLst>
          </xdr:cNvPr>
          <xdr:cNvCxnSpPr/>
        </xdr:nvCxnSpPr>
        <xdr:spPr>
          <a:xfrm flipH="1">
            <a:off x="4986335" y="3776665"/>
            <a:ext cx="66675" cy="666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495" name="Straight Connector 494">
            <a:extLst>
              <a:ext uri="{FF2B5EF4-FFF2-40B4-BE49-F238E27FC236}">
                <a16:creationId xmlns:a16="http://schemas.microsoft.com/office/drawing/2014/main" id="{484D5544-9F46-47E2-A507-A58E014D3C65}"/>
              </a:ext>
            </a:extLst>
          </xdr:cNvPr>
          <xdr:cNvCxnSpPr/>
        </xdr:nvCxnSpPr>
        <xdr:spPr>
          <a:xfrm>
            <a:off x="5053013" y="7019925"/>
            <a:ext cx="319087" cy="323850"/>
          </a:xfrm>
          <a:prstGeom prst="line">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97" name="Straight Connector 496">
            <a:extLst>
              <a:ext uri="{FF2B5EF4-FFF2-40B4-BE49-F238E27FC236}">
                <a16:creationId xmlns:a16="http://schemas.microsoft.com/office/drawing/2014/main" id="{2AF0A429-E8E8-4A6B-AEF6-D198C6603896}"/>
              </a:ext>
            </a:extLst>
          </xdr:cNvPr>
          <xdr:cNvCxnSpPr/>
        </xdr:nvCxnSpPr>
        <xdr:spPr>
          <a:xfrm flipV="1">
            <a:off x="4705350" y="6591309"/>
            <a:ext cx="638175" cy="161925"/>
          </a:xfrm>
          <a:prstGeom prst="line">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500" name="Straight Connector 499">
            <a:extLst>
              <a:ext uri="{FF2B5EF4-FFF2-40B4-BE49-F238E27FC236}">
                <a16:creationId xmlns:a16="http://schemas.microsoft.com/office/drawing/2014/main" id="{95B3A278-3DB0-4D57-83A4-B9B61C1ED745}"/>
              </a:ext>
            </a:extLst>
          </xdr:cNvPr>
          <xdr:cNvCxnSpPr/>
        </xdr:nvCxnSpPr>
        <xdr:spPr>
          <a:xfrm flipV="1">
            <a:off x="4724400" y="6591309"/>
            <a:ext cx="619125" cy="428625"/>
          </a:xfrm>
          <a:prstGeom prst="line">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 name="Straight Connector 2">
            <a:extLst>
              <a:ext uri="{FF2B5EF4-FFF2-40B4-BE49-F238E27FC236}">
                <a16:creationId xmlns:a16="http://schemas.microsoft.com/office/drawing/2014/main" id="{F83A6D3D-97B3-4548-858A-46112E1952F5}"/>
              </a:ext>
            </a:extLst>
          </xdr:cNvPr>
          <xdr:cNvCxnSpPr/>
        </xdr:nvCxnSpPr>
        <xdr:spPr>
          <a:xfrm flipV="1">
            <a:off x="4038600" y="5048250"/>
            <a:ext cx="1300163" cy="509589"/>
          </a:xfrm>
          <a:prstGeom prst="line">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49" name="Straight Connector 448">
            <a:extLst>
              <a:ext uri="{FF2B5EF4-FFF2-40B4-BE49-F238E27FC236}">
                <a16:creationId xmlns:a16="http://schemas.microsoft.com/office/drawing/2014/main" id="{511C96FA-56B6-43D0-993E-A19D4A59A50C}"/>
              </a:ext>
            </a:extLst>
          </xdr:cNvPr>
          <xdr:cNvCxnSpPr/>
        </xdr:nvCxnSpPr>
        <xdr:spPr>
          <a:xfrm flipV="1">
            <a:off x="4524375" y="5048250"/>
            <a:ext cx="819150" cy="585789"/>
          </a:xfrm>
          <a:prstGeom prst="line">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52" name="Straight Connector 451">
            <a:extLst>
              <a:ext uri="{FF2B5EF4-FFF2-40B4-BE49-F238E27FC236}">
                <a16:creationId xmlns:a16="http://schemas.microsoft.com/office/drawing/2014/main" id="{2E1FC363-06A7-43CB-8FC6-67F9C04A71A4}"/>
              </a:ext>
            </a:extLst>
          </xdr:cNvPr>
          <xdr:cNvCxnSpPr/>
        </xdr:nvCxnSpPr>
        <xdr:spPr>
          <a:xfrm flipV="1">
            <a:off x="4781550" y="3867150"/>
            <a:ext cx="581025" cy="114300"/>
          </a:xfrm>
          <a:prstGeom prst="line">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50" name="Straight Connector 449">
            <a:extLst>
              <a:ext uri="{FF2B5EF4-FFF2-40B4-BE49-F238E27FC236}">
                <a16:creationId xmlns:a16="http://schemas.microsoft.com/office/drawing/2014/main" id="{D7B38A50-70BC-4CA6-94EE-F814DFD33BDF}"/>
              </a:ext>
            </a:extLst>
          </xdr:cNvPr>
          <xdr:cNvCxnSpPr/>
        </xdr:nvCxnSpPr>
        <xdr:spPr>
          <a:xfrm>
            <a:off x="1138238" y="5100639"/>
            <a:ext cx="971550" cy="70961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55" name="Straight Connector 454">
            <a:extLst>
              <a:ext uri="{FF2B5EF4-FFF2-40B4-BE49-F238E27FC236}">
                <a16:creationId xmlns:a16="http://schemas.microsoft.com/office/drawing/2014/main" id="{3717D69A-6EA9-4DAF-9336-649E1ECDC613}"/>
              </a:ext>
            </a:extLst>
          </xdr:cNvPr>
          <xdr:cNvCxnSpPr/>
        </xdr:nvCxnSpPr>
        <xdr:spPr>
          <a:xfrm flipV="1">
            <a:off x="1133475" y="5095876"/>
            <a:ext cx="971550" cy="7143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60" name="Straight Connector 459">
            <a:extLst>
              <a:ext uri="{FF2B5EF4-FFF2-40B4-BE49-F238E27FC236}">
                <a16:creationId xmlns:a16="http://schemas.microsoft.com/office/drawing/2014/main" id="{BB0690BA-5AA0-4E7A-B9AD-B072D8F756F0}"/>
              </a:ext>
            </a:extLst>
          </xdr:cNvPr>
          <xdr:cNvCxnSpPr/>
        </xdr:nvCxnSpPr>
        <xdr:spPr>
          <a:xfrm>
            <a:off x="4048126" y="5100639"/>
            <a:ext cx="971550" cy="70961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63" name="Straight Connector 462">
            <a:extLst>
              <a:ext uri="{FF2B5EF4-FFF2-40B4-BE49-F238E27FC236}">
                <a16:creationId xmlns:a16="http://schemas.microsoft.com/office/drawing/2014/main" id="{CC843C65-7FED-4E1E-9664-26A172387FF2}"/>
              </a:ext>
            </a:extLst>
          </xdr:cNvPr>
          <xdr:cNvCxnSpPr/>
        </xdr:nvCxnSpPr>
        <xdr:spPr>
          <a:xfrm flipV="1">
            <a:off x="4043363" y="5095876"/>
            <a:ext cx="971550" cy="7143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67" name="Straight Connector 466">
            <a:extLst>
              <a:ext uri="{FF2B5EF4-FFF2-40B4-BE49-F238E27FC236}">
                <a16:creationId xmlns:a16="http://schemas.microsoft.com/office/drawing/2014/main" id="{E4124E23-93E3-40ED-8F7C-BFF0652B52C4}"/>
              </a:ext>
            </a:extLst>
          </xdr:cNvPr>
          <xdr:cNvCxnSpPr/>
        </xdr:nvCxnSpPr>
        <xdr:spPr>
          <a:xfrm>
            <a:off x="1138239" y="5815014"/>
            <a:ext cx="971550" cy="70961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69" name="Straight Connector 468">
            <a:extLst>
              <a:ext uri="{FF2B5EF4-FFF2-40B4-BE49-F238E27FC236}">
                <a16:creationId xmlns:a16="http://schemas.microsoft.com/office/drawing/2014/main" id="{DA0CEBE5-745D-46C6-8A5A-705076CB82AB}"/>
              </a:ext>
            </a:extLst>
          </xdr:cNvPr>
          <xdr:cNvCxnSpPr/>
        </xdr:nvCxnSpPr>
        <xdr:spPr>
          <a:xfrm flipV="1">
            <a:off x="1133476" y="5810251"/>
            <a:ext cx="971550" cy="7143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81" name="Straight Connector 480">
            <a:extLst>
              <a:ext uri="{FF2B5EF4-FFF2-40B4-BE49-F238E27FC236}">
                <a16:creationId xmlns:a16="http://schemas.microsoft.com/office/drawing/2014/main" id="{C37129DD-01F8-4E59-858E-1CA508F41C0E}"/>
              </a:ext>
            </a:extLst>
          </xdr:cNvPr>
          <xdr:cNvCxnSpPr/>
        </xdr:nvCxnSpPr>
        <xdr:spPr>
          <a:xfrm>
            <a:off x="4048127" y="5815014"/>
            <a:ext cx="971550" cy="70961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84" name="Straight Connector 483">
            <a:extLst>
              <a:ext uri="{FF2B5EF4-FFF2-40B4-BE49-F238E27FC236}">
                <a16:creationId xmlns:a16="http://schemas.microsoft.com/office/drawing/2014/main" id="{C547E308-01A1-4DDA-A2C0-09EFAFC0B55E}"/>
              </a:ext>
            </a:extLst>
          </xdr:cNvPr>
          <xdr:cNvCxnSpPr/>
        </xdr:nvCxnSpPr>
        <xdr:spPr>
          <a:xfrm flipV="1">
            <a:off x="4043364" y="5810251"/>
            <a:ext cx="971550" cy="7143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90" name="Straight Connector 489">
            <a:extLst>
              <a:ext uri="{FF2B5EF4-FFF2-40B4-BE49-F238E27FC236}">
                <a16:creationId xmlns:a16="http://schemas.microsoft.com/office/drawing/2014/main" id="{45EB9513-FF8B-400F-80C6-D601FC30D2D2}"/>
              </a:ext>
            </a:extLst>
          </xdr:cNvPr>
          <xdr:cNvCxnSpPr/>
        </xdr:nvCxnSpPr>
        <xdr:spPr>
          <a:xfrm>
            <a:off x="1133475" y="7243764"/>
            <a:ext cx="971550" cy="70961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93" name="Straight Connector 492">
            <a:extLst>
              <a:ext uri="{FF2B5EF4-FFF2-40B4-BE49-F238E27FC236}">
                <a16:creationId xmlns:a16="http://schemas.microsoft.com/office/drawing/2014/main" id="{47310ED9-AA12-4070-A784-5D6F8A93FB1F}"/>
              </a:ext>
            </a:extLst>
          </xdr:cNvPr>
          <xdr:cNvCxnSpPr/>
        </xdr:nvCxnSpPr>
        <xdr:spPr>
          <a:xfrm flipV="1">
            <a:off x="1128712" y="7239001"/>
            <a:ext cx="971550" cy="7143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01" name="Straight Connector 500">
            <a:extLst>
              <a:ext uri="{FF2B5EF4-FFF2-40B4-BE49-F238E27FC236}">
                <a16:creationId xmlns:a16="http://schemas.microsoft.com/office/drawing/2014/main" id="{795C97CE-0D9C-4166-93C9-02DFF21C5E0D}"/>
              </a:ext>
            </a:extLst>
          </xdr:cNvPr>
          <xdr:cNvCxnSpPr/>
        </xdr:nvCxnSpPr>
        <xdr:spPr>
          <a:xfrm>
            <a:off x="4043363" y="7243764"/>
            <a:ext cx="971550" cy="70961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10" name="Straight Connector 509">
            <a:extLst>
              <a:ext uri="{FF2B5EF4-FFF2-40B4-BE49-F238E27FC236}">
                <a16:creationId xmlns:a16="http://schemas.microsoft.com/office/drawing/2014/main" id="{20E4A981-F2DB-45C3-9E95-615BC13D09D3}"/>
              </a:ext>
            </a:extLst>
          </xdr:cNvPr>
          <xdr:cNvCxnSpPr/>
        </xdr:nvCxnSpPr>
        <xdr:spPr>
          <a:xfrm flipV="1">
            <a:off x="4038600" y="7239001"/>
            <a:ext cx="971550" cy="7143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9" name="Straight Connector 78">
            <a:extLst>
              <a:ext uri="{FF2B5EF4-FFF2-40B4-BE49-F238E27FC236}">
                <a16:creationId xmlns:a16="http://schemas.microsoft.com/office/drawing/2014/main" id="{FF2FF0AA-784B-4A37-9360-9C4BE03F7F1F}"/>
              </a:ext>
            </a:extLst>
          </xdr:cNvPr>
          <xdr:cNvCxnSpPr/>
        </xdr:nvCxnSpPr>
        <xdr:spPr>
          <a:xfrm>
            <a:off x="1138238" y="7958140"/>
            <a:ext cx="971550" cy="70961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0" name="Straight Connector 79">
            <a:extLst>
              <a:ext uri="{FF2B5EF4-FFF2-40B4-BE49-F238E27FC236}">
                <a16:creationId xmlns:a16="http://schemas.microsoft.com/office/drawing/2014/main" id="{1BB4F8F3-D0D1-49D7-9B3F-EA2D5EDF29F9}"/>
              </a:ext>
            </a:extLst>
          </xdr:cNvPr>
          <xdr:cNvCxnSpPr/>
        </xdr:nvCxnSpPr>
        <xdr:spPr>
          <a:xfrm flipV="1">
            <a:off x="1133475" y="7953377"/>
            <a:ext cx="971550" cy="7143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2" name="Straight Connector 81">
            <a:extLst>
              <a:ext uri="{FF2B5EF4-FFF2-40B4-BE49-F238E27FC236}">
                <a16:creationId xmlns:a16="http://schemas.microsoft.com/office/drawing/2014/main" id="{1F9E8D38-AE2D-4CF8-9807-A764DDC4EE17}"/>
              </a:ext>
            </a:extLst>
          </xdr:cNvPr>
          <xdr:cNvCxnSpPr/>
        </xdr:nvCxnSpPr>
        <xdr:spPr>
          <a:xfrm>
            <a:off x="4048126" y="7958140"/>
            <a:ext cx="971550" cy="70961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0" name="Straight Connector 99">
            <a:extLst>
              <a:ext uri="{FF2B5EF4-FFF2-40B4-BE49-F238E27FC236}">
                <a16:creationId xmlns:a16="http://schemas.microsoft.com/office/drawing/2014/main" id="{69F9C140-79DA-43FF-9D72-1762A83826FD}"/>
              </a:ext>
            </a:extLst>
          </xdr:cNvPr>
          <xdr:cNvCxnSpPr/>
        </xdr:nvCxnSpPr>
        <xdr:spPr>
          <a:xfrm flipV="1">
            <a:off x="4043363" y="7953377"/>
            <a:ext cx="971550" cy="7143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52</xdr:col>
      <xdr:colOff>95250</xdr:colOff>
      <xdr:row>448</xdr:row>
      <xdr:rowOff>79375</xdr:rowOff>
    </xdr:from>
    <xdr:to>
      <xdr:col>60</xdr:col>
      <xdr:colOff>63500</xdr:colOff>
      <xdr:row>460</xdr:row>
      <xdr:rowOff>63500</xdr:rowOff>
    </xdr:to>
    <xdr:grpSp>
      <xdr:nvGrpSpPr>
        <xdr:cNvPr id="794" name="Group 793">
          <a:extLst>
            <a:ext uri="{FF2B5EF4-FFF2-40B4-BE49-F238E27FC236}">
              <a16:creationId xmlns:a16="http://schemas.microsoft.com/office/drawing/2014/main" id="{0FF32F86-3301-9D74-DD2B-5A2D356A3CA5}"/>
            </a:ext>
          </a:extLst>
        </xdr:cNvPr>
        <xdr:cNvGrpSpPr/>
      </xdr:nvGrpSpPr>
      <xdr:grpSpPr>
        <a:xfrm>
          <a:off x="8515350" y="65382775"/>
          <a:ext cx="1263650" cy="1698625"/>
          <a:chOff x="8515350" y="27559000"/>
          <a:chExt cx="1263650" cy="1698625"/>
        </a:xfrm>
      </xdr:grpSpPr>
      <xdr:sp macro="" textlink="">
        <xdr:nvSpPr>
          <xdr:cNvPr id="226" name="Freeform: Shape 225">
            <a:extLst>
              <a:ext uri="{FF2B5EF4-FFF2-40B4-BE49-F238E27FC236}">
                <a16:creationId xmlns:a16="http://schemas.microsoft.com/office/drawing/2014/main" id="{51FDD682-B7E7-4405-AB31-A84A69823064}"/>
              </a:ext>
            </a:extLst>
          </xdr:cNvPr>
          <xdr:cNvSpPr/>
        </xdr:nvSpPr>
        <xdr:spPr>
          <a:xfrm>
            <a:off x="8905875" y="27908251"/>
            <a:ext cx="485775" cy="1289050"/>
          </a:xfrm>
          <a:custGeom>
            <a:avLst/>
            <a:gdLst>
              <a:gd name="connsiteX0" fmla="*/ 400050 w 485775"/>
              <a:gd name="connsiteY0" fmla="*/ 282575 h 1279525"/>
              <a:gd name="connsiteX1" fmla="*/ 482600 w 485775"/>
              <a:gd name="connsiteY1" fmla="*/ 282575 h 1279525"/>
              <a:gd name="connsiteX2" fmla="*/ 482600 w 485775"/>
              <a:gd name="connsiteY2" fmla="*/ 0 h 1279525"/>
              <a:gd name="connsiteX3" fmla="*/ 0 w 485775"/>
              <a:gd name="connsiteY3" fmla="*/ 0 h 1279525"/>
              <a:gd name="connsiteX4" fmla="*/ 0 w 485775"/>
              <a:gd name="connsiteY4" fmla="*/ 1279525 h 1279525"/>
              <a:gd name="connsiteX5" fmla="*/ 485775 w 485775"/>
              <a:gd name="connsiteY5" fmla="*/ 1279525 h 1279525"/>
              <a:gd name="connsiteX6" fmla="*/ 485775 w 485775"/>
              <a:gd name="connsiteY6" fmla="*/ 993775 h 1279525"/>
              <a:gd name="connsiteX7" fmla="*/ 400050 w 485775"/>
              <a:gd name="connsiteY7" fmla="*/ 993775 h 1279525"/>
              <a:gd name="connsiteX8" fmla="*/ 400050 w 485775"/>
              <a:gd name="connsiteY8" fmla="*/ 1184275 h 1279525"/>
              <a:gd name="connsiteX9" fmla="*/ 88900 w 485775"/>
              <a:gd name="connsiteY9" fmla="*/ 1184275 h 1279525"/>
              <a:gd name="connsiteX10" fmla="*/ 88900 w 485775"/>
              <a:gd name="connsiteY10" fmla="*/ 82550 h 1279525"/>
              <a:gd name="connsiteX11" fmla="*/ 396875 w 485775"/>
              <a:gd name="connsiteY11" fmla="*/ 82550 h 1279525"/>
              <a:gd name="connsiteX12" fmla="*/ 400050 w 485775"/>
              <a:gd name="connsiteY12" fmla="*/ 282575 h 12795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Lst>
            <a:rect l="l" t="t" r="r" b="b"/>
            <a:pathLst>
              <a:path w="485775" h="1279525">
                <a:moveTo>
                  <a:pt x="400050" y="282575"/>
                </a:moveTo>
                <a:lnTo>
                  <a:pt x="482600" y="282575"/>
                </a:lnTo>
                <a:lnTo>
                  <a:pt x="482600" y="0"/>
                </a:lnTo>
                <a:lnTo>
                  <a:pt x="0" y="0"/>
                </a:lnTo>
                <a:lnTo>
                  <a:pt x="0" y="1279525"/>
                </a:lnTo>
                <a:lnTo>
                  <a:pt x="485775" y="1279525"/>
                </a:lnTo>
                <a:lnTo>
                  <a:pt x="485775" y="993775"/>
                </a:lnTo>
                <a:lnTo>
                  <a:pt x="400050" y="993775"/>
                </a:lnTo>
                <a:lnTo>
                  <a:pt x="400050" y="1184275"/>
                </a:lnTo>
                <a:lnTo>
                  <a:pt x="88900" y="1184275"/>
                </a:lnTo>
                <a:lnTo>
                  <a:pt x="88900" y="82550"/>
                </a:lnTo>
                <a:lnTo>
                  <a:pt x="396875" y="82550"/>
                </a:lnTo>
                <a:cubicBezTo>
                  <a:pt x="397933" y="149225"/>
                  <a:pt x="398992" y="215900"/>
                  <a:pt x="400050" y="282575"/>
                </a:cubicBezTo>
                <a:close/>
              </a:path>
            </a:pathLst>
          </a:cu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kern="1200"/>
          </a:p>
        </xdr:txBody>
      </xdr:sp>
      <xdr:cxnSp macro="">
        <xdr:nvCxnSpPr>
          <xdr:cNvPr id="227" name="Straight Connector 226">
            <a:extLst>
              <a:ext uri="{FF2B5EF4-FFF2-40B4-BE49-F238E27FC236}">
                <a16:creationId xmlns:a16="http://schemas.microsoft.com/office/drawing/2014/main" id="{424EA328-0E52-46FC-AF0D-F3CA23276539}"/>
              </a:ext>
            </a:extLst>
          </xdr:cNvPr>
          <xdr:cNvCxnSpPr/>
        </xdr:nvCxnSpPr>
        <xdr:spPr>
          <a:xfrm flipH="1">
            <a:off x="8518525" y="27908250"/>
            <a:ext cx="3333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28" name="Straight Connector 227">
            <a:extLst>
              <a:ext uri="{FF2B5EF4-FFF2-40B4-BE49-F238E27FC236}">
                <a16:creationId xmlns:a16="http://schemas.microsoft.com/office/drawing/2014/main" id="{F78121CD-A78D-404B-AC70-ECFD035998AE}"/>
              </a:ext>
            </a:extLst>
          </xdr:cNvPr>
          <xdr:cNvCxnSpPr/>
        </xdr:nvCxnSpPr>
        <xdr:spPr>
          <a:xfrm>
            <a:off x="8582025" y="27854275"/>
            <a:ext cx="0" cy="140335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29" name="Straight Connector 228">
            <a:extLst>
              <a:ext uri="{FF2B5EF4-FFF2-40B4-BE49-F238E27FC236}">
                <a16:creationId xmlns:a16="http://schemas.microsoft.com/office/drawing/2014/main" id="{3930FCC1-68DD-4AB0-8285-D95A5D2F4F3E}"/>
              </a:ext>
            </a:extLst>
          </xdr:cNvPr>
          <xdr:cNvCxnSpPr/>
        </xdr:nvCxnSpPr>
        <xdr:spPr>
          <a:xfrm flipH="1">
            <a:off x="8553450" y="27879675"/>
            <a:ext cx="60325" cy="603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48" name="Straight Connector 247">
            <a:extLst>
              <a:ext uri="{FF2B5EF4-FFF2-40B4-BE49-F238E27FC236}">
                <a16:creationId xmlns:a16="http://schemas.microsoft.com/office/drawing/2014/main" id="{3DDBFD42-E4D2-4861-B721-2C42C9EE2C94}"/>
              </a:ext>
            </a:extLst>
          </xdr:cNvPr>
          <xdr:cNvCxnSpPr/>
        </xdr:nvCxnSpPr>
        <xdr:spPr>
          <a:xfrm flipH="1">
            <a:off x="8515350" y="29197300"/>
            <a:ext cx="3333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49" name="Straight Connector 248">
            <a:extLst>
              <a:ext uri="{FF2B5EF4-FFF2-40B4-BE49-F238E27FC236}">
                <a16:creationId xmlns:a16="http://schemas.microsoft.com/office/drawing/2014/main" id="{4981554B-580E-4693-A3E4-5D34D7FB1045}"/>
              </a:ext>
            </a:extLst>
          </xdr:cNvPr>
          <xdr:cNvCxnSpPr/>
        </xdr:nvCxnSpPr>
        <xdr:spPr>
          <a:xfrm flipH="1">
            <a:off x="8550275" y="29168725"/>
            <a:ext cx="60325" cy="603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52" name="Straight Connector 251">
            <a:extLst>
              <a:ext uri="{FF2B5EF4-FFF2-40B4-BE49-F238E27FC236}">
                <a16:creationId xmlns:a16="http://schemas.microsoft.com/office/drawing/2014/main" id="{18050B51-32E5-415D-AC4B-B642BB9F84A3}"/>
              </a:ext>
            </a:extLst>
          </xdr:cNvPr>
          <xdr:cNvCxnSpPr/>
        </xdr:nvCxnSpPr>
        <xdr:spPr>
          <a:xfrm flipV="1">
            <a:off x="8905875" y="27559000"/>
            <a:ext cx="0" cy="29845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53" name="Straight Connector 252">
            <a:extLst>
              <a:ext uri="{FF2B5EF4-FFF2-40B4-BE49-F238E27FC236}">
                <a16:creationId xmlns:a16="http://schemas.microsoft.com/office/drawing/2014/main" id="{01AAC5EC-5957-4A8D-AD90-35738A3D5948}"/>
              </a:ext>
            </a:extLst>
          </xdr:cNvPr>
          <xdr:cNvCxnSpPr/>
        </xdr:nvCxnSpPr>
        <xdr:spPr>
          <a:xfrm>
            <a:off x="8839200" y="27625675"/>
            <a:ext cx="603250"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88" name="Straight Connector 287">
            <a:extLst>
              <a:ext uri="{FF2B5EF4-FFF2-40B4-BE49-F238E27FC236}">
                <a16:creationId xmlns:a16="http://schemas.microsoft.com/office/drawing/2014/main" id="{66AFAC8A-B636-4152-B4C7-BD200879E9EC}"/>
              </a:ext>
            </a:extLst>
          </xdr:cNvPr>
          <xdr:cNvCxnSpPr/>
        </xdr:nvCxnSpPr>
        <xdr:spPr>
          <a:xfrm flipH="1">
            <a:off x="8874125" y="27597100"/>
            <a:ext cx="60325" cy="603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89" name="Straight Connector 288">
            <a:extLst>
              <a:ext uri="{FF2B5EF4-FFF2-40B4-BE49-F238E27FC236}">
                <a16:creationId xmlns:a16="http://schemas.microsoft.com/office/drawing/2014/main" id="{7D90B126-4C8C-4851-BB15-64B313955498}"/>
              </a:ext>
            </a:extLst>
          </xdr:cNvPr>
          <xdr:cNvCxnSpPr/>
        </xdr:nvCxnSpPr>
        <xdr:spPr>
          <a:xfrm flipV="1">
            <a:off x="9391650" y="27559000"/>
            <a:ext cx="0" cy="29845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90" name="Straight Connector 289">
            <a:extLst>
              <a:ext uri="{FF2B5EF4-FFF2-40B4-BE49-F238E27FC236}">
                <a16:creationId xmlns:a16="http://schemas.microsoft.com/office/drawing/2014/main" id="{8F26338A-354F-43F4-8947-294DF749C20A}"/>
              </a:ext>
            </a:extLst>
          </xdr:cNvPr>
          <xdr:cNvCxnSpPr/>
        </xdr:nvCxnSpPr>
        <xdr:spPr>
          <a:xfrm flipH="1">
            <a:off x="9359900" y="27597100"/>
            <a:ext cx="60325" cy="603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92" name="Straight Connector 291">
            <a:extLst>
              <a:ext uri="{FF2B5EF4-FFF2-40B4-BE49-F238E27FC236}">
                <a16:creationId xmlns:a16="http://schemas.microsoft.com/office/drawing/2014/main" id="{1F7F086E-60AE-4E7D-B203-C34E91D8357A}"/>
              </a:ext>
            </a:extLst>
          </xdr:cNvPr>
          <xdr:cNvCxnSpPr/>
        </xdr:nvCxnSpPr>
        <xdr:spPr>
          <a:xfrm flipH="1">
            <a:off x="9445625" y="27911425"/>
            <a:ext cx="3333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94" name="Straight Connector 293">
            <a:extLst>
              <a:ext uri="{FF2B5EF4-FFF2-40B4-BE49-F238E27FC236}">
                <a16:creationId xmlns:a16="http://schemas.microsoft.com/office/drawing/2014/main" id="{359E1589-6975-4356-9F7C-CAFA25DB82D9}"/>
              </a:ext>
            </a:extLst>
          </xdr:cNvPr>
          <xdr:cNvCxnSpPr/>
        </xdr:nvCxnSpPr>
        <xdr:spPr>
          <a:xfrm>
            <a:off x="9715500" y="27857450"/>
            <a:ext cx="0" cy="40005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96" name="Straight Connector 295">
            <a:extLst>
              <a:ext uri="{FF2B5EF4-FFF2-40B4-BE49-F238E27FC236}">
                <a16:creationId xmlns:a16="http://schemas.microsoft.com/office/drawing/2014/main" id="{954FDABB-6F3D-4645-953F-A574C7635E02}"/>
              </a:ext>
            </a:extLst>
          </xdr:cNvPr>
          <xdr:cNvCxnSpPr/>
        </xdr:nvCxnSpPr>
        <xdr:spPr>
          <a:xfrm flipH="1">
            <a:off x="9686925" y="27882850"/>
            <a:ext cx="60325" cy="603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97" name="Straight Connector 296">
            <a:extLst>
              <a:ext uri="{FF2B5EF4-FFF2-40B4-BE49-F238E27FC236}">
                <a16:creationId xmlns:a16="http://schemas.microsoft.com/office/drawing/2014/main" id="{45052FB0-5884-4868-9BFC-FD437327B87D}"/>
              </a:ext>
            </a:extLst>
          </xdr:cNvPr>
          <xdr:cNvCxnSpPr/>
        </xdr:nvCxnSpPr>
        <xdr:spPr>
          <a:xfrm flipH="1">
            <a:off x="9436100" y="28194000"/>
            <a:ext cx="3333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99" name="Straight Connector 298">
            <a:extLst>
              <a:ext uri="{FF2B5EF4-FFF2-40B4-BE49-F238E27FC236}">
                <a16:creationId xmlns:a16="http://schemas.microsoft.com/office/drawing/2014/main" id="{DE96691B-7865-4448-B4EB-1A4AC53C5908}"/>
              </a:ext>
            </a:extLst>
          </xdr:cNvPr>
          <xdr:cNvCxnSpPr/>
        </xdr:nvCxnSpPr>
        <xdr:spPr>
          <a:xfrm flipH="1">
            <a:off x="9683750" y="28165425"/>
            <a:ext cx="60325" cy="603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300" name="Straight Connector 299">
            <a:extLst>
              <a:ext uri="{FF2B5EF4-FFF2-40B4-BE49-F238E27FC236}">
                <a16:creationId xmlns:a16="http://schemas.microsoft.com/office/drawing/2014/main" id="{29C36A7F-73C2-4864-B0F1-19A349A85066}"/>
              </a:ext>
            </a:extLst>
          </xdr:cNvPr>
          <xdr:cNvCxnSpPr/>
        </xdr:nvCxnSpPr>
        <xdr:spPr>
          <a:xfrm flipH="1">
            <a:off x="8839200" y="28482925"/>
            <a:ext cx="203200"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301" name="Straight Connector 300">
            <a:extLst>
              <a:ext uri="{FF2B5EF4-FFF2-40B4-BE49-F238E27FC236}">
                <a16:creationId xmlns:a16="http://schemas.microsoft.com/office/drawing/2014/main" id="{990A1485-CE4E-4CB3-A1BD-ADC498945454}"/>
              </a:ext>
            </a:extLst>
          </xdr:cNvPr>
          <xdr:cNvCxnSpPr/>
        </xdr:nvCxnSpPr>
        <xdr:spPr>
          <a:xfrm flipH="1">
            <a:off x="8874125" y="28454350"/>
            <a:ext cx="60325" cy="603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304" name="Straight Connector 303">
            <a:extLst>
              <a:ext uri="{FF2B5EF4-FFF2-40B4-BE49-F238E27FC236}">
                <a16:creationId xmlns:a16="http://schemas.microsoft.com/office/drawing/2014/main" id="{4DC5CBD3-C303-464C-965E-F4E0F0933959}"/>
              </a:ext>
            </a:extLst>
          </xdr:cNvPr>
          <xdr:cNvCxnSpPr/>
        </xdr:nvCxnSpPr>
        <xdr:spPr>
          <a:xfrm flipH="1">
            <a:off x="8966200" y="28454350"/>
            <a:ext cx="60325" cy="60325"/>
          </a:xfrm>
          <a:prstGeom prst="line">
            <a:avLst/>
          </a:prstGeom>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xdr:col>
      <xdr:colOff>95250</xdr:colOff>
      <xdr:row>404</xdr:row>
      <xdr:rowOff>61913</xdr:rowOff>
    </xdr:from>
    <xdr:to>
      <xdr:col>33</xdr:col>
      <xdr:colOff>28575</xdr:colOff>
      <xdr:row>444</xdr:row>
      <xdr:rowOff>61915</xdr:rowOff>
    </xdr:to>
    <xdr:grpSp>
      <xdr:nvGrpSpPr>
        <xdr:cNvPr id="593" name="Group 592">
          <a:extLst>
            <a:ext uri="{FF2B5EF4-FFF2-40B4-BE49-F238E27FC236}">
              <a16:creationId xmlns:a16="http://schemas.microsoft.com/office/drawing/2014/main" id="{61B7DC3C-D9D4-435A-835C-81817E6C07AB}"/>
            </a:ext>
          </a:extLst>
        </xdr:cNvPr>
        <xdr:cNvGrpSpPr/>
      </xdr:nvGrpSpPr>
      <xdr:grpSpPr>
        <a:xfrm>
          <a:off x="419100" y="59078813"/>
          <a:ext cx="4953000" cy="5715002"/>
          <a:chOff x="419100" y="3729038"/>
          <a:chExt cx="4953000" cy="5715002"/>
        </a:xfrm>
      </xdr:grpSpPr>
      <xdr:sp macro="" textlink="">
        <xdr:nvSpPr>
          <xdr:cNvPr id="594" name="Rectangle 593">
            <a:extLst>
              <a:ext uri="{FF2B5EF4-FFF2-40B4-BE49-F238E27FC236}">
                <a16:creationId xmlns:a16="http://schemas.microsoft.com/office/drawing/2014/main" id="{93DCAF16-9894-437B-0828-6BDA41B549A4}"/>
              </a:ext>
            </a:extLst>
          </xdr:cNvPr>
          <xdr:cNvSpPr/>
        </xdr:nvSpPr>
        <xdr:spPr>
          <a:xfrm>
            <a:off x="1133475" y="4381499"/>
            <a:ext cx="3886200" cy="5000625"/>
          </a:xfrm>
          <a:prstGeom prst="rect">
            <a:avLst/>
          </a:prstGeom>
          <a:solidFill>
            <a:schemeClr val="bg1">
              <a:lumMod val="95000"/>
            </a:schemeClr>
          </a:solidFill>
          <a:ln w="63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kern="1200"/>
          </a:p>
        </xdr:txBody>
      </xdr:sp>
      <xdr:cxnSp macro="">
        <xdr:nvCxnSpPr>
          <xdr:cNvPr id="595" name="Straight Connector 594">
            <a:extLst>
              <a:ext uri="{FF2B5EF4-FFF2-40B4-BE49-F238E27FC236}">
                <a16:creationId xmlns:a16="http://schemas.microsoft.com/office/drawing/2014/main" id="{7B3B352D-9F2A-FB35-DD47-209017E0F30B}"/>
              </a:ext>
            </a:extLst>
          </xdr:cNvPr>
          <xdr:cNvCxnSpPr/>
        </xdr:nvCxnSpPr>
        <xdr:spPr>
          <a:xfrm>
            <a:off x="3038476" y="4381501"/>
            <a:ext cx="0" cy="500062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96" name="Straight Connector 595">
            <a:extLst>
              <a:ext uri="{FF2B5EF4-FFF2-40B4-BE49-F238E27FC236}">
                <a16:creationId xmlns:a16="http://schemas.microsoft.com/office/drawing/2014/main" id="{CD5C7C70-238B-ADA2-A252-D165CADFB764}"/>
              </a:ext>
            </a:extLst>
          </xdr:cNvPr>
          <xdr:cNvCxnSpPr/>
        </xdr:nvCxnSpPr>
        <xdr:spPr>
          <a:xfrm>
            <a:off x="3114675" y="4381500"/>
            <a:ext cx="0" cy="50006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97" name="Straight Connector 596">
            <a:extLst>
              <a:ext uri="{FF2B5EF4-FFF2-40B4-BE49-F238E27FC236}">
                <a16:creationId xmlns:a16="http://schemas.microsoft.com/office/drawing/2014/main" id="{B5615410-6163-2E7B-5993-7529532094C7}"/>
              </a:ext>
            </a:extLst>
          </xdr:cNvPr>
          <xdr:cNvCxnSpPr/>
        </xdr:nvCxnSpPr>
        <xdr:spPr>
          <a:xfrm>
            <a:off x="1619250" y="4381500"/>
            <a:ext cx="0" cy="500062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98" name="Straight Connector 597">
            <a:extLst>
              <a:ext uri="{FF2B5EF4-FFF2-40B4-BE49-F238E27FC236}">
                <a16:creationId xmlns:a16="http://schemas.microsoft.com/office/drawing/2014/main" id="{ECDFF20F-F2AB-7767-9BA9-B50BECEF54A6}"/>
              </a:ext>
            </a:extLst>
          </xdr:cNvPr>
          <xdr:cNvCxnSpPr/>
        </xdr:nvCxnSpPr>
        <xdr:spPr>
          <a:xfrm>
            <a:off x="2105025" y="4381500"/>
            <a:ext cx="0" cy="500062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99" name="Straight Connector 598">
            <a:extLst>
              <a:ext uri="{FF2B5EF4-FFF2-40B4-BE49-F238E27FC236}">
                <a16:creationId xmlns:a16="http://schemas.microsoft.com/office/drawing/2014/main" id="{8E74D525-D0FE-0D66-8728-1FAB581474D4}"/>
              </a:ext>
            </a:extLst>
          </xdr:cNvPr>
          <xdr:cNvCxnSpPr/>
        </xdr:nvCxnSpPr>
        <xdr:spPr>
          <a:xfrm>
            <a:off x="2590801" y="4386262"/>
            <a:ext cx="0" cy="500062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00" name="Straight Connector 599">
            <a:extLst>
              <a:ext uri="{FF2B5EF4-FFF2-40B4-BE49-F238E27FC236}">
                <a16:creationId xmlns:a16="http://schemas.microsoft.com/office/drawing/2014/main" id="{D8C4BE4A-3442-F537-26F4-1D7C8DB1FD7A}"/>
              </a:ext>
            </a:extLst>
          </xdr:cNvPr>
          <xdr:cNvCxnSpPr/>
        </xdr:nvCxnSpPr>
        <xdr:spPr>
          <a:xfrm>
            <a:off x="3562351" y="4381501"/>
            <a:ext cx="0" cy="500062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01" name="Straight Connector 600">
            <a:extLst>
              <a:ext uri="{FF2B5EF4-FFF2-40B4-BE49-F238E27FC236}">
                <a16:creationId xmlns:a16="http://schemas.microsoft.com/office/drawing/2014/main" id="{028F9878-ACE2-77AB-5354-FDB81ADBA7F7}"/>
              </a:ext>
            </a:extLst>
          </xdr:cNvPr>
          <xdr:cNvCxnSpPr/>
        </xdr:nvCxnSpPr>
        <xdr:spPr>
          <a:xfrm>
            <a:off x="4048126" y="4381501"/>
            <a:ext cx="0" cy="500062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02" name="Straight Connector 601">
            <a:extLst>
              <a:ext uri="{FF2B5EF4-FFF2-40B4-BE49-F238E27FC236}">
                <a16:creationId xmlns:a16="http://schemas.microsoft.com/office/drawing/2014/main" id="{B0199C1E-0DBB-FC11-B955-399C997319DA}"/>
              </a:ext>
            </a:extLst>
          </xdr:cNvPr>
          <xdr:cNvCxnSpPr/>
        </xdr:nvCxnSpPr>
        <xdr:spPr>
          <a:xfrm>
            <a:off x="4533902" y="4386263"/>
            <a:ext cx="0" cy="500062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03" name="Straight Connector 602">
            <a:extLst>
              <a:ext uri="{FF2B5EF4-FFF2-40B4-BE49-F238E27FC236}">
                <a16:creationId xmlns:a16="http://schemas.microsoft.com/office/drawing/2014/main" id="{540E40D0-3CE3-F1E6-7CEC-F24F9A060C2C}"/>
              </a:ext>
            </a:extLst>
          </xdr:cNvPr>
          <xdr:cNvCxnSpPr/>
        </xdr:nvCxnSpPr>
        <xdr:spPr>
          <a:xfrm>
            <a:off x="1133475" y="5095876"/>
            <a:ext cx="38862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04" name="Straight Connector 603">
            <a:extLst>
              <a:ext uri="{FF2B5EF4-FFF2-40B4-BE49-F238E27FC236}">
                <a16:creationId xmlns:a16="http://schemas.microsoft.com/office/drawing/2014/main" id="{47D1D645-1DFC-213F-0586-AD3F736C7262}"/>
              </a:ext>
            </a:extLst>
          </xdr:cNvPr>
          <xdr:cNvCxnSpPr/>
        </xdr:nvCxnSpPr>
        <xdr:spPr>
          <a:xfrm>
            <a:off x="1133475" y="5810251"/>
            <a:ext cx="38862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05" name="Straight Connector 604">
            <a:extLst>
              <a:ext uri="{FF2B5EF4-FFF2-40B4-BE49-F238E27FC236}">
                <a16:creationId xmlns:a16="http://schemas.microsoft.com/office/drawing/2014/main" id="{5EE74240-58EF-30B5-6948-2309DB702E4A}"/>
              </a:ext>
            </a:extLst>
          </xdr:cNvPr>
          <xdr:cNvCxnSpPr/>
        </xdr:nvCxnSpPr>
        <xdr:spPr>
          <a:xfrm>
            <a:off x="1133475" y="6524626"/>
            <a:ext cx="38862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06" name="Straight Connector 605">
            <a:extLst>
              <a:ext uri="{FF2B5EF4-FFF2-40B4-BE49-F238E27FC236}">
                <a16:creationId xmlns:a16="http://schemas.microsoft.com/office/drawing/2014/main" id="{32BE36DB-5B62-4155-F81D-796357D2FD58}"/>
              </a:ext>
            </a:extLst>
          </xdr:cNvPr>
          <xdr:cNvCxnSpPr/>
        </xdr:nvCxnSpPr>
        <xdr:spPr>
          <a:xfrm>
            <a:off x="1133474" y="7239000"/>
            <a:ext cx="38862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07" name="Straight Connector 606">
            <a:extLst>
              <a:ext uri="{FF2B5EF4-FFF2-40B4-BE49-F238E27FC236}">
                <a16:creationId xmlns:a16="http://schemas.microsoft.com/office/drawing/2014/main" id="{72CB4AF0-E080-CA06-F472-39D614879534}"/>
              </a:ext>
            </a:extLst>
          </xdr:cNvPr>
          <xdr:cNvCxnSpPr/>
        </xdr:nvCxnSpPr>
        <xdr:spPr>
          <a:xfrm>
            <a:off x="1133474" y="7953375"/>
            <a:ext cx="38862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08" name="Straight Connector 607">
            <a:extLst>
              <a:ext uri="{FF2B5EF4-FFF2-40B4-BE49-F238E27FC236}">
                <a16:creationId xmlns:a16="http://schemas.microsoft.com/office/drawing/2014/main" id="{F381F954-3B7A-D6D2-92F1-0798290B7360}"/>
              </a:ext>
            </a:extLst>
          </xdr:cNvPr>
          <xdr:cNvCxnSpPr/>
        </xdr:nvCxnSpPr>
        <xdr:spPr>
          <a:xfrm>
            <a:off x="1133474" y="8667750"/>
            <a:ext cx="38862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09" name="Straight Connector 608">
            <a:extLst>
              <a:ext uri="{FF2B5EF4-FFF2-40B4-BE49-F238E27FC236}">
                <a16:creationId xmlns:a16="http://schemas.microsoft.com/office/drawing/2014/main" id="{E8D012A6-7276-EBB1-14DC-3C4294732152}"/>
              </a:ext>
            </a:extLst>
          </xdr:cNvPr>
          <xdr:cNvCxnSpPr/>
        </xdr:nvCxnSpPr>
        <xdr:spPr>
          <a:xfrm>
            <a:off x="1138238" y="4386263"/>
            <a:ext cx="971550" cy="70961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10" name="Straight Connector 609">
            <a:extLst>
              <a:ext uri="{FF2B5EF4-FFF2-40B4-BE49-F238E27FC236}">
                <a16:creationId xmlns:a16="http://schemas.microsoft.com/office/drawing/2014/main" id="{78F80414-6B1F-631D-65FB-A9B43679542A}"/>
              </a:ext>
            </a:extLst>
          </xdr:cNvPr>
          <xdr:cNvCxnSpPr/>
        </xdr:nvCxnSpPr>
        <xdr:spPr>
          <a:xfrm flipV="1">
            <a:off x="1133475" y="4381500"/>
            <a:ext cx="971550" cy="7143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11" name="Straight Connector 610">
            <a:extLst>
              <a:ext uri="{FF2B5EF4-FFF2-40B4-BE49-F238E27FC236}">
                <a16:creationId xmlns:a16="http://schemas.microsoft.com/office/drawing/2014/main" id="{14DFE4BD-9A2B-22ED-3F84-9569CA515EE0}"/>
              </a:ext>
            </a:extLst>
          </xdr:cNvPr>
          <xdr:cNvCxnSpPr/>
        </xdr:nvCxnSpPr>
        <xdr:spPr>
          <a:xfrm>
            <a:off x="2109788" y="4386263"/>
            <a:ext cx="971550" cy="70961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12" name="Straight Connector 611">
            <a:extLst>
              <a:ext uri="{FF2B5EF4-FFF2-40B4-BE49-F238E27FC236}">
                <a16:creationId xmlns:a16="http://schemas.microsoft.com/office/drawing/2014/main" id="{6DA083C4-0A89-F9C1-0823-0476A2C0A2EF}"/>
              </a:ext>
            </a:extLst>
          </xdr:cNvPr>
          <xdr:cNvCxnSpPr/>
        </xdr:nvCxnSpPr>
        <xdr:spPr>
          <a:xfrm flipV="1">
            <a:off x="2105025" y="4381500"/>
            <a:ext cx="971550" cy="7143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13" name="Straight Connector 612">
            <a:extLst>
              <a:ext uri="{FF2B5EF4-FFF2-40B4-BE49-F238E27FC236}">
                <a16:creationId xmlns:a16="http://schemas.microsoft.com/office/drawing/2014/main" id="{70808444-AAE1-016A-7F00-C3C38AAAE82E}"/>
              </a:ext>
            </a:extLst>
          </xdr:cNvPr>
          <xdr:cNvCxnSpPr/>
        </xdr:nvCxnSpPr>
        <xdr:spPr>
          <a:xfrm>
            <a:off x="3081338" y="4386263"/>
            <a:ext cx="971550" cy="70961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14" name="Straight Connector 613">
            <a:extLst>
              <a:ext uri="{FF2B5EF4-FFF2-40B4-BE49-F238E27FC236}">
                <a16:creationId xmlns:a16="http://schemas.microsoft.com/office/drawing/2014/main" id="{E4E5A466-F989-3FC9-655B-76BAA36021B4}"/>
              </a:ext>
            </a:extLst>
          </xdr:cNvPr>
          <xdr:cNvCxnSpPr/>
        </xdr:nvCxnSpPr>
        <xdr:spPr>
          <a:xfrm flipV="1">
            <a:off x="3076575" y="4381500"/>
            <a:ext cx="971550" cy="7143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15" name="Straight Connector 614">
            <a:extLst>
              <a:ext uri="{FF2B5EF4-FFF2-40B4-BE49-F238E27FC236}">
                <a16:creationId xmlns:a16="http://schemas.microsoft.com/office/drawing/2014/main" id="{458E7919-DEB9-6807-3249-1BFCDC63F564}"/>
              </a:ext>
            </a:extLst>
          </xdr:cNvPr>
          <xdr:cNvCxnSpPr/>
        </xdr:nvCxnSpPr>
        <xdr:spPr>
          <a:xfrm>
            <a:off x="4052888" y="4386263"/>
            <a:ext cx="971550" cy="70961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16" name="Straight Connector 615">
            <a:extLst>
              <a:ext uri="{FF2B5EF4-FFF2-40B4-BE49-F238E27FC236}">
                <a16:creationId xmlns:a16="http://schemas.microsoft.com/office/drawing/2014/main" id="{D622E537-A79D-B2C8-46AC-1514C9C96BC4}"/>
              </a:ext>
            </a:extLst>
          </xdr:cNvPr>
          <xdr:cNvCxnSpPr/>
        </xdr:nvCxnSpPr>
        <xdr:spPr>
          <a:xfrm flipV="1">
            <a:off x="4048125" y="4381500"/>
            <a:ext cx="971550" cy="7143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17" name="Straight Connector 616">
            <a:extLst>
              <a:ext uri="{FF2B5EF4-FFF2-40B4-BE49-F238E27FC236}">
                <a16:creationId xmlns:a16="http://schemas.microsoft.com/office/drawing/2014/main" id="{0978A725-24C7-50E8-21D7-1531B471982C}"/>
              </a:ext>
            </a:extLst>
          </xdr:cNvPr>
          <xdr:cNvCxnSpPr/>
        </xdr:nvCxnSpPr>
        <xdr:spPr>
          <a:xfrm>
            <a:off x="1138238" y="6529397"/>
            <a:ext cx="971550" cy="70961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18" name="Straight Connector 617">
            <a:extLst>
              <a:ext uri="{FF2B5EF4-FFF2-40B4-BE49-F238E27FC236}">
                <a16:creationId xmlns:a16="http://schemas.microsoft.com/office/drawing/2014/main" id="{D89094B6-37D1-552D-0C94-24426369BBEB}"/>
              </a:ext>
            </a:extLst>
          </xdr:cNvPr>
          <xdr:cNvCxnSpPr/>
        </xdr:nvCxnSpPr>
        <xdr:spPr>
          <a:xfrm flipV="1">
            <a:off x="1133475" y="6524634"/>
            <a:ext cx="971550" cy="7143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19" name="Straight Connector 618">
            <a:extLst>
              <a:ext uri="{FF2B5EF4-FFF2-40B4-BE49-F238E27FC236}">
                <a16:creationId xmlns:a16="http://schemas.microsoft.com/office/drawing/2014/main" id="{D19885ED-89B6-7271-F65E-C5673D03B7D8}"/>
              </a:ext>
            </a:extLst>
          </xdr:cNvPr>
          <xdr:cNvCxnSpPr/>
        </xdr:nvCxnSpPr>
        <xdr:spPr>
          <a:xfrm>
            <a:off x="2109788" y="6529397"/>
            <a:ext cx="971550" cy="70961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20" name="Straight Connector 619">
            <a:extLst>
              <a:ext uri="{FF2B5EF4-FFF2-40B4-BE49-F238E27FC236}">
                <a16:creationId xmlns:a16="http://schemas.microsoft.com/office/drawing/2014/main" id="{83AAA70D-7B84-57BC-FC14-4C7A628B3E3E}"/>
              </a:ext>
            </a:extLst>
          </xdr:cNvPr>
          <xdr:cNvCxnSpPr/>
        </xdr:nvCxnSpPr>
        <xdr:spPr>
          <a:xfrm flipV="1">
            <a:off x="2105025" y="6524634"/>
            <a:ext cx="971550" cy="7143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21" name="Straight Connector 620">
            <a:extLst>
              <a:ext uri="{FF2B5EF4-FFF2-40B4-BE49-F238E27FC236}">
                <a16:creationId xmlns:a16="http://schemas.microsoft.com/office/drawing/2014/main" id="{0CCD0F49-8E9A-8AA4-5551-F337B82D6351}"/>
              </a:ext>
            </a:extLst>
          </xdr:cNvPr>
          <xdr:cNvCxnSpPr/>
        </xdr:nvCxnSpPr>
        <xdr:spPr>
          <a:xfrm>
            <a:off x="3081338" y="6529397"/>
            <a:ext cx="971550" cy="70961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22" name="Straight Connector 621">
            <a:extLst>
              <a:ext uri="{FF2B5EF4-FFF2-40B4-BE49-F238E27FC236}">
                <a16:creationId xmlns:a16="http://schemas.microsoft.com/office/drawing/2014/main" id="{ABB8B833-FF93-BD07-83FD-5CFED3D95D0A}"/>
              </a:ext>
            </a:extLst>
          </xdr:cNvPr>
          <xdr:cNvCxnSpPr/>
        </xdr:nvCxnSpPr>
        <xdr:spPr>
          <a:xfrm flipV="1">
            <a:off x="3076575" y="6524634"/>
            <a:ext cx="971550" cy="7143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23" name="Straight Connector 622">
            <a:extLst>
              <a:ext uri="{FF2B5EF4-FFF2-40B4-BE49-F238E27FC236}">
                <a16:creationId xmlns:a16="http://schemas.microsoft.com/office/drawing/2014/main" id="{3063876E-6DD3-19AB-612D-0B3B99CF404F}"/>
              </a:ext>
            </a:extLst>
          </xdr:cNvPr>
          <xdr:cNvCxnSpPr/>
        </xdr:nvCxnSpPr>
        <xdr:spPr>
          <a:xfrm>
            <a:off x="4052888" y="6529397"/>
            <a:ext cx="971550" cy="70961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24" name="Straight Connector 623">
            <a:extLst>
              <a:ext uri="{FF2B5EF4-FFF2-40B4-BE49-F238E27FC236}">
                <a16:creationId xmlns:a16="http://schemas.microsoft.com/office/drawing/2014/main" id="{8C399BDE-B322-ACE8-7E35-66286EC1F108}"/>
              </a:ext>
            </a:extLst>
          </xdr:cNvPr>
          <xdr:cNvCxnSpPr/>
        </xdr:nvCxnSpPr>
        <xdr:spPr>
          <a:xfrm flipV="1">
            <a:off x="4048125" y="6524634"/>
            <a:ext cx="971550" cy="7143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25" name="Straight Connector 624">
            <a:extLst>
              <a:ext uri="{FF2B5EF4-FFF2-40B4-BE49-F238E27FC236}">
                <a16:creationId xmlns:a16="http://schemas.microsoft.com/office/drawing/2014/main" id="{AA48BE2D-03C4-242E-8EEE-2D4A45DBD1C0}"/>
              </a:ext>
            </a:extLst>
          </xdr:cNvPr>
          <xdr:cNvCxnSpPr/>
        </xdr:nvCxnSpPr>
        <xdr:spPr>
          <a:xfrm>
            <a:off x="1133475" y="7239001"/>
            <a:ext cx="38862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26" name="Straight Connector 625">
            <a:extLst>
              <a:ext uri="{FF2B5EF4-FFF2-40B4-BE49-F238E27FC236}">
                <a16:creationId xmlns:a16="http://schemas.microsoft.com/office/drawing/2014/main" id="{C358C6DE-042A-DF9A-331F-4D8826CC8289}"/>
              </a:ext>
            </a:extLst>
          </xdr:cNvPr>
          <xdr:cNvCxnSpPr/>
        </xdr:nvCxnSpPr>
        <xdr:spPr>
          <a:xfrm>
            <a:off x="1133475" y="8667751"/>
            <a:ext cx="38862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27" name="Straight Connector 626">
            <a:extLst>
              <a:ext uri="{FF2B5EF4-FFF2-40B4-BE49-F238E27FC236}">
                <a16:creationId xmlns:a16="http://schemas.microsoft.com/office/drawing/2014/main" id="{4FD0D336-6A2C-EB23-84DF-49EC02666E8D}"/>
              </a:ext>
            </a:extLst>
          </xdr:cNvPr>
          <xdr:cNvCxnSpPr/>
        </xdr:nvCxnSpPr>
        <xdr:spPr>
          <a:xfrm>
            <a:off x="1138238" y="8672513"/>
            <a:ext cx="971550" cy="70961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28" name="Straight Connector 627">
            <a:extLst>
              <a:ext uri="{FF2B5EF4-FFF2-40B4-BE49-F238E27FC236}">
                <a16:creationId xmlns:a16="http://schemas.microsoft.com/office/drawing/2014/main" id="{11ABD354-035E-E332-EF4A-3B9F6C482713}"/>
              </a:ext>
            </a:extLst>
          </xdr:cNvPr>
          <xdr:cNvCxnSpPr/>
        </xdr:nvCxnSpPr>
        <xdr:spPr>
          <a:xfrm flipV="1">
            <a:off x="1133475" y="8667750"/>
            <a:ext cx="971550" cy="7143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29" name="Straight Connector 628">
            <a:extLst>
              <a:ext uri="{FF2B5EF4-FFF2-40B4-BE49-F238E27FC236}">
                <a16:creationId xmlns:a16="http://schemas.microsoft.com/office/drawing/2014/main" id="{850C6F08-7F9A-A32E-5C7E-ECDC3DCEDA14}"/>
              </a:ext>
            </a:extLst>
          </xdr:cNvPr>
          <xdr:cNvCxnSpPr/>
        </xdr:nvCxnSpPr>
        <xdr:spPr>
          <a:xfrm>
            <a:off x="2109788" y="8672513"/>
            <a:ext cx="971550" cy="70961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30" name="Straight Connector 629">
            <a:extLst>
              <a:ext uri="{FF2B5EF4-FFF2-40B4-BE49-F238E27FC236}">
                <a16:creationId xmlns:a16="http://schemas.microsoft.com/office/drawing/2014/main" id="{591C5DF4-038E-3906-6CE8-08F809287349}"/>
              </a:ext>
            </a:extLst>
          </xdr:cNvPr>
          <xdr:cNvCxnSpPr/>
        </xdr:nvCxnSpPr>
        <xdr:spPr>
          <a:xfrm flipV="1">
            <a:off x="2105025" y="8667750"/>
            <a:ext cx="971550" cy="7143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31" name="Straight Connector 630">
            <a:extLst>
              <a:ext uri="{FF2B5EF4-FFF2-40B4-BE49-F238E27FC236}">
                <a16:creationId xmlns:a16="http://schemas.microsoft.com/office/drawing/2014/main" id="{2342B76D-DA51-E178-257A-DB8047D1A5F6}"/>
              </a:ext>
            </a:extLst>
          </xdr:cNvPr>
          <xdr:cNvCxnSpPr/>
        </xdr:nvCxnSpPr>
        <xdr:spPr>
          <a:xfrm>
            <a:off x="3081338" y="8672513"/>
            <a:ext cx="971550" cy="70961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32" name="Straight Connector 631">
            <a:extLst>
              <a:ext uri="{FF2B5EF4-FFF2-40B4-BE49-F238E27FC236}">
                <a16:creationId xmlns:a16="http://schemas.microsoft.com/office/drawing/2014/main" id="{3A418443-BC9D-DAC9-8766-45838C0DA114}"/>
              </a:ext>
            </a:extLst>
          </xdr:cNvPr>
          <xdr:cNvCxnSpPr/>
        </xdr:nvCxnSpPr>
        <xdr:spPr>
          <a:xfrm flipV="1">
            <a:off x="3076575" y="8667750"/>
            <a:ext cx="971550" cy="7143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33" name="Straight Connector 632">
            <a:extLst>
              <a:ext uri="{FF2B5EF4-FFF2-40B4-BE49-F238E27FC236}">
                <a16:creationId xmlns:a16="http://schemas.microsoft.com/office/drawing/2014/main" id="{995F5CE8-BD24-7362-E036-593F17D6CD9A}"/>
              </a:ext>
            </a:extLst>
          </xdr:cNvPr>
          <xdr:cNvCxnSpPr/>
        </xdr:nvCxnSpPr>
        <xdr:spPr>
          <a:xfrm>
            <a:off x="4052888" y="8672513"/>
            <a:ext cx="971550" cy="70961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34" name="Straight Connector 633">
            <a:extLst>
              <a:ext uri="{FF2B5EF4-FFF2-40B4-BE49-F238E27FC236}">
                <a16:creationId xmlns:a16="http://schemas.microsoft.com/office/drawing/2014/main" id="{532B7B14-2B97-FCB5-CDD6-D2074146206A}"/>
              </a:ext>
            </a:extLst>
          </xdr:cNvPr>
          <xdr:cNvCxnSpPr/>
        </xdr:nvCxnSpPr>
        <xdr:spPr>
          <a:xfrm flipV="1">
            <a:off x="4048125" y="8667750"/>
            <a:ext cx="971550" cy="7143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35" name="Straight Connector 634">
            <a:extLst>
              <a:ext uri="{FF2B5EF4-FFF2-40B4-BE49-F238E27FC236}">
                <a16:creationId xmlns:a16="http://schemas.microsoft.com/office/drawing/2014/main" id="{490C6897-9A46-14FC-ACBB-2C72F3D4AD84}"/>
              </a:ext>
            </a:extLst>
          </xdr:cNvPr>
          <xdr:cNvCxnSpPr/>
        </xdr:nvCxnSpPr>
        <xdr:spPr>
          <a:xfrm>
            <a:off x="2386013" y="4262438"/>
            <a:ext cx="0" cy="404812"/>
          </a:xfrm>
          <a:prstGeom prst="line">
            <a:avLst/>
          </a:prstGeom>
          <a:ln w="9525">
            <a:solidFill>
              <a:schemeClr val="accent6">
                <a:lumMod val="75000"/>
              </a:schemeClr>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636" name="Straight Connector 635">
            <a:extLst>
              <a:ext uri="{FF2B5EF4-FFF2-40B4-BE49-F238E27FC236}">
                <a16:creationId xmlns:a16="http://schemas.microsoft.com/office/drawing/2014/main" id="{36935035-CF09-5EE9-4ED1-482AD9339A1F}"/>
              </a:ext>
            </a:extLst>
          </xdr:cNvPr>
          <xdr:cNvCxnSpPr/>
        </xdr:nvCxnSpPr>
        <xdr:spPr>
          <a:xfrm>
            <a:off x="2409826" y="4262438"/>
            <a:ext cx="0" cy="404812"/>
          </a:xfrm>
          <a:prstGeom prst="line">
            <a:avLst/>
          </a:prstGeom>
          <a:ln w="9525">
            <a:solidFill>
              <a:schemeClr val="accent6">
                <a:lumMod val="75000"/>
              </a:schemeClr>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637" name="Straight Connector 636">
            <a:extLst>
              <a:ext uri="{FF2B5EF4-FFF2-40B4-BE49-F238E27FC236}">
                <a16:creationId xmlns:a16="http://schemas.microsoft.com/office/drawing/2014/main" id="{AC7A0AD6-5978-FBCA-5CD7-DEFE3D37D647}"/>
              </a:ext>
            </a:extLst>
          </xdr:cNvPr>
          <xdr:cNvCxnSpPr/>
        </xdr:nvCxnSpPr>
        <xdr:spPr>
          <a:xfrm>
            <a:off x="3752847" y="4267203"/>
            <a:ext cx="0" cy="404812"/>
          </a:xfrm>
          <a:prstGeom prst="line">
            <a:avLst/>
          </a:prstGeom>
          <a:ln w="9525">
            <a:solidFill>
              <a:schemeClr val="accent6">
                <a:lumMod val="75000"/>
              </a:schemeClr>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638" name="Straight Connector 637">
            <a:extLst>
              <a:ext uri="{FF2B5EF4-FFF2-40B4-BE49-F238E27FC236}">
                <a16:creationId xmlns:a16="http://schemas.microsoft.com/office/drawing/2014/main" id="{D0D7D937-8C36-F5A7-953A-8C73658AEAC4}"/>
              </a:ext>
            </a:extLst>
          </xdr:cNvPr>
          <xdr:cNvCxnSpPr/>
        </xdr:nvCxnSpPr>
        <xdr:spPr>
          <a:xfrm>
            <a:off x="3776660" y="4267203"/>
            <a:ext cx="0" cy="404812"/>
          </a:xfrm>
          <a:prstGeom prst="line">
            <a:avLst/>
          </a:prstGeom>
          <a:ln w="9525">
            <a:solidFill>
              <a:schemeClr val="accent6">
                <a:lumMod val="75000"/>
              </a:schemeClr>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639" name="Straight Connector 638">
            <a:extLst>
              <a:ext uri="{FF2B5EF4-FFF2-40B4-BE49-F238E27FC236}">
                <a16:creationId xmlns:a16="http://schemas.microsoft.com/office/drawing/2014/main" id="{E04E8461-FFC9-84A1-6352-FA6F768F0F79}"/>
              </a:ext>
            </a:extLst>
          </xdr:cNvPr>
          <xdr:cNvCxnSpPr/>
        </xdr:nvCxnSpPr>
        <xdr:spPr>
          <a:xfrm flipH="1">
            <a:off x="419100" y="4381501"/>
            <a:ext cx="622300"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640" name="Straight Connector 639">
            <a:extLst>
              <a:ext uri="{FF2B5EF4-FFF2-40B4-BE49-F238E27FC236}">
                <a16:creationId xmlns:a16="http://schemas.microsoft.com/office/drawing/2014/main" id="{7FB03FD9-B62E-BC8A-47BC-0AE59767DEF5}"/>
              </a:ext>
            </a:extLst>
          </xdr:cNvPr>
          <xdr:cNvCxnSpPr/>
        </xdr:nvCxnSpPr>
        <xdr:spPr>
          <a:xfrm>
            <a:off x="809626" y="4314823"/>
            <a:ext cx="0" cy="512921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641" name="Straight Connector 640">
            <a:extLst>
              <a:ext uri="{FF2B5EF4-FFF2-40B4-BE49-F238E27FC236}">
                <a16:creationId xmlns:a16="http://schemas.microsoft.com/office/drawing/2014/main" id="{00DFD7C7-48D8-8AB6-D4F4-F780B395A4B2}"/>
              </a:ext>
            </a:extLst>
          </xdr:cNvPr>
          <xdr:cNvCxnSpPr/>
        </xdr:nvCxnSpPr>
        <xdr:spPr>
          <a:xfrm flipH="1">
            <a:off x="776287" y="4348163"/>
            <a:ext cx="66675" cy="666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642" name="Straight Connector 641">
            <a:extLst>
              <a:ext uri="{FF2B5EF4-FFF2-40B4-BE49-F238E27FC236}">
                <a16:creationId xmlns:a16="http://schemas.microsoft.com/office/drawing/2014/main" id="{7FDF950F-A0EE-5BB5-07B3-50FC9E45E527}"/>
              </a:ext>
            </a:extLst>
          </xdr:cNvPr>
          <xdr:cNvCxnSpPr/>
        </xdr:nvCxnSpPr>
        <xdr:spPr>
          <a:xfrm flipH="1">
            <a:off x="752475" y="5095879"/>
            <a:ext cx="26352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643" name="Straight Connector 642">
            <a:extLst>
              <a:ext uri="{FF2B5EF4-FFF2-40B4-BE49-F238E27FC236}">
                <a16:creationId xmlns:a16="http://schemas.microsoft.com/office/drawing/2014/main" id="{89318992-D98B-A8CD-4BB9-1C91BE096ED4}"/>
              </a:ext>
            </a:extLst>
          </xdr:cNvPr>
          <xdr:cNvCxnSpPr/>
        </xdr:nvCxnSpPr>
        <xdr:spPr>
          <a:xfrm flipH="1">
            <a:off x="776283" y="5062541"/>
            <a:ext cx="66675" cy="666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644" name="Straight Connector 643">
            <a:extLst>
              <a:ext uri="{FF2B5EF4-FFF2-40B4-BE49-F238E27FC236}">
                <a16:creationId xmlns:a16="http://schemas.microsoft.com/office/drawing/2014/main" id="{4C742D6C-C9B5-2891-1693-58589F4A56CD}"/>
              </a:ext>
            </a:extLst>
          </xdr:cNvPr>
          <xdr:cNvCxnSpPr/>
        </xdr:nvCxnSpPr>
        <xdr:spPr>
          <a:xfrm flipH="1">
            <a:off x="752475" y="5810254"/>
            <a:ext cx="2825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645" name="Straight Connector 644">
            <a:extLst>
              <a:ext uri="{FF2B5EF4-FFF2-40B4-BE49-F238E27FC236}">
                <a16:creationId xmlns:a16="http://schemas.microsoft.com/office/drawing/2014/main" id="{0476775B-50EE-244C-DB75-DA63C157986D}"/>
              </a:ext>
            </a:extLst>
          </xdr:cNvPr>
          <xdr:cNvCxnSpPr/>
        </xdr:nvCxnSpPr>
        <xdr:spPr>
          <a:xfrm flipH="1">
            <a:off x="776283" y="5776916"/>
            <a:ext cx="66675" cy="666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646" name="Straight Connector 645">
            <a:extLst>
              <a:ext uri="{FF2B5EF4-FFF2-40B4-BE49-F238E27FC236}">
                <a16:creationId xmlns:a16="http://schemas.microsoft.com/office/drawing/2014/main" id="{8B3C9896-A8AF-DB25-4427-1B69D2A5A619}"/>
              </a:ext>
            </a:extLst>
          </xdr:cNvPr>
          <xdr:cNvCxnSpPr/>
        </xdr:nvCxnSpPr>
        <xdr:spPr>
          <a:xfrm flipH="1">
            <a:off x="752475" y="6524629"/>
            <a:ext cx="273050"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647" name="Straight Connector 646">
            <a:extLst>
              <a:ext uri="{FF2B5EF4-FFF2-40B4-BE49-F238E27FC236}">
                <a16:creationId xmlns:a16="http://schemas.microsoft.com/office/drawing/2014/main" id="{18E32A2F-7F04-4726-00CF-9E078A3B2BD7}"/>
              </a:ext>
            </a:extLst>
          </xdr:cNvPr>
          <xdr:cNvCxnSpPr/>
        </xdr:nvCxnSpPr>
        <xdr:spPr>
          <a:xfrm flipH="1">
            <a:off x="776283" y="6491291"/>
            <a:ext cx="66675" cy="666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648" name="Straight Connector 647">
            <a:extLst>
              <a:ext uri="{FF2B5EF4-FFF2-40B4-BE49-F238E27FC236}">
                <a16:creationId xmlns:a16="http://schemas.microsoft.com/office/drawing/2014/main" id="{4B5DFA2C-7B2D-7A76-969D-B66B9BE06FD1}"/>
              </a:ext>
            </a:extLst>
          </xdr:cNvPr>
          <xdr:cNvCxnSpPr/>
        </xdr:nvCxnSpPr>
        <xdr:spPr>
          <a:xfrm flipH="1">
            <a:off x="752475" y="7239004"/>
            <a:ext cx="2698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649" name="Straight Connector 648">
            <a:extLst>
              <a:ext uri="{FF2B5EF4-FFF2-40B4-BE49-F238E27FC236}">
                <a16:creationId xmlns:a16="http://schemas.microsoft.com/office/drawing/2014/main" id="{A3F5B16A-E827-768B-21EB-6034B0006644}"/>
              </a:ext>
            </a:extLst>
          </xdr:cNvPr>
          <xdr:cNvCxnSpPr/>
        </xdr:nvCxnSpPr>
        <xdr:spPr>
          <a:xfrm flipH="1">
            <a:off x="776283" y="7205666"/>
            <a:ext cx="66675" cy="666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650" name="Straight Connector 649">
            <a:extLst>
              <a:ext uri="{FF2B5EF4-FFF2-40B4-BE49-F238E27FC236}">
                <a16:creationId xmlns:a16="http://schemas.microsoft.com/office/drawing/2014/main" id="{C657BBF8-C174-8959-9018-EA793AA82CE4}"/>
              </a:ext>
            </a:extLst>
          </xdr:cNvPr>
          <xdr:cNvCxnSpPr/>
        </xdr:nvCxnSpPr>
        <xdr:spPr>
          <a:xfrm flipH="1">
            <a:off x="752475" y="7953379"/>
            <a:ext cx="2698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651" name="Straight Connector 650">
            <a:extLst>
              <a:ext uri="{FF2B5EF4-FFF2-40B4-BE49-F238E27FC236}">
                <a16:creationId xmlns:a16="http://schemas.microsoft.com/office/drawing/2014/main" id="{83B721FD-2899-470A-92B4-7EF3F77DD255}"/>
              </a:ext>
            </a:extLst>
          </xdr:cNvPr>
          <xdr:cNvCxnSpPr/>
        </xdr:nvCxnSpPr>
        <xdr:spPr>
          <a:xfrm flipH="1">
            <a:off x="776283" y="7920041"/>
            <a:ext cx="66675" cy="666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652" name="Straight Connector 651">
            <a:extLst>
              <a:ext uri="{FF2B5EF4-FFF2-40B4-BE49-F238E27FC236}">
                <a16:creationId xmlns:a16="http://schemas.microsoft.com/office/drawing/2014/main" id="{69AB0FBF-D792-A1A0-F9DB-248139006501}"/>
              </a:ext>
            </a:extLst>
          </xdr:cNvPr>
          <xdr:cNvCxnSpPr/>
        </xdr:nvCxnSpPr>
        <xdr:spPr>
          <a:xfrm flipH="1">
            <a:off x="752475" y="8667754"/>
            <a:ext cx="28892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653" name="Straight Connector 652">
            <a:extLst>
              <a:ext uri="{FF2B5EF4-FFF2-40B4-BE49-F238E27FC236}">
                <a16:creationId xmlns:a16="http://schemas.microsoft.com/office/drawing/2014/main" id="{6E4D4C45-847C-280E-3451-20A588775034}"/>
              </a:ext>
            </a:extLst>
          </xdr:cNvPr>
          <xdr:cNvCxnSpPr/>
        </xdr:nvCxnSpPr>
        <xdr:spPr>
          <a:xfrm flipH="1">
            <a:off x="776283" y="8634416"/>
            <a:ext cx="66675" cy="666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654" name="Straight Connector 653">
            <a:extLst>
              <a:ext uri="{FF2B5EF4-FFF2-40B4-BE49-F238E27FC236}">
                <a16:creationId xmlns:a16="http://schemas.microsoft.com/office/drawing/2014/main" id="{92CD356F-3D68-72AB-0BC9-6AC93F7B0382}"/>
              </a:ext>
            </a:extLst>
          </xdr:cNvPr>
          <xdr:cNvCxnSpPr/>
        </xdr:nvCxnSpPr>
        <xdr:spPr>
          <a:xfrm>
            <a:off x="485776" y="4314825"/>
            <a:ext cx="0" cy="512921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655" name="Straight Connector 654">
            <a:extLst>
              <a:ext uri="{FF2B5EF4-FFF2-40B4-BE49-F238E27FC236}">
                <a16:creationId xmlns:a16="http://schemas.microsoft.com/office/drawing/2014/main" id="{80805433-024F-94E8-3AB2-3570C0C2CF27}"/>
              </a:ext>
            </a:extLst>
          </xdr:cNvPr>
          <xdr:cNvCxnSpPr/>
        </xdr:nvCxnSpPr>
        <xdr:spPr>
          <a:xfrm flipH="1">
            <a:off x="452437" y="4348165"/>
            <a:ext cx="66675" cy="666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656" name="Straight Connector 655">
            <a:extLst>
              <a:ext uri="{FF2B5EF4-FFF2-40B4-BE49-F238E27FC236}">
                <a16:creationId xmlns:a16="http://schemas.microsoft.com/office/drawing/2014/main" id="{A2A9FD88-C672-00A8-88E3-2FF2A8DE660F}"/>
              </a:ext>
            </a:extLst>
          </xdr:cNvPr>
          <xdr:cNvCxnSpPr/>
        </xdr:nvCxnSpPr>
        <xdr:spPr>
          <a:xfrm flipH="1">
            <a:off x="419100" y="9382126"/>
            <a:ext cx="59372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657" name="Straight Connector 656">
            <a:extLst>
              <a:ext uri="{FF2B5EF4-FFF2-40B4-BE49-F238E27FC236}">
                <a16:creationId xmlns:a16="http://schemas.microsoft.com/office/drawing/2014/main" id="{D428CB30-98AB-8E19-9FD0-AF8C41EBE611}"/>
              </a:ext>
            </a:extLst>
          </xdr:cNvPr>
          <xdr:cNvCxnSpPr/>
        </xdr:nvCxnSpPr>
        <xdr:spPr>
          <a:xfrm flipH="1">
            <a:off x="776287" y="9348788"/>
            <a:ext cx="66675" cy="666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658" name="Straight Connector 657">
            <a:extLst>
              <a:ext uri="{FF2B5EF4-FFF2-40B4-BE49-F238E27FC236}">
                <a16:creationId xmlns:a16="http://schemas.microsoft.com/office/drawing/2014/main" id="{6049CFD2-6009-61BC-91D2-73370C8F0F66}"/>
              </a:ext>
            </a:extLst>
          </xdr:cNvPr>
          <xdr:cNvCxnSpPr/>
        </xdr:nvCxnSpPr>
        <xdr:spPr>
          <a:xfrm flipH="1">
            <a:off x="452437" y="9348790"/>
            <a:ext cx="66675" cy="666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659" name="Straight Connector 658">
            <a:extLst>
              <a:ext uri="{FF2B5EF4-FFF2-40B4-BE49-F238E27FC236}">
                <a16:creationId xmlns:a16="http://schemas.microsoft.com/office/drawing/2014/main" id="{2EFE3F3E-D235-6D92-3414-C20EC637A2AD}"/>
              </a:ext>
            </a:extLst>
          </xdr:cNvPr>
          <xdr:cNvCxnSpPr/>
        </xdr:nvCxnSpPr>
        <xdr:spPr>
          <a:xfrm>
            <a:off x="1019177" y="5429248"/>
            <a:ext cx="314322" cy="0"/>
          </a:xfrm>
          <a:prstGeom prst="line">
            <a:avLst/>
          </a:prstGeom>
          <a:ln w="9525">
            <a:solidFill>
              <a:schemeClr val="accent6">
                <a:lumMod val="75000"/>
              </a:schemeClr>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660" name="Straight Connector 659">
            <a:extLst>
              <a:ext uri="{FF2B5EF4-FFF2-40B4-BE49-F238E27FC236}">
                <a16:creationId xmlns:a16="http://schemas.microsoft.com/office/drawing/2014/main" id="{1616DE16-2D1E-9F1C-0F4F-C59BE7D69C4F}"/>
              </a:ext>
            </a:extLst>
          </xdr:cNvPr>
          <xdr:cNvCxnSpPr/>
        </xdr:nvCxnSpPr>
        <xdr:spPr>
          <a:xfrm>
            <a:off x="1019178" y="5453061"/>
            <a:ext cx="314322" cy="0"/>
          </a:xfrm>
          <a:prstGeom prst="line">
            <a:avLst/>
          </a:prstGeom>
          <a:ln w="9525">
            <a:solidFill>
              <a:schemeClr val="accent6">
                <a:lumMod val="75000"/>
              </a:schemeClr>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661" name="Straight Connector 660">
            <a:extLst>
              <a:ext uri="{FF2B5EF4-FFF2-40B4-BE49-F238E27FC236}">
                <a16:creationId xmlns:a16="http://schemas.microsoft.com/office/drawing/2014/main" id="{0B0F8E88-2408-099B-505D-3D6DAB7E0226}"/>
              </a:ext>
            </a:extLst>
          </xdr:cNvPr>
          <xdr:cNvCxnSpPr/>
        </xdr:nvCxnSpPr>
        <xdr:spPr>
          <a:xfrm>
            <a:off x="4838700" y="5434011"/>
            <a:ext cx="314322" cy="0"/>
          </a:xfrm>
          <a:prstGeom prst="line">
            <a:avLst/>
          </a:prstGeom>
          <a:ln w="9525">
            <a:solidFill>
              <a:schemeClr val="accent6">
                <a:lumMod val="75000"/>
              </a:schemeClr>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662" name="Straight Connector 661">
            <a:extLst>
              <a:ext uri="{FF2B5EF4-FFF2-40B4-BE49-F238E27FC236}">
                <a16:creationId xmlns:a16="http://schemas.microsoft.com/office/drawing/2014/main" id="{B1772C90-5C85-CCAE-A5E4-79D93646DD20}"/>
              </a:ext>
            </a:extLst>
          </xdr:cNvPr>
          <xdr:cNvCxnSpPr/>
        </xdr:nvCxnSpPr>
        <xdr:spPr>
          <a:xfrm>
            <a:off x="4838701" y="5457824"/>
            <a:ext cx="314322" cy="0"/>
          </a:xfrm>
          <a:prstGeom prst="line">
            <a:avLst/>
          </a:prstGeom>
          <a:ln w="9525">
            <a:solidFill>
              <a:schemeClr val="accent6">
                <a:lumMod val="75000"/>
              </a:schemeClr>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663" name="Straight Connector 662">
            <a:extLst>
              <a:ext uri="{FF2B5EF4-FFF2-40B4-BE49-F238E27FC236}">
                <a16:creationId xmlns:a16="http://schemas.microsoft.com/office/drawing/2014/main" id="{F3A80F86-2596-754B-35F4-4C8A1FCC2B58}"/>
              </a:ext>
            </a:extLst>
          </xdr:cNvPr>
          <xdr:cNvCxnSpPr/>
        </xdr:nvCxnSpPr>
        <xdr:spPr>
          <a:xfrm>
            <a:off x="985836" y="5305428"/>
            <a:ext cx="300038" cy="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664" name="Isosceles Triangle 663">
            <a:extLst>
              <a:ext uri="{FF2B5EF4-FFF2-40B4-BE49-F238E27FC236}">
                <a16:creationId xmlns:a16="http://schemas.microsoft.com/office/drawing/2014/main" id="{E236ED67-026E-D19E-06DA-1FC4ABAA2702}"/>
              </a:ext>
            </a:extLst>
          </xdr:cNvPr>
          <xdr:cNvSpPr/>
        </xdr:nvSpPr>
        <xdr:spPr>
          <a:xfrm>
            <a:off x="995364" y="5202457"/>
            <a:ext cx="95250" cy="82112"/>
          </a:xfrm>
          <a:prstGeom prst="triangle">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kern="1200"/>
          </a:p>
        </xdr:txBody>
      </xdr:sp>
      <xdr:cxnSp macro="">
        <xdr:nvCxnSpPr>
          <xdr:cNvPr id="665" name="Straight Connector 664">
            <a:extLst>
              <a:ext uri="{FF2B5EF4-FFF2-40B4-BE49-F238E27FC236}">
                <a16:creationId xmlns:a16="http://schemas.microsoft.com/office/drawing/2014/main" id="{87E58CC8-1B46-54CE-F38E-1269E5F86991}"/>
              </a:ext>
            </a:extLst>
          </xdr:cNvPr>
          <xdr:cNvCxnSpPr/>
        </xdr:nvCxnSpPr>
        <xdr:spPr>
          <a:xfrm>
            <a:off x="4914898" y="5303621"/>
            <a:ext cx="300038" cy="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666" name="Isosceles Triangle 665">
            <a:extLst>
              <a:ext uri="{FF2B5EF4-FFF2-40B4-BE49-F238E27FC236}">
                <a16:creationId xmlns:a16="http://schemas.microsoft.com/office/drawing/2014/main" id="{4A25F842-2CDC-FAA1-6451-DC485F5B262E}"/>
              </a:ext>
            </a:extLst>
          </xdr:cNvPr>
          <xdr:cNvSpPr/>
        </xdr:nvSpPr>
        <xdr:spPr>
          <a:xfrm>
            <a:off x="5114928" y="5200650"/>
            <a:ext cx="95250" cy="82112"/>
          </a:xfrm>
          <a:prstGeom prst="triangle">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kern="1200"/>
          </a:p>
        </xdr:txBody>
      </xdr:sp>
      <xdr:cxnSp macro="">
        <xdr:nvCxnSpPr>
          <xdr:cNvPr id="667" name="Straight Connector 666">
            <a:extLst>
              <a:ext uri="{FF2B5EF4-FFF2-40B4-BE49-F238E27FC236}">
                <a16:creationId xmlns:a16="http://schemas.microsoft.com/office/drawing/2014/main" id="{44B8EB25-EFA5-035B-8FC8-5A005B27465A}"/>
              </a:ext>
            </a:extLst>
          </xdr:cNvPr>
          <xdr:cNvCxnSpPr/>
        </xdr:nvCxnSpPr>
        <xdr:spPr>
          <a:xfrm>
            <a:off x="5051425" y="4381500"/>
            <a:ext cx="0" cy="71755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668" name="Straight Connector 667">
            <a:extLst>
              <a:ext uri="{FF2B5EF4-FFF2-40B4-BE49-F238E27FC236}">
                <a16:creationId xmlns:a16="http://schemas.microsoft.com/office/drawing/2014/main" id="{D07B9B36-B506-4017-4204-AF9D5C12DA67}"/>
              </a:ext>
            </a:extLst>
          </xdr:cNvPr>
          <xdr:cNvCxnSpPr/>
        </xdr:nvCxnSpPr>
        <xdr:spPr>
          <a:xfrm>
            <a:off x="1108075" y="4384675"/>
            <a:ext cx="0" cy="71755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669" name="Straight Connector 668">
            <a:extLst>
              <a:ext uri="{FF2B5EF4-FFF2-40B4-BE49-F238E27FC236}">
                <a16:creationId xmlns:a16="http://schemas.microsoft.com/office/drawing/2014/main" id="{C490CE51-6C10-F8BC-1276-DB2C88AB7E27}"/>
              </a:ext>
            </a:extLst>
          </xdr:cNvPr>
          <xdr:cNvCxnSpPr/>
        </xdr:nvCxnSpPr>
        <xdr:spPr>
          <a:xfrm>
            <a:off x="5048250" y="6524634"/>
            <a:ext cx="0" cy="71755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670" name="Straight Connector 669">
            <a:extLst>
              <a:ext uri="{FF2B5EF4-FFF2-40B4-BE49-F238E27FC236}">
                <a16:creationId xmlns:a16="http://schemas.microsoft.com/office/drawing/2014/main" id="{33808A0F-E12E-5C06-C93C-09DDEA8F3191}"/>
              </a:ext>
            </a:extLst>
          </xdr:cNvPr>
          <xdr:cNvCxnSpPr/>
        </xdr:nvCxnSpPr>
        <xdr:spPr>
          <a:xfrm>
            <a:off x="1104900" y="6527809"/>
            <a:ext cx="0" cy="71755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671" name="Straight Connector 670">
            <a:extLst>
              <a:ext uri="{FF2B5EF4-FFF2-40B4-BE49-F238E27FC236}">
                <a16:creationId xmlns:a16="http://schemas.microsoft.com/office/drawing/2014/main" id="{9C7EFFE1-4E2F-819F-D4E8-56DC76F2AAD4}"/>
              </a:ext>
            </a:extLst>
          </xdr:cNvPr>
          <xdr:cNvCxnSpPr/>
        </xdr:nvCxnSpPr>
        <xdr:spPr>
          <a:xfrm>
            <a:off x="5048250" y="8667750"/>
            <a:ext cx="0" cy="71755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672" name="Straight Connector 671">
            <a:extLst>
              <a:ext uri="{FF2B5EF4-FFF2-40B4-BE49-F238E27FC236}">
                <a16:creationId xmlns:a16="http://schemas.microsoft.com/office/drawing/2014/main" id="{494D08E1-4EFD-2F40-8CC8-E0E8D8EABE27}"/>
              </a:ext>
            </a:extLst>
          </xdr:cNvPr>
          <xdr:cNvCxnSpPr/>
        </xdr:nvCxnSpPr>
        <xdr:spPr>
          <a:xfrm>
            <a:off x="1104900" y="8670925"/>
            <a:ext cx="0" cy="71755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673" name="Freeform: Shape 672">
            <a:extLst>
              <a:ext uri="{FF2B5EF4-FFF2-40B4-BE49-F238E27FC236}">
                <a16:creationId xmlns:a16="http://schemas.microsoft.com/office/drawing/2014/main" id="{10A7EE27-9C39-AA74-B089-4EA60D165A81}"/>
              </a:ext>
            </a:extLst>
          </xdr:cNvPr>
          <xdr:cNvSpPr/>
        </xdr:nvSpPr>
        <xdr:spPr>
          <a:xfrm>
            <a:off x="3084513" y="5840413"/>
            <a:ext cx="517525" cy="317500"/>
          </a:xfrm>
          <a:custGeom>
            <a:avLst/>
            <a:gdLst>
              <a:gd name="connsiteX0" fmla="*/ 0 w 517525"/>
              <a:gd name="connsiteY0" fmla="*/ 0 h 292100"/>
              <a:gd name="connsiteX1" fmla="*/ 53975 w 517525"/>
              <a:gd name="connsiteY1" fmla="*/ 0 h 292100"/>
              <a:gd name="connsiteX2" fmla="*/ 434975 w 517525"/>
              <a:gd name="connsiteY2" fmla="*/ 292100 h 292100"/>
              <a:gd name="connsiteX3" fmla="*/ 517525 w 517525"/>
              <a:gd name="connsiteY3" fmla="*/ 292100 h 292100"/>
            </a:gdLst>
            <a:ahLst/>
            <a:cxnLst>
              <a:cxn ang="0">
                <a:pos x="connsiteX0" y="connsiteY0"/>
              </a:cxn>
              <a:cxn ang="0">
                <a:pos x="connsiteX1" y="connsiteY1"/>
              </a:cxn>
              <a:cxn ang="0">
                <a:pos x="connsiteX2" y="connsiteY2"/>
              </a:cxn>
              <a:cxn ang="0">
                <a:pos x="connsiteX3" y="connsiteY3"/>
              </a:cxn>
            </a:cxnLst>
            <a:rect l="l" t="t" r="r" b="b"/>
            <a:pathLst>
              <a:path w="517525" h="292100">
                <a:moveTo>
                  <a:pt x="0" y="0"/>
                </a:moveTo>
                <a:lnTo>
                  <a:pt x="53975" y="0"/>
                </a:lnTo>
                <a:lnTo>
                  <a:pt x="434975" y="292100"/>
                </a:lnTo>
                <a:lnTo>
                  <a:pt x="517525" y="292100"/>
                </a:lnTo>
              </a:path>
            </a:pathLst>
          </a:custGeom>
          <a:no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kern="1200"/>
          </a:p>
        </xdr:txBody>
      </xdr:sp>
      <xdr:sp macro="" textlink="">
        <xdr:nvSpPr>
          <xdr:cNvPr id="674" name="Freeform: Shape 673">
            <a:extLst>
              <a:ext uri="{FF2B5EF4-FFF2-40B4-BE49-F238E27FC236}">
                <a16:creationId xmlns:a16="http://schemas.microsoft.com/office/drawing/2014/main" id="{8131A4FB-AD67-34C4-CC9E-FB72ABE506DC}"/>
              </a:ext>
            </a:extLst>
          </xdr:cNvPr>
          <xdr:cNvSpPr/>
        </xdr:nvSpPr>
        <xdr:spPr>
          <a:xfrm>
            <a:off x="3074988" y="6199188"/>
            <a:ext cx="523875" cy="298450"/>
          </a:xfrm>
          <a:custGeom>
            <a:avLst/>
            <a:gdLst>
              <a:gd name="connsiteX0" fmla="*/ 0 w 523875"/>
              <a:gd name="connsiteY0" fmla="*/ 298450 h 298450"/>
              <a:gd name="connsiteX1" fmla="*/ 73025 w 523875"/>
              <a:gd name="connsiteY1" fmla="*/ 298450 h 298450"/>
              <a:gd name="connsiteX2" fmla="*/ 447675 w 523875"/>
              <a:gd name="connsiteY2" fmla="*/ 0 h 298450"/>
              <a:gd name="connsiteX3" fmla="*/ 523875 w 523875"/>
              <a:gd name="connsiteY3" fmla="*/ 0 h 298450"/>
            </a:gdLst>
            <a:ahLst/>
            <a:cxnLst>
              <a:cxn ang="0">
                <a:pos x="connsiteX0" y="connsiteY0"/>
              </a:cxn>
              <a:cxn ang="0">
                <a:pos x="connsiteX1" y="connsiteY1"/>
              </a:cxn>
              <a:cxn ang="0">
                <a:pos x="connsiteX2" y="connsiteY2"/>
              </a:cxn>
              <a:cxn ang="0">
                <a:pos x="connsiteX3" y="connsiteY3"/>
              </a:cxn>
            </a:cxnLst>
            <a:rect l="l" t="t" r="r" b="b"/>
            <a:pathLst>
              <a:path w="523875" h="298450">
                <a:moveTo>
                  <a:pt x="0" y="298450"/>
                </a:moveTo>
                <a:lnTo>
                  <a:pt x="73025" y="298450"/>
                </a:lnTo>
                <a:lnTo>
                  <a:pt x="447675" y="0"/>
                </a:lnTo>
                <a:lnTo>
                  <a:pt x="523875" y="0"/>
                </a:lnTo>
              </a:path>
            </a:pathLst>
          </a:custGeom>
          <a:no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kern="1200"/>
          </a:p>
        </xdr:txBody>
      </xdr:sp>
      <xdr:cxnSp macro="">
        <xdr:nvCxnSpPr>
          <xdr:cNvPr id="675" name="Straight Connector 674">
            <a:extLst>
              <a:ext uri="{FF2B5EF4-FFF2-40B4-BE49-F238E27FC236}">
                <a16:creationId xmlns:a16="http://schemas.microsoft.com/office/drawing/2014/main" id="{69B88722-853E-DC77-AB6A-ECA1FCF5131E}"/>
              </a:ext>
            </a:extLst>
          </xdr:cNvPr>
          <xdr:cNvCxnSpPr/>
        </xdr:nvCxnSpPr>
        <xdr:spPr>
          <a:xfrm>
            <a:off x="3516313" y="6176963"/>
            <a:ext cx="5746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76" name="Straight Connector 675">
            <a:extLst>
              <a:ext uri="{FF2B5EF4-FFF2-40B4-BE49-F238E27FC236}">
                <a16:creationId xmlns:a16="http://schemas.microsoft.com/office/drawing/2014/main" id="{AF20AD0D-786C-1DCA-6C58-99934D5A080A}"/>
              </a:ext>
            </a:extLst>
          </xdr:cNvPr>
          <xdr:cNvCxnSpPr/>
        </xdr:nvCxnSpPr>
        <xdr:spPr>
          <a:xfrm>
            <a:off x="4002088" y="6196013"/>
            <a:ext cx="5746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77" name="Straight Connector 676">
            <a:extLst>
              <a:ext uri="{FF2B5EF4-FFF2-40B4-BE49-F238E27FC236}">
                <a16:creationId xmlns:a16="http://schemas.microsoft.com/office/drawing/2014/main" id="{5CBA36E9-C966-9F55-1B25-87CAF23F63FF}"/>
              </a:ext>
            </a:extLst>
          </xdr:cNvPr>
          <xdr:cNvCxnSpPr/>
        </xdr:nvCxnSpPr>
        <xdr:spPr>
          <a:xfrm>
            <a:off x="4487863" y="6173788"/>
            <a:ext cx="5746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78" name="Straight Connector 677">
            <a:extLst>
              <a:ext uri="{FF2B5EF4-FFF2-40B4-BE49-F238E27FC236}">
                <a16:creationId xmlns:a16="http://schemas.microsoft.com/office/drawing/2014/main" id="{BCD4BD2B-9289-D010-13C9-2130F83A482E}"/>
              </a:ext>
            </a:extLst>
          </xdr:cNvPr>
          <xdr:cNvCxnSpPr/>
        </xdr:nvCxnSpPr>
        <xdr:spPr>
          <a:xfrm flipV="1">
            <a:off x="4767262" y="5795963"/>
            <a:ext cx="590551" cy="371474"/>
          </a:xfrm>
          <a:prstGeom prst="line">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679" name="Straight Connector 678">
            <a:extLst>
              <a:ext uri="{FF2B5EF4-FFF2-40B4-BE49-F238E27FC236}">
                <a16:creationId xmlns:a16="http://schemas.microsoft.com/office/drawing/2014/main" id="{E4A53386-4712-B25B-68AF-4A959913907E}"/>
              </a:ext>
            </a:extLst>
          </xdr:cNvPr>
          <xdr:cNvCxnSpPr/>
        </xdr:nvCxnSpPr>
        <xdr:spPr>
          <a:xfrm flipV="1">
            <a:off x="1133475" y="3729038"/>
            <a:ext cx="0" cy="6096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680" name="Straight Connector 679">
            <a:extLst>
              <a:ext uri="{FF2B5EF4-FFF2-40B4-BE49-F238E27FC236}">
                <a16:creationId xmlns:a16="http://schemas.microsoft.com/office/drawing/2014/main" id="{C907BE51-D476-660D-758E-A3B68A8199A5}"/>
              </a:ext>
            </a:extLst>
          </xdr:cNvPr>
          <xdr:cNvCxnSpPr/>
        </xdr:nvCxnSpPr>
        <xdr:spPr>
          <a:xfrm>
            <a:off x="1071564" y="4095751"/>
            <a:ext cx="4005261"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681" name="Straight Connector 680">
            <a:extLst>
              <a:ext uri="{FF2B5EF4-FFF2-40B4-BE49-F238E27FC236}">
                <a16:creationId xmlns:a16="http://schemas.microsoft.com/office/drawing/2014/main" id="{5760318B-9EE4-1734-547B-0DEC070E1EF0}"/>
              </a:ext>
            </a:extLst>
          </xdr:cNvPr>
          <xdr:cNvCxnSpPr/>
        </xdr:nvCxnSpPr>
        <xdr:spPr>
          <a:xfrm flipH="1">
            <a:off x="1100135" y="4062415"/>
            <a:ext cx="66675" cy="666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682" name="Straight Connector 681">
            <a:extLst>
              <a:ext uri="{FF2B5EF4-FFF2-40B4-BE49-F238E27FC236}">
                <a16:creationId xmlns:a16="http://schemas.microsoft.com/office/drawing/2014/main" id="{9FE58CA4-BFD4-B00F-E3B2-330F15ED55DB}"/>
              </a:ext>
            </a:extLst>
          </xdr:cNvPr>
          <xdr:cNvCxnSpPr/>
        </xdr:nvCxnSpPr>
        <xdr:spPr>
          <a:xfrm>
            <a:off x="1071562" y="3809998"/>
            <a:ext cx="4010026"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683" name="Straight Connector 682">
            <a:extLst>
              <a:ext uri="{FF2B5EF4-FFF2-40B4-BE49-F238E27FC236}">
                <a16:creationId xmlns:a16="http://schemas.microsoft.com/office/drawing/2014/main" id="{5D404A1C-CF6F-9A79-3B1B-CF10D9A99024}"/>
              </a:ext>
            </a:extLst>
          </xdr:cNvPr>
          <xdr:cNvCxnSpPr/>
        </xdr:nvCxnSpPr>
        <xdr:spPr>
          <a:xfrm flipH="1">
            <a:off x="1100133" y="3776662"/>
            <a:ext cx="66675" cy="666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684" name="Straight Connector 683">
            <a:extLst>
              <a:ext uri="{FF2B5EF4-FFF2-40B4-BE49-F238E27FC236}">
                <a16:creationId xmlns:a16="http://schemas.microsoft.com/office/drawing/2014/main" id="{2394F11B-B413-92C4-0F27-07C9D6242301}"/>
              </a:ext>
            </a:extLst>
          </xdr:cNvPr>
          <xdr:cNvCxnSpPr/>
        </xdr:nvCxnSpPr>
        <xdr:spPr>
          <a:xfrm flipV="1">
            <a:off x="1619250" y="4033838"/>
            <a:ext cx="0" cy="3048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685" name="Straight Connector 684">
            <a:extLst>
              <a:ext uri="{FF2B5EF4-FFF2-40B4-BE49-F238E27FC236}">
                <a16:creationId xmlns:a16="http://schemas.microsoft.com/office/drawing/2014/main" id="{775431D7-0CB1-FF4D-E012-60094FFC4A50}"/>
              </a:ext>
            </a:extLst>
          </xdr:cNvPr>
          <xdr:cNvCxnSpPr/>
        </xdr:nvCxnSpPr>
        <xdr:spPr>
          <a:xfrm flipH="1">
            <a:off x="1585910" y="4062415"/>
            <a:ext cx="66675" cy="666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686" name="Straight Connector 685">
            <a:extLst>
              <a:ext uri="{FF2B5EF4-FFF2-40B4-BE49-F238E27FC236}">
                <a16:creationId xmlns:a16="http://schemas.microsoft.com/office/drawing/2014/main" id="{A2F57169-4727-43C3-AA70-F4EC4DD9DB2C}"/>
              </a:ext>
            </a:extLst>
          </xdr:cNvPr>
          <xdr:cNvCxnSpPr/>
        </xdr:nvCxnSpPr>
        <xdr:spPr>
          <a:xfrm flipV="1">
            <a:off x="2105025" y="4029075"/>
            <a:ext cx="0" cy="30956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687" name="Straight Connector 686">
            <a:extLst>
              <a:ext uri="{FF2B5EF4-FFF2-40B4-BE49-F238E27FC236}">
                <a16:creationId xmlns:a16="http://schemas.microsoft.com/office/drawing/2014/main" id="{D05DDF19-B14D-92B6-AD00-20267A2F88CB}"/>
              </a:ext>
            </a:extLst>
          </xdr:cNvPr>
          <xdr:cNvCxnSpPr/>
        </xdr:nvCxnSpPr>
        <xdr:spPr>
          <a:xfrm flipH="1">
            <a:off x="2071685" y="4062415"/>
            <a:ext cx="66675" cy="666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688" name="Straight Connector 687">
            <a:extLst>
              <a:ext uri="{FF2B5EF4-FFF2-40B4-BE49-F238E27FC236}">
                <a16:creationId xmlns:a16="http://schemas.microsoft.com/office/drawing/2014/main" id="{A0588596-C31E-807C-9483-729FE74283BF}"/>
              </a:ext>
            </a:extLst>
          </xdr:cNvPr>
          <xdr:cNvCxnSpPr/>
        </xdr:nvCxnSpPr>
        <xdr:spPr>
          <a:xfrm flipV="1">
            <a:off x="2590800" y="4024313"/>
            <a:ext cx="0" cy="3143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689" name="Straight Connector 688">
            <a:extLst>
              <a:ext uri="{FF2B5EF4-FFF2-40B4-BE49-F238E27FC236}">
                <a16:creationId xmlns:a16="http://schemas.microsoft.com/office/drawing/2014/main" id="{A1615E71-BCDC-9FA7-E1EB-BAC307E4E9DF}"/>
              </a:ext>
            </a:extLst>
          </xdr:cNvPr>
          <xdr:cNvCxnSpPr/>
        </xdr:nvCxnSpPr>
        <xdr:spPr>
          <a:xfrm flipH="1">
            <a:off x="2557460" y="4062415"/>
            <a:ext cx="66675" cy="666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690" name="Straight Connector 689">
            <a:extLst>
              <a:ext uri="{FF2B5EF4-FFF2-40B4-BE49-F238E27FC236}">
                <a16:creationId xmlns:a16="http://schemas.microsoft.com/office/drawing/2014/main" id="{13281B12-AF59-28D6-49CA-5C7DBFD9E883}"/>
              </a:ext>
            </a:extLst>
          </xdr:cNvPr>
          <xdr:cNvCxnSpPr/>
        </xdr:nvCxnSpPr>
        <xdr:spPr>
          <a:xfrm flipV="1">
            <a:off x="3076575" y="4024313"/>
            <a:ext cx="0" cy="3143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691" name="Straight Connector 690">
            <a:extLst>
              <a:ext uri="{FF2B5EF4-FFF2-40B4-BE49-F238E27FC236}">
                <a16:creationId xmlns:a16="http://schemas.microsoft.com/office/drawing/2014/main" id="{75CDB322-6FF0-546D-AECA-F8920876D9C8}"/>
              </a:ext>
            </a:extLst>
          </xdr:cNvPr>
          <xdr:cNvCxnSpPr/>
        </xdr:nvCxnSpPr>
        <xdr:spPr>
          <a:xfrm flipH="1">
            <a:off x="3043235" y="4062415"/>
            <a:ext cx="66675" cy="666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692" name="Straight Connector 691">
            <a:extLst>
              <a:ext uri="{FF2B5EF4-FFF2-40B4-BE49-F238E27FC236}">
                <a16:creationId xmlns:a16="http://schemas.microsoft.com/office/drawing/2014/main" id="{FA1E048B-CCB1-70D5-093E-E5C731BE0713}"/>
              </a:ext>
            </a:extLst>
          </xdr:cNvPr>
          <xdr:cNvCxnSpPr/>
        </xdr:nvCxnSpPr>
        <xdr:spPr>
          <a:xfrm flipV="1">
            <a:off x="3562350" y="4024313"/>
            <a:ext cx="0" cy="3143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693" name="Straight Connector 692">
            <a:extLst>
              <a:ext uri="{FF2B5EF4-FFF2-40B4-BE49-F238E27FC236}">
                <a16:creationId xmlns:a16="http://schemas.microsoft.com/office/drawing/2014/main" id="{5B1E885B-4308-B8EA-D971-C43B93468923}"/>
              </a:ext>
            </a:extLst>
          </xdr:cNvPr>
          <xdr:cNvCxnSpPr/>
        </xdr:nvCxnSpPr>
        <xdr:spPr>
          <a:xfrm flipH="1">
            <a:off x="3529010" y="4062415"/>
            <a:ext cx="66675" cy="666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694" name="Straight Connector 693">
            <a:extLst>
              <a:ext uri="{FF2B5EF4-FFF2-40B4-BE49-F238E27FC236}">
                <a16:creationId xmlns:a16="http://schemas.microsoft.com/office/drawing/2014/main" id="{7777641F-237B-8174-B5F9-E235A05FD8D4}"/>
              </a:ext>
            </a:extLst>
          </xdr:cNvPr>
          <xdr:cNvCxnSpPr/>
        </xdr:nvCxnSpPr>
        <xdr:spPr>
          <a:xfrm flipV="1">
            <a:off x="4048125" y="4024313"/>
            <a:ext cx="0" cy="3143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695" name="Straight Connector 694">
            <a:extLst>
              <a:ext uri="{FF2B5EF4-FFF2-40B4-BE49-F238E27FC236}">
                <a16:creationId xmlns:a16="http://schemas.microsoft.com/office/drawing/2014/main" id="{37EB4AA4-5ACC-8BD3-F8F6-83456C28748E}"/>
              </a:ext>
            </a:extLst>
          </xdr:cNvPr>
          <xdr:cNvCxnSpPr/>
        </xdr:nvCxnSpPr>
        <xdr:spPr>
          <a:xfrm flipH="1">
            <a:off x="4014785" y="4062415"/>
            <a:ext cx="66675" cy="666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696" name="Straight Connector 695">
            <a:extLst>
              <a:ext uri="{FF2B5EF4-FFF2-40B4-BE49-F238E27FC236}">
                <a16:creationId xmlns:a16="http://schemas.microsoft.com/office/drawing/2014/main" id="{6917A660-282C-C763-6711-5E5FAFBCAB7E}"/>
              </a:ext>
            </a:extLst>
          </xdr:cNvPr>
          <xdr:cNvCxnSpPr/>
        </xdr:nvCxnSpPr>
        <xdr:spPr>
          <a:xfrm flipV="1">
            <a:off x="4533900" y="4024313"/>
            <a:ext cx="0" cy="3143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697" name="Straight Connector 696">
            <a:extLst>
              <a:ext uri="{FF2B5EF4-FFF2-40B4-BE49-F238E27FC236}">
                <a16:creationId xmlns:a16="http://schemas.microsoft.com/office/drawing/2014/main" id="{B19A1C6C-4A7C-1424-AC0A-711BF6A075F3}"/>
              </a:ext>
            </a:extLst>
          </xdr:cNvPr>
          <xdr:cNvCxnSpPr/>
        </xdr:nvCxnSpPr>
        <xdr:spPr>
          <a:xfrm flipH="1">
            <a:off x="4500560" y="4062415"/>
            <a:ext cx="66675" cy="666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698" name="Straight Connector 697">
            <a:extLst>
              <a:ext uri="{FF2B5EF4-FFF2-40B4-BE49-F238E27FC236}">
                <a16:creationId xmlns:a16="http://schemas.microsoft.com/office/drawing/2014/main" id="{72277760-DE58-C99A-F9CE-2BABE6589321}"/>
              </a:ext>
            </a:extLst>
          </xdr:cNvPr>
          <xdr:cNvCxnSpPr/>
        </xdr:nvCxnSpPr>
        <xdr:spPr>
          <a:xfrm flipV="1">
            <a:off x="5019675" y="3748088"/>
            <a:ext cx="0" cy="59055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699" name="Straight Connector 698">
            <a:extLst>
              <a:ext uri="{FF2B5EF4-FFF2-40B4-BE49-F238E27FC236}">
                <a16:creationId xmlns:a16="http://schemas.microsoft.com/office/drawing/2014/main" id="{5E722063-DC0A-A2F0-F667-E21224F37C04}"/>
              </a:ext>
            </a:extLst>
          </xdr:cNvPr>
          <xdr:cNvCxnSpPr/>
        </xdr:nvCxnSpPr>
        <xdr:spPr>
          <a:xfrm flipH="1">
            <a:off x="4986335" y="4062415"/>
            <a:ext cx="66675" cy="666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700" name="Straight Connector 699">
            <a:extLst>
              <a:ext uri="{FF2B5EF4-FFF2-40B4-BE49-F238E27FC236}">
                <a16:creationId xmlns:a16="http://schemas.microsoft.com/office/drawing/2014/main" id="{65965713-3396-06D2-4FFB-3D5E57D456A6}"/>
              </a:ext>
            </a:extLst>
          </xdr:cNvPr>
          <xdr:cNvCxnSpPr/>
        </xdr:nvCxnSpPr>
        <xdr:spPr>
          <a:xfrm flipH="1">
            <a:off x="4986335" y="3776665"/>
            <a:ext cx="66675" cy="666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701" name="Straight Connector 700">
            <a:extLst>
              <a:ext uri="{FF2B5EF4-FFF2-40B4-BE49-F238E27FC236}">
                <a16:creationId xmlns:a16="http://schemas.microsoft.com/office/drawing/2014/main" id="{C202CC5A-E176-D6D8-B208-CF20D50BA773}"/>
              </a:ext>
            </a:extLst>
          </xdr:cNvPr>
          <xdr:cNvCxnSpPr/>
        </xdr:nvCxnSpPr>
        <xdr:spPr>
          <a:xfrm>
            <a:off x="5053013" y="7019925"/>
            <a:ext cx="319087" cy="323850"/>
          </a:xfrm>
          <a:prstGeom prst="line">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702" name="Straight Connector 701">
            <a:extLst>
              <a:ext uri="{FF2B5EF4-FFF2-40B4-BE49-F238E27FC236}">
                <a16:creationId xmlns:a16="http://schemas.microsoft.com/office/drawing/2014/main" id="{0084C65A-F90E-05FC-4835-24DFA33A65D5}"/>
              </a:ext>
            </a:extLst>
          </xdr:cNvPr>
          <xdr:cNvCxnSpPr/>
        </xdr:nvCxnSpPr>
        <xdr:spPr>
          <a:xfrm flipV="1">
            <a:off x="4705350" y="6591309"/>
            <a:ext cx="638175" cy="161925"/>
          </a:xfrm>
          <a:prstGeom prst="line">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703" name="Straight Connector 702">
            <a:extLst>
              <a:ext uri="{FF2B5EF4-FFF2-40B4-BE49-F238E27FC236}">
                <a16:creationId xmlns:a16="http://schemas.microsoft.com/office/drawing/2014/main" id="{8AD3EA68-EDEC-FB60-BCA2-7D3694BA31CC}"/>
              </a:ext>
            </a:extLst>
          </xdr:cNvPr>
          <xdr:cNvCxnSpPr/>
        </xdr:nvCxnSpPr>
        <xdr:spPr>
          <a:xfrm flipV="1">
            <a:off x="4724400" y="6591309"/>
            <a:ext cx="619125" cy="428625"/>
          </a:xfrm>
          <a:prstGeom prst="line">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704" name="Straight Connector 703">
            <a:extLst>
              <a:ext uri="{FF2B5EF4-FFF2-40B4-BE49-F238E27FC236}">
                <a16:creationId xmlns:a16="http://schemas.microsoft.com/office/drawing/2014/main" id="{0A77E883-54A4-E885-153D-2A164EAAB3EC}"/>
              </a:ext>
            </a:extLst>
          </xdr:cNvPr>
          <xdr:cNvCxnSpPr/>
        </xdr:nvCxnSpPr>
        <xdr:spPr>
          <a:xfrm flipV="1">
            <a:off x="4038600" y="5048250"/>
            <a:ext cx="1300163" cy="509589"/>
          </a:xfrm>
          <a:prstGeom prst="line">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705" name="Straight Connector 704">
            <a:extLst>
              <a:ext uri="{FF2B5EF4-FFF2-40B4-BE49-F238E27FC236}">
                <a16:creationId xmlns:a16="http://schemas.microsoft.com/office/drawing/2014/main" id="{1AA37375-2C3E-9CD6-75BC-2C11754E1E4D}"/>
              </a:ext>
            </a:extLst>
          </xdr:cNvPr>
          <xdr:cNvCxnSpPr/>
        </xdr:nvCxnSpPr>
        <xdr:spPr>
          <a:xfrm flipV="1">
            <a:off x="4524375" y="5048250"/>
            <a:ext cx="819150" cy="585789"/>
          </a:xfrm>
          <a:prstGeom prst="line">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706" name="Straight Connector 705">
            <a:extLst>
              <a:ext uri="{FF2B5EF4-FFF2-40B4-BE49-F238E27FC236}">
                <a16:creationId xmlns:a16="http://schemas.microsoft.com/office/drawing/2014/main" id="{E9E8AE8F-0620-F6B9-3C9D-2639C490EE20}"/>
              </a:ext>
            </a:extLst>
          </xdr:cNvPr>
          <xdr:cNvCxnSpPr/>
        </xdr:nvCxnSpPr>
        <xdr:spPr>
          <a:xfrm flipV="1">
            <a:off x="4781550" y="3867150"/>
            <a:ext cx="581025" cy="114300"/>
          </a:xfrm>
          <a:prstGeom prst="line">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707" name="Straight Connector 706">
            <a:extLst>
              <a:ext uri="{FF2B5EF4-FFF2-40B4-BE49-F238E27FC236}">
                <a16:creationId xmlns:a16="http://schemas.microsoft.com/office/drawing/2014/main" id="{897ABCC8-7662-0860-AB69-CC51FFD24EA1}"/>
              </a:ext>
            </a:extLst>
          </xdr:cNvPr>
          <xdr:cNvCxnSpPr/>
        </xdr:nvCxnSpPr>
        <xdr:spPr>
          <a:xfrm>
            <a:off x="1138238" y="5100639"/>
            <a:ext cx="971550" cy="70961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08" name="Straight Connector 707">
            <a:extLst>
              <a:ext uri="{FF2B5EF4-FFF2-40B4-BE49-F238E27FC236}">
                <a16:creationId xmlns:a16="http://schemas.microsoft.com/office/drawing/2014/main" id="{DDDBAA85-7D05-B2A7-D793-8FC2996A0876}"/>
              </a:ext>
            </a:extLst>
          </xdr:cNvPr>
          <xdr:cNvCxnSpPr/>
        </xdr:nvCxnSpPr>
        <xdr:spPr>
          <a:xfrm flipV="1">
            <a:off x="1133475" y="5095876"/>
            <a:ext cx="971550" cy="7143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09" name="Straight Connector 708">
            <a:extLst>
              <a:ext uri="{FF2B5EF4-FFF2-40B4-BE49-F238E27FC236}">
                <a16:creationId xmlns:a16="http://schemas.microsoft.com/office/drawing/2014/main" id="{00F07386-E6F0-8AB7-DDF5-9391279FF0C9}"/>
              </a:ext>
            </a:extLst>
          </xdr:cNvPr>
          <xdr:cNvCxnSpPr/>
        </xdr:nvCxnSpPr>
        <xdr:spPr>
          <a:xfrm>
            <a:off x="4048126" y="5100639"/>
            <a:ext cx="971550" cy="70961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10" name="Straight Connector 709">
            <a:extLst>
              <a:ext uri="{FF2B5EF4-FFF2-40B4-BE49-F238E27FC236}">
                <a16:creationId xmlns:a16="http://schemas.microsoft.com/office/drawing/2014/main" id="{D2DEC4B8-2CDF-094F-53E0-9633D712F621}"/>
              </a:ext>
            </a:extLst>
          </xdr:cNvPr>
          <xdr:cNvCxnSpPr/>
        </xdr:nvCxnSpPr>
        <xdr:spPr>
          <a:xfrm flipV="1">
            <a:off x="4043363" y="5095876"/>
            <a:ext cx="971550" cy="7143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11" name="Straight Connector 710">
            <a:extLst>
              <a:ext uri="{FF2B5EF4-FFF2-40B4-BE49-F238E27FC236}">
                <a16:creationId xmlns:a16="http://schemas.microsoft.com/office/drawing/2014/main" id="{89D330DD-A1E1-4F08-4331-76EFD5BE8A96}"/>
              </a:ext>
            </a:extLst>
          </xdr:cNvPr>
          <xdr:cNvCxnSpPr/>
        </xdr:nvCxnSpPr>
        <xdr:spPr>
          <a:xfrm>
            <a:off x="1138239" y="5815014"/>
            <a:ext cx="971550" cy="70961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12" name="Straight Connector 711">
            <a:extLst>
              <a:ext uri="{FF2B5EF4-FFF2-40B4-BE49-F238E27FC236}">
                <a16:creationId xmlns:a16="http://schemas.microsoft.com/office/drawing/2014/main" id="{C7D8EA6D-C8EC-40D0-49A3-9900A85B7701}"/>
              </a:ext>
            </a:extLst>
          </xdr:cNvPr>
          <xdr:cNvCxnSpPr/>
        </xdr:nvCxnSpPr>
        <xdr:spPr>
          <a:xfrm flipV="1">
            <a:off x="1133476" y="5810251"/>
            <a:ext cx="971550" cy="7143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13" name="Straight Connector 712">
            <a:extLst>
              <a:ext uri="{FF2B5EF4-FFF2-40B4-BE49-F238E27FC236}">
                <a16:creationId xmlns:a16="http://schemas.microsoft.com/office/drawing/2014/main" id="{914B2699-4B84-58E7-5002-B5BBD0649752}"/>
              </a:ext>
            </a:extLst>
          </xdr:cNvPr>
          <xdr:cNvCxnSpPr/>
        </xdr:nvCxnSpPr>
        <xdr:spPr>
          <a:xfrm>
            <a:off x="4048127" y="5815014"/>
            <a:ext cx="971550" cy="70961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14" name="Straight Connector 713">
            <a:extLst>
              <a:ext uri="{FF2B5EF4-FFF2-40B4-BE49-F238E27FC236}">
                <a16:creationId xmlns:a16="http://schemas.microsoft.com/office/drawing/2014/main" id="{80692340-42B8-9234-7F19-7F660ACA345E}"/>
              </a:ext>
            </a:extLst>
          </xdr:cNvPr>
          <xdr:cNvCxnSpPr/>
        </xdr:nvCxnSpPr>
        <xdr:spPr>
          <a:xfrm flipV="1">
            <a:off x="4043364" y="5810251"/>
            <a:ext cx="971550" cy="7143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15" name="Straight Connector 714">
            <a:extLst>
              <a:ext uri="{FF2B5EF4-FFF2-40B4-BE49-F238E27FC236}">
                <a16:creationId xmlns:a16="http://schemas.microsoft.com/office/drawing/2014/main" id="{B75D965F-F012-C441-B4DF-F43807B255EE}"/>
              </a:ext>
            </a:extLst>
          </xdr:cNvPr>
          <xdr:cNvCxnSpPr/>
        </xdr:nvCxnSpPr>
        <xdr:spPr>
          <a:xfrm>
            <a:off x="1133475" y="7243764"/>
            <a:ext cx="971550" cy="70961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16" name="Straight Connector 715">
            <a:extLst>
              <a:ext uri="{FF2B5EF4-FFF2-40B4-BE49-F238E27FC236}">
                <a16:creationId xmlns:a16="http://schemas.microsoft.com/office/drawing/2014/main" id="{5A0AE11A-B05E-CAEC-D658-4AF986691C94}"/>
              </a:ext>
            </a:extLst>
          </xdr:cNvPr>
          <xdr:cNvCxnSpPr/>
        </xdr:nvCxnSpPr>
        <xdr:spPr>
          <a:xfrm flipV="1">
            <a:off x="1128712" y="7239001"/>
            <a:ext cx="971550" cy="7143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17" name="Straight Connector 716">
            <a:extLst>
              <a:ext uri="{FF2B5EF4-FFF2-40B4-BE49-F238E27FC236}">
                <a16:creationId xmlns:a16="http://schemas.microsoft.com/office/drawing/2014/main" id="{8D71282D-E0B2-1510-F94F-D8751D87A865}"/>
              </a:ext>
            </a:extLst>
          </xdr:cNvPr>
          <xdr:cNvCxnSpPr/>
        </xdr:nvCxnSpPr>
        <xdr:spPr>
          <a:xfrm>
            <a:off x="4043363" y="7243764"/>
            <a:ext cx="971550" cy="70961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18" name="Straight Connector 717">
            <a:extLst>
              <a:ext uri="{FF2B5EF4-FFF2-40B4-BE49-F238E27FC236}">
                <a16:creationId xmlns:a16="http://schemas.microsoft.com/office/drawing/2014/main" id="{99DA298C-CFFE-68B7-C12B-D1BC9723B79A}"/>
              </a:ext>
            </a:extLst>
          </xdr:cNvPr>
          <xdr:cNvCxnSpPr/>
        </xdr:nvCxnSpPr>
        <xdr:spPr>
          <a:xfrm flipV="1">
            <a:off x="4038600" y="7239001"/>
            <a:ext cx="971550" cy="7143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19" name="Straight Connector 718">
            <a:extLst>
              <a:ext uri="{FF2B5EF4-FFF2-40B4-BE49-F238E27FC236}">
                <a16:creationId xmlns:a16="http://schemas.microsoft.com/office/drawing/2014/main" id="{90D53071-02AD-E0C6-7A68-9CA48D3B9D39}"/>
              </a:ext>
            </a:extLst>
          </xdr:cNvPr>
          <xdr:cNvCxnSpPr/>
        </xdr:nvCxnSpPr>
        <xdr:spPr>
          <a:xfrm>
            <a:off x="1138238" y="7958140"/>
            <a:ext cx="971550" cy="70961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20" name="Straight Connector 719">
            <a:extLst>
              <a:ext uri="{FF2B5EF4-FFF2-40B4-BE49-F238E27FC236}">
                <a16:creationId xmlns:a16="http://schemas.microsoft.com/office/drawing/2014/main" id="{523A1323-2E6E-28B9-3223-505DC77F0047}"/>
              </a:ext>
            </a:extLst>
          </xdr:cNvPr>
          <xdr:cNvCxnSpPr/>
        </xdr:nvCxnSpPr>
        <xdr:spPr>
          <a:xfrm flipV="1">
            <a:off x="1133475" y="7953377"/>
            <a:ext cx="971550" cy="7143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21" name="Straight Connector 720">
            <a:extLst>
              <a:ext uri="{FF2B5EF4-FFF2-40B4-BE49-F238E27FC236}">
                <a16:creationId xmlns:a16="http://schemas.microsoft.com/office/drawing/2014/main" id="{D89B775C-CB94-A784-2C72-988FB49B520B}"/>
              </a:ext>
            </a:extLst>
          </xdr:cNvPr>
          <xdr:cNvCxnSpPr/>
        </xdr:nvCxnSpPr>
        <xdr:spPr>
          <a:xfrm>
            <a:off x="4048126" y="7958140"/>
            <a:ext cx="971550" cy="70961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22" name="Straight Connector 721">
            <a:extLst>
              <a:ext uri="{FF2B5EF4-FFF2-40B4-BE49-F238E27FC236}">
                <a16:creationId xmlns:a16="http://schemas.microsoft.com/office/drawing/2014/main" id="{31267115-0EC1-81E0-2593-BD29963197DC}"/>
              </a:ext>
            </a:extLst>
          </xdr:cNvPr>
          <xdr:cNvCxnSpPr/>
        </xdr:nvCxnSpPr>
        <xdr:spPr>
          <a:xfrm flipV="1">
            <a:off x="4043363" y="7953377"/>
            <a:ext cx="971550" cy="7143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xdr:col>
      <xdr:colOff>95250</xdr:colOff>
      <xdr:row>383</xdr:row>
      <xdr:rowOff>69510</xdr:rowOff>
    </xdr:from>
    <xdr:to>
      <xdr:col>33</xdr:col>
      <xdr:colOff>57152</xdr:colOff>
      <xdr:row>402</xdr:row>
      <xdr:rowOff>61913</xdr:rowOff>
    </xdr:to>
    <xdr:grpSp>
      <xdr:nvGrpSpPr>
        <xdr:cNvPr id="723" name="Group 722">
          <a:extLst>
            <a:ext uri="{FF2B5EF4-FFF2-40B4-BE49-F238E27FC236}">
              <a16:creationId xmlns:a16="http://schemas.microsoft.com/office/drawing/2014/main" id="{01C74A88-2860-44B7-91AC-39C338E26309}"/>
            </a:ext>
          </a:extLst>
        </xdr:cNvPr>
        <xdr:cNvGrpSpPr/>
      </xdr:nvGrpSpPr>
      <xdr:grpSpPr>
        <a:xfrm>
          <a:off x="419100" y="56086035"/>
          <a:ext cx="4981577" cy="2707028"/>
          <a:chOff x="419100" y="736260"/>
          <a:chExt cx="4981577" cy="2707028"/>
        </a:xfrm>
      </xdr:grpSpPr>
      <xdr:sp macro="" textlink="">
        <xdr:nvSpPr>
          <xdr:cNvPr id="724" name="Rectangle 723">
            <a:extLst>
              <a:ext uri="{FF2B5EF4-FFF2-40B4-BE49-F238E27FC236}">
                <a16:creationId xmlns:a16="http://schemas.microsoft.com/office/drawing/2014/main" id="{EB9E77D8-199D-D7CA-C0DB-FF6302937C12}"/>
              </a:ext>
            </a:extLst>
          </xdr:cNvPr>
          <xdr:cNvSpPr/>
        </xdr:nvSpPr>
        <xdr:spPr>
          <a:xfrm>
            <a:off x="971551" y="2819401"/>
            <a:ext cx="323849" cy="95250"/>
          </a:xfrm>
          <a:prstGeom prst="rect">
            <a:avLst/>
          </a:prstGeom>
          <a:pattFill prst="ltUpDiag">
            <a:fgClr>
              <a:schemeClr val="tx1"/>
            </a:fgClr>
            <a:bgClr>
              <a:schemeClr val="bg1"/>
            </a:bgClr>
          </a:patt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kern="1200"/>
          </a:p>
        </xdr:txBody>
      </xdr:sp>
      <xdr:sp macro="" textlink="">
        <xdr:nvSpPr>
          <xdr:cNvPr id="725" name="Freeform: Shape 724">
            <a:extLst>
              <a:ext uri="{FF2B5EF4-FFF2-40B4-BE49-F238E27FC236}">
                <a16:creationId xmlns:a16="http://schemas.microsoft.com/office/drawing/2014/main" id="{6E6D8BA2-EBE1-C6A8-9998-39E306FE8AB9}"/>
              </a:ext>
            </a:extLst>
          </xdr:cNvPr>
          <xdr:cNvSpPr/>
        </xdr:nvSpPr>
        <xdr:spPr>
          <a:xfrm>
            <a:off x="1133475" y="1095375"/>
            <a:ext cx="3890963" cy="1724025"/>
          </a:xfrm>
          <a:custGeom>
            <a:avLst/>
            <a:gdLst>
              <a:gd name="connsiteX0" fmla="*/ 0 w 3890963"/>
              <a:gd name="connsiteY0" fmla="*/ 1709738 h 1724025"/>
              <a:gd name="connsiteX1" fmla="*/ 0 w 3890963"/>
              <a:gd name="connsiteY1" fmla="*/ 571500 h 1724025"/>
              <a:gd name="connsiteX2" fmla="*/ 1947863 w 3890963"/>
              <a:gd name="connsiteY2" fmla="*/ 0 h 1724025"/>
              <a:gd name="connsiteX3" fmla="*/ 3890963 w 3890963"/>
              <a:gd name="connsiteY3" fmla="*/ 576263 h 1724025"/>
              <a:gd name="connsiteX4" fmla="*/ 3890963 w 3890963"/>
              <a:gd name="connsiteY4" fmla="*/ 1724025 h 172402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890963" h="1724025">
                <a:moveTo>
                  <a:pt x="0" y="1709738"/>
                </a:moveTo>
                <a:lnTo>
                  <a:pt x="0" y="571500"/>
                </a:lnTo>
                <a:lnTo>
                  <a:pt x="1947863" y="0"/>
                </a:lnTo>
                <a:lnTo>
                  <a:pt x="3890963" y="576263"/>
                </a:lnTo>
                <a:lnTo>
                  <a:pt x="3890963" y="1724025"/>
                </a:lnTo>
              </a:path>
            </a:pathLst>
          </a:custGeom>
          <a:no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kern="1200"/>
          </a:p>
        </xdr:txBody>
      </xdr:sp>
      <xdr:cxnSp macro="">
        <xdr:nvCxnSpPr>
          <xdr:cNvPr id="726" name="Straight Connector 725">
            <a:extLst>
              <a:ext uri="{FF2B5EF4-FFF2-40B4-BE49-F238E27FC236}">
                <a16:creationId xmlns:a16="http://schemas.microsoft.com/office/drawing/2014/main" id="{6060231E-A2DC-AF3C-4EDC-7A2DC87D667A}"/>
              </a:ext>
            </a:extLst>
          </xdr:cNvPr>
          <xdr:cNvCxnSpPr/>
        </xdr:nvCxnSpPr>
        <xdr:spPr>
          <a:xfrm>
            <a:off x="966788" y="2809875"/>
            <a:ext cx="328612"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727" name="Rectangle 726">
            <a:extLst>
              <a:ext uri="{FF2B5EF4-FFF2-40B4-BE49-F238E27FC236}">
                <a16:creationId xmlns:a16="http://schemas.microsoft.com/office/drawing/2014/main" id="{A6B62223-BF32-D1F7-92F0-B520E3808D8A}"/>
              </a:ext>
            </a:extLst>
          </xdr:cNvPr>
          <xdr:cNvSpPr/>
        </xdr:nvSpPr>
        <xdr:spPr>
          <a:xfrm>
            <a:off x="4857751" y="2819401"/>
            <a:ext cx="323849" cy="95250"/>
          </a:xfrm>
          <a:prstGeom prst="rect">
            <a:avLst/>
          </a:prstGeom>
          <a:pattFill prst="ltUpDiag">
            <a:fgClr>
              <a:schemeClr val="tx1"/>
            </a:fgClr>
            <a:bgClr>
              <a:schemeClr val="bg1"/>
            </a:bgClr>
          </a:patt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kern="1200"/>
          </a:p>
        </xdr:txBody>
      </xdr:sp>
      <xdr:cxnSp macro="">
        <xdr:nvCxnSpPr>
          <xdr:cNvPr id="728" name="Straight Connector 727">
            <a:extLst>
              <a:ext uri="{FF2B5EF4-FFF2-40B4-BE49-F238E27FC236}">
                <a16:creationId xmlns:a16="http://schemas.microsoft.com/office/drawing/2014/main" id="{D5ED1EE4-AFA0-ACA7-96D1-86AD725CD843}"/>
              </a:ext>
            </a:extLst>
          </xdr:cNvPr>
          <xdr:cNvCxnSpPr/>
        </xdr:nvCxnSpPr>
        <xdr:spPr>
          <a:xfrm>
            <a:off x="4852988" y="2809875"/>
            <a:ext cx="328612"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29" name="Straight Connector 728">
            <a:extLst>
              <a:ext uri="{FF2B5EF4-FFF2-40B4-BE49-F238E27FC236}">
                <a16:creationId xmlns:a16="http://schemas.microsoft.com/office/drawing/2014/main" id="{B7C7560E-47CC-B1D4-B27B-9370ECD666D0}"/>
              </a:ext>
            </a:extLst>
          </xdr:cNvPr>
          <xdr:cNvCxnSpPr/>
        </xdr:nvCxnSpPr>
        <xdr:spPr>
          <a:xfrm flipH="1">
            <a:off x="419101" y="2809875"/>
            <a:ext cx="495300"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730" name="Straight Connector 729">
            <a:extLst>
              <a:ext uri="{FF2B5EF4-FFF2-40B4-BE49-F238E27FC236}">
                <a16:creationId xmlns:a16="http://schemas.microsoft.com/office/drawing/2014/main" id="{D9C1B0ED-83A5-E272-BF9F-6EC999E163AC}"/>
              </a:ext>
            </a:extLst>
          </xdr:cNvPr>
          <xdr:cNvCxnSpPr/>
        </xdr:nvCxnSpPr>
        <xdr:spPr>
          <a:xfrm flipV="1">
            <a:off x="809625" y="1028701"/>
            <a:ext cx="0" cy="183356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731" name="Straight Connector 730">
            <a:extLst>
              <a:ext uri="{FF2B5EF4-FFF2-40B4-BE49-F238E27FC236}">
                <a16:creationId xmlns:a16="http://schemas.microsoft.com/office/drawing/2014/main" id="{4C3F1EC2-5D33-B88C-65CD-CBADA607D8B3}"/>
              </a:ext>
            </a:extLst>
          </xdr:cNvPr>
          <xdr:cNvCxnSpPr/>
        </xdr:nvCxnSpPr>
        <xdr:spPr>
          <a:xfrm>
            <a:off x="419100" y="1095375"/>
            <a:ext cx="2533652"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732" name="Straight Connector 731">
            <a:extLst>
              <a:ext uri="{FF2B5EF4-FFF2-40B4-BE49-F238E27FC236}">
                <a16:creationId xmlns:a16="http://schemas.microsoft.com/office/drawing/2014/main" id="{3DB99781-1591-2210-67C2-E0E47FFD0430}"/>
              </a:ext>
            </a:extLst>
          </xdr:cNvPr>
          <xdr:cNvCxnSpPr/>
        </xdr:nvCxnSpPr>
        <xdr:spPr>
          <a:xfrm flipH="1">
            <a:off x="776288" y="1062036"/>
            <a:ext cx="66675" cy="666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733" name="Straight Connector 732">
            <a:extLst>
              <a:ext uri="{FF2B5EF4-FFF2-40B4-BE49-F238E27FC236}">
                <a16:creationId xmlns:a16="http://schemas.microsoft.com/office/drawing/2014/main" id="{217F4D18-AD1A-DB25-2252-D1620A20AE1D}"/>
              </a:ext>
            </a:extLst>
          </xdr:cNvPr>
          <xdr:cNvCxnSpPr/>
        </xdr:nvCxnSpPr>
        <xdr:spPr>
          <a:xfrm flipH="1">
            <a:off x="776289" y="2776541"/>
            <a:ext cx="66675" cy="666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734" name="Straight Connector 733">
            <a:extLst>
              <a:ext uri="{FF2B5EF4-FFF2-40B4-BE49-F238E27FC236}">
                <a16:creationId xmlns:a16="http://schemas.microsoft.com/office/drawing/2014/main" id="{7C39126C-7A6C-CD74-633D-753FF0CB24BD}"/>
              </a:ext>
            </a:extLst>
          </xdr:cNvPr>
          <xdr:cNvCxnSpPr/>
        </xdr:nvCxnSpPr>
        <xdr:spPr>
          <a:xfrm>
            <a:off x="742951" y="1666876"/>
            <a:ext cx="328613"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735" name="Straight Connector 734">
            <a:extLst>
              <a:ext uri="{FF2B5EF4-FFF2-40B4-BE49-F238E27FC236}">
                <a16:creationId xmlns:a16="http://schemas.microsoft.com/office/drawing/2014/main" id="{0777F706-5624-DB24-236C-28F682DA5F33}"/>
              </a:ext>
            </a:extLst>
          </xdr:cNvPr>
          <xdr:cNvCxnSpPr/>
        </xdr:nvCxnSpPr>
        <xdr:spPr>
          <a:xfrm flipH="1">
            <a:off x="776288" y="1633536"/>
            <a:ext cx="66675" cy="666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736" name="Straight Connector 735">
            <a:extLst>
              <a:ext uri="{FF2B5EF4-FFF2-40B4-BE49-F238E27FC236}">
                <a16:creationId xmlns:a16="http://schemas.microsoft.com/office/drawing/2014/main" id="{0ABD8DF5-382A-BB70-5E54-C817EE5A9164}"/>
              </a:ext>
            </a:extLst>
          </xdr:cNvPr>
          <xdr:cNvCxnSpPr/>
        </xdr:nvCxnSpPr>
        <xdr:spPr>
          <a:xfrm flipV="1">
            <a:off x="485771" y="1028702"/>
            <a:ext cx="0" cy="183356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737" name="Straight Connector 736">
            <a:extLst>
              <a:ext uri="{FF2B5EF4-FFF2-40B4-BE49-F238E27FC236}">
                <a16:creationId xmlns:a16="http://schemas.microsoft.com/office/drawing/2014/main" id="{5F211F5B-62D9-72E0-CD46-DC1D665F779C}"/>
              </a:ext>
            </a:extLst>
          </xdr:cNvPr>
          <xdr:cNvCxnSpPr/>
        </xdr:nvCxnSpPr>
        <xdr:spPr>
          <a:xfrm flipH="1">
            <a:off x="452434" y="1062037"/>
            <a:ext cx="66675" cy="666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738" name="Straight Connector 737">
            <a:extLst>
              <a:ext uri="{FF2B5EF4-FFF2-40B4-BE49-F238E27FC236}">
                <a16:creationId xmlns:a16="http://schemas.microsoft.com/office/drawing/2014/main" id="{768A3C06-AA6D-2D2A-213B-BC9287E9C83F}"/>
              </a:ext>
            </a:extLst>
          </xdr:cNvPr>
          <xdr:cNvCxnSpPr/>
        </xdr:nvCxnSpPr>
        <xdr:spPr>
          <a:xfrm flipH="1">
            <a:off x="452435" y="2776542"/>
            <a:ext cx="66675" cy="666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739" name="Straight Connector 738">
            <a:extLst>
              <a:ext uri="{FF2B5EF4-FFF2-40B4-BE49-F238E27FC236}">
                <a16:creationId xmlns:a16="http://schemas.microsoft.com/office/drawing/2014/main" id="{EE664A53-C583-2DAF-800F-01AFA295D428}"/>
              </a:ext>
            </a:extLst>
          </xdr:cNvPr>
          <xdr:cNvCxnSpPr/>
        </xdr:nvCxnSpPr>
        <xdr:spPr>
          <a:xfrm>
            <a:off x="1133476" y="2971800"/>
            <a:ext cx="0" cy="47148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740" name="Straight Connector 739">
            <a:extLst>
              <a:ext uri="{FF2B5EF4-FFF2-40B4-BE49-F238E27FC236}">
                <a16:creationId xmlns:a16="http://schemas.microsoft.com/office/drawing/2014/main" id="{F96AF089-58C3-9A83-7353-BC177EAC8168}"/>
              </a:ext>
            </a:extLst>
          </xdr:cNvPr>
          <xdr:cNvCxnSpPr/>
        </xdr:nvCxnSpPr>
        <xdr:spPr>
          <a:xfrm>
            <a:off x="1066803" y="3095625"/>
            <a:ext cx="4010022"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741" name="Straight Connector 740">
            <a:extLst>
              <a:ext uri="{FF2B5EF4-FFF2-40B4-BE49-F238E27FC236}">
                <a16:creationId xmlns:a16="http://schemas.microsoft.com/office/drawing/2014/main" id="{D2CC84AC-2A0F-96F9-311E-6F5B679FC61C}"/>
              </a:ext>
            </a:extLst>
          </xdr:cNvPr>
          <xdr:cNvCxnSpPr/>
        </xdr:nvCxnSpPr>
        <xdr:spPr>
          <a:xfrm flipH="1">
            <a:off x="1100133" y="3062289"/>
            <a:ext cx="66675" cy="666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742" name="Straight Connector 741">
            <a:extLst>
              <a:ext uri="{FF2B5EF4-FFF2-40B4-BE49-F238E27FC236}">
                <a16:creationId xmlns:a16="http://schemas.microsoft.com/office/drawing/2014/main" id="{1580BED9-799D-581F-46AB-82239C5670E5}"/>
              </a:ext>
            </a:extLst>
          </xdr:cNvPr>
          <xdr:cNvCxnSpPr/>
        </xdr:nvCxnSpPr>
        <xdr:spPr>
          <a:xfrm>
            <a:off x="1066803" y="3381375"/>
            <a:ext cx="4000497"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743" name="Straight Connector 742">
            <a:extLst>
              <a:ext uri="{FF2B5EF4-FFF2-40B4-BE49-F238E27FC236}">
                <a16:creationId xmlns:a16="http://schemas.microsoft.com/office/drawing/2014/main" id="{48EB7757-3166-8AD0-9E67-5EE045F9D10E}"/>
              </a:ext>
            </a:extLst>
          </xdr:cNvPr>
          <xdr:cNvCxnSpPr/>
        </xdr:nvCxnSpPr>
        <xdr:spPr>
          <a:xfrm flipH="1">
            <a:off x="1100133" y="3348039"/>
            <a:ext cx="66675" cy="666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744" name="Straight Connector 743">
            <a:extLst>
              <a:ext uri="{FF2B5EF4-FFF2-40B4-BE49-F238E27FC236}">
                <a16:creationId xmlns:a16="http://schemas.microsoft.com/office/drawing/2014/main" id="{BBEB40D9-B02E-E1E1-826E-D9A0C03E81D9}"/>
              </a:ext>
            </a:extLst>
          </xdr:cNvPr>
          <xdr:cNvCxnSpPr/>
        </xdr:nvCxnSpPr>
        <xdr:spPr>
          <a:xfrm>
            <a:off x="5019676" y="2971800"/>
            <a:ext cx="0" cy="47148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745" name="Straight Connector 744">
            <a:extLst>
              <a:ext uri="{FF2B5EF4-FFF2-40B4-BE49-F238E27FC236}">
                <a16:creationId xmlns:a16="http://schemas.microsoft.com/office/drawing/2014/main" id="{FF9D5DDE-8F83-989C-888D-0F08CE05FCE0}"/>
              </a:ext>
            </a:extLst>
          </xdr:cNvPr>
          <xdr:cNvCxnSpPr/>
        </xdr:nvCxnSpPr>
        <xdr:spPr>
          <a:xfrm flipH="1">
            <a:off x="4986333" y="3062289"/>
            <a:ext cx="66675" cy="666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746" name="Straight Connector 745">
            <a:extLst>
              <a:ext uri="{FF2B5EF4-FFF2-40B4-BE49-F238E27FC236}">
                <a16:creationId xmlns:a16="http://schemas.microsoft.com/office/drawing/2014/main" id="{7230F923-1127-D287-4FEF-E2C8E2DCA934}"/>
              </a:ext>
            </a:extLst>
          </xdr:cNvPr>
          <xdr:cNvCxnSpPr/>
        </xdr:nvCxnSpPr>
        <xdr:spPr>
          <a:xfrm flipH="1">
            <a:off x="4986333" y="3348039"/>
            <a:ext cx="66675" cy="666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747" name="Straight Connector 746">
            <a:extLst>
              <a:ext uri="{FF2B5EF4-FFF2-40B4-BE49-F238E27FC236}">
                <a16:creationId xmlns:a16="http://schemas.microsoft.com/office/drawing/2014/main" id="{82CC6819-9F53-3232-986A-36E435121EBE}"/>
              </a:ext>
            </a:extLst>
          </xdr:cNvPr>
          <xdr:cNvCxnSpPr/>
        </xdr:nvCxnSpPr>
        <xdr:spPr>
          <a:xfrm>
            <a:off x="3076586" y="2686047"/>
            <a:ext cx="0" cy="47148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748" name="Straight Connector 747">
            <a:extLst>
              <a:ext uri="{FF2B5EF4-FFF2-40B4-BE49-F238E27FC236}">
                <a16:creationId xmlns:a16="http://schemas.microsoft.com/office/drawing/2014/main" id="{34A5EF14-7F2C-A338-C563-64E5B28216EA}"/>
              </a:ext>
            </a:extLst>
          </xdr:cNvPr>
          <xdr:cNvCxnSpPr/>
        </xdr:nvCxnSpPr>
        <xdr:spPr>
          <a:xfrm flipH="1">
            <a:off x="3043243" y="3062286"/>
            <a:ext cx="66675" cy="666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749" name="Straight Connector 748">
            <a:extLst>
              <a:ext uri="{FF2B5EF4-FFF2-40B4-BE49-F238E27FC236}">
                <a16:creationId xmlns:a16="http://schemas.microsoft.com/office/drawing/2014/main" id="{638DC35F-9487-BFEC-E9EF-52584BB4CFBB}"/>
              </a:ext>
            </a:extLst>
          </xdr:cNvPr>
          <xdr:cNvCxnSpPr/>
        </xdr:nvCxnSpPr>
        <xdr:spPr>
          <a:xfrm>
            <a:off x="4681539" y="1666876"/>
            <a:ext cx="280988" cy="0"/>
          </a:xfrm>
          <a:prstGeom prst="line">
            <a:avLst/>
          </a:prstGeom>
        </xdr:spPr>
        <xdr:style>
          <a:lnRef idx="1">
            <a:schemeClr val="accent1"/>
          </a:lnRef>
          <a:fillRef idx="0">
            <a:schemeClr val="accent1"/>
          </a:fillRef>
          <a:effectRef idx="0">
            <a:schemeClr val="accent1"/>
          </a:effectRef>
          <a:fontRef idx="minor">
            <a:schemeClr val="tx1"/>
          </a:fontRef>
        </xdr:style>
      </xdr:cxnSp>
      <xdr:sp macro="" textlink="">
        <xdr:nvSpPr>
          <xdr:cNvPr id="750" name="Arc 749">
            <a:extLst>
              <a:ext uri="{FF2B5EF4-FFF2-40B4-BE49-F238E27FC236}">
                <a16:creationId xmlns:a16="http://schemas.microsoft.com/office/drawing/2014/main" id="{BF810950-B539-DCDB-4A77-9FC62933326E}"/>
              </a:ext>
            </a:extLst>
          </xdr:cNvPr>
          <xdr:cNvSpPr/>
        </xdr:nvSpPr>
        <xdr:spPr>
          <a:xfrm rot="13320143">
            <a:off x="4724399" y="1547812"/>
            <a:ext cx="161926" cy="161926"/>
          </a:xfrm>
          <a:prstGeom prst="arc">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tr-TR" sz="1100" kern="1200"/>
          </a:p>
        </xdr:txBody>
      </xdr:sp>
      <xdr:cxnSp macro="">
        <xdr:nvCxnSpPr>
          <xdr:cNvPr id="751" name="Straight Connector 750">
            <a:extLst>
              <a:ext uri="{FF2B5EF4-FFF2-40B4-BE49-F238E27FC236}">
                <a16:creationId xmlns:a16="http://schemas.microsoft.com/office/drawing/2014/main" id="{C70B3EAF-C729-8A21-BA12-69FA925ABFD6}"/>
              </a:ext>
            </a:extLst>
          </xdr:cNvPr>
          <xdr:cNvCxnSpPr/>
        </xdr:nvCxnSpPr>
        <xdr:spPr>
          <a:xfrm>
            <a:off x="1133474" y="1952626"/>
            <a:ext cx="3890964" cy="0"/>
          </a:xfrm>
          <a:prstGeom prst="line">
            <a:avLst/>
          </a:prstGeom>
          <a:no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752" name="Straight Connector 751">
            <a:extLst>
              <a:ext uri="{FF2B5EF4-FFF2-40B4-BE49-F238E27FC236}">
                <a16:creationId xmlns:a16="http://schemas.microsoft.com/office/drawing/2014/main" id="{14F8FCC9-737F-A655-F74E-3AA7A4610BC9}"/>
              </a:ext>
            </a:extLst>
          </xdr:cNvPr>
          <xdr:cNvCxnSpPr/>
        </xdr:nvCxnSpPr>
        <xdr:spPr>
          <a:xfrm>
            <a:off x="3076575" y="1100138"/>
            <a:ext cx="0" cy="857250"/>
          </a:xfrm>
          <a:prstGeom prst="line">
            <a:avLst/>
          </a:prstGeom>
          <a:no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753" name="Straight Connector 752">
            <a:extLst>
              <a:ext uri="{FF2B5EF4-FFF2-40B4-BE49-F238E27FC236}">
                <a16:creationId xmlns:a16="http://schemas.microsoft.com/office/drawing/2014/main" id="{EE82E093-5659-91E4-BC37-C7971F75E2B4}"/>
              </a:ext>
            </a:extLst>
          </xdr:cNvPr>
          <xdr:cNvCxnSpPr/>
        </xdr:nvCxnSpPr>
        <xdr:spPr>
          <a:xfrm>
            <a:off x="2752725" y="1190625"/>
            <a:ext cx="0" cy="761999"/>
          </a:xfrm>
          <a:prstGeom prst="line">
            <a:avLst/>
          </a:prstGeom>
          <a:no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754" name="Straight Connector 753">
            <a:extLst>
              <a:ext uri="{FF2B5EF4-FFF2-40B4-BE49-F238E27FC236}">
                <a16:creationId xmlns:a16="http://schemas.microsoft.com/office/drawing/2014/main" id="{5B0848AB-13DF-1216-4E95-32B673B43A0A}"/>
              </a:ext>
            </a:extLst>
          </xdr:cNvPr>
          <xdr:cNvCxnSpPr/>
        </xdr:nvCxnSpPr>
        <xdr:spPr>
          <a:xfrm>
            <a:off x="2428874" y="1281113"/>
            <a:ext cx="0" cy="671511"/>
          </a:xfrm>
          <a:prstGeom prst="line">
            <a:avLst/>
          </a:prstGeom>
          <a:no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755" name="Straight Connector 754">
            <a:extLst>
              <a:ext uri="{FF2B5EF4-FFF2-40B4-BE49-F238E27FC236}">
                <a16:creationId xmlns:a16="http://schemas.microsoft.com/office/drawing/2014/main" id="{6751113A-CA48-8E7F-E90A-693B5459E9CA}"/>
              </a:ext>
            </a:extLst>
          </xdr:cNvPr>
          <xdr:cNvCxnSpPr/>
        </xdr:nvCxnSpPr>
        <xdr:spPr>
          <a:xfrm>
            <a:off x="2105023" y="1381125"/>
            <a:ext cx="0" cy="576263"/>
          </a:xfrm>
          <a:prstGeom prst="line">
            <a:avLst/>
          </a:prstGeom>
          <a:no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756" name="Straight Connector 755">
            <a:extLst>
              <a:ext uri="{FF2B5EF4-FFF2-40B4-BE49-F238E27FC236}">
                <a16:creationId xmlns:a16="http://schemas.microsoft.com/office/drawing/2014/main" id="{F5F2DC2B-8DAA-8C3C-BBC5-B0A4FA700A65}"/>
              </a:ext>
            </a:extLst>
          </xdr:cNvPr>
          <xdr:cNvCxnSpPr/>
        </xdr:nvCxnSpPr>
        <xdr:spPr>
          <a:xfrm>
            <a:off x="1781167" y="1471613"/>
            <a:ext cx="0" cy="481006"/>
          </a:xfrm>
          <a:prstGeom prst="line">
            <a:avLst/>
          </a:prstGeom>
          <a:no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757" name="Straight Connector 756">
            <a:extLst>
              <a:ext uri="{FF2B5EF4-FFF2-40B4-BE49-F238E27FC236}">
                <a16:creationId xmlns:a16="http://schemas.microsoft.com/office/drawing/2014/main" id="{0E81456B-BEBB-B1CC-FF61-C0A86077F8C6}"/>
              </a:ext>
            </a:extLst>
          </xdr:cNvPr>
          <xdr:cNvCxnSpPr/>
        </xdr:nvCxnSpPr>
        <xdr:spPr>
          <a:xfrm>
            <a:off x="1457311" y="1566863"/>
            <a:ext cx="0" cy="385752"/>
          </a:xfrm>
          <a:prstGeom prst="line">
            <a:avLst/>
          </a:prstGeom>
          <a:no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758" name="Straight Connector 757">
            <a:extLst>
              <a:ext uri="{FF2B5EF4-FFF2-40B4-BE49-F238E27FC236}">
                <a16:creationId xmlns:a16="http://schemas.microsoft.com/office/drawing/2014/main" id="{3FD04951-12EE-2C37-2DE1-08229C5B8237}"/>
              </a:ext>
            </a:extLst>
          </xdr:cNvPr>
          <xdr:cNvCxnSpPr/>
        </xdr:nvCxnSpPr>
        <xdr:spPr>
          <a:xfrm>
            <a:off x="2752725" y="1195388"/>
            <a:ext cx="328613" cy="762000"/>
          </a:xfrm>
          <a:prstGeom prst="line">
            <a:avLst/>
          </a:prstGeom>
          <a:no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759" name="Straight Connector 758">
            <a:extLst>
              <a:ext uri="{FF2B5EF4-FFF2-40B4-BE49-F238E27FC236}">
                <a16:creationId xmlns:a16="http://schemas.microsoft.com/office/drawing/2014/main" id="{14F2C8A9-E2EF-8CFF-0674-5057AD74F06C}"/>
              </a:ext>
            </a:extLst>
          </xdr:cNvPr>
          <xdr:cNvCxnSpPr/>
        </xdr:nvCxnSpPr>
        <xdr:spPr>
          <a:xfrm>
            <a:off x="2428875" y="1290638"/>
            <a:ext cx="323850" cy="661987"/>
          </a:xfrm>
          <a:prstGeom prst="line">
            <a:avLst/>
          </a:prstGeom>
          <a:no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760" name="Straight Connector 759">
            <a:extLst>
              <a:ext uri="{FF2B5EF4-FFF2-40B4-BE49-F238E27FC236}">
                <a16:creationId xmlns:a16="http://schemas.microsoft.com/office/drawing/2014/main" id="{D58C9127-6C7A-390B-7AA8-912CFA50E2D8}"/>
              </a:ext>
            </a:extLst>
          </xdr:cNvPr>
          <xdr:cNvCxnSpPr/>
        </xdr:nvCxnSpPr>
        <xdr:spPr>
          <a:xfrm>
            <a:off x="2105025" y="1381125"/>
            <a:ext cx="323850" cy="571500"/>
          </a:xfrm>
          <a:prstGeom prst="line">
            <a:avLst/>
          </a:prstGeom>
          <a:no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761" name="Straight Connector 760">
            <a:extLst>
              <a:ext uri="{FF2B5EF4-FFF2-40B4-BE49-F238E27FC236}">
                <a16:creationId xmlns:a16="http://schemas.microsoft.com/office/drawing/2014/main" id="{9316E008-95A6-1828-0167-A2B84EE65CA5}"/>
              </a:ext>
            </a:extLst>
          </xdr:cNvPr>
          <xdr:cNvCxnSpPr/>
        </xdr:nvCxnSpPr>
        <xdr:spPr>
          <a:xfrm flipH="1">
            <a:off x="3103901" y="736260"/>
            <a:ext cx="88337" cy="28893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762" name="Straight Connector 761">
            <a:extLst>
              <a:ext uri="{FF2B5EF4-FFF2-40B4-BE49-F238E27FC236}">
                <a16:creationId xmlns:a16="http://schemas.microsoft.com/office/drawing/2014/main" id="{6C87B9DD-DD67-E4ED-AF60-2A16F4567664}"/>
              </a:ext>
            </a:extLst>
          </xdr:cNvPr>
          <xdr:cNvCxnSpPr/>
        </xdr:nvCxnSpPr>
        <xdr:spPr>
          <a:xfrm>
            <a:off x="3109913" y="771525"/>
            <a:ext cx="2066925" cy="612986"/>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763" name="Straight Connector 762">
            <a:extLst>
              <a:ext uri="{FF2B5EF4-FFF2-40B4-BE49-F238E27FC236}">
                <a16:creationId xmlns:a16="http://schemas.microsoft.com/office/drawing/2014/main" id="{CFA2F290-8B1A-D9EE-BF30-FC57842850F8}"/>
              </a:ext>
            </a:extLst>
          </xdr:cNvPr>
          <xdr:cNvCxnSpPr/>
        </xdr:nvCxnSpPr>
        <xdr:spPr>
          <a:xfrm>
            <a:off x="3157538" y="742950"/>
            <a:ext cx="33338" cy="9525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764" name="Straight Connector 763">
            <a:extLst>
              <a:ext uri="{FF2B5EF4-FFF2-40B4-BE49-F238E27FC236}">
                <a16:creationId xmlns:a16="http://schemas.microsoft.com/office/drawing/2014/main" id="{4C210F12-56FD-E05F-0F96-BA439FBEC8D7}"/>
              </a:ext>
            </a:extLst>
          </xdr:cNvPr>
          <xdr:cNvCxnSpPr/>
        </xdr:nvCxnSpPr>
        <xdr:spPr>
          <a:xfrm flipH="1">
            <a:off x="5051764" y="1312522"/>
            <a:ext cx="88337" cy="28893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765" name="Straight Connector 764">
            <a:extLst>
              <a:ext uri="{FF2B5EF4-FFF2-40B4-BE49-F238E27FC236}">
                <a16:creationId xmlns:a16="http://schemas.microsoft.com/office/drawing/2014/main" id="{ADE2EBC8-E19B-2899-C5E7-2EC0B75418B1}"/>
              </a:ext>
            </a:extLst>
          </xdr:cNvPr>
          <xdr:cNvCxnSpPr/>
        </xdr:nvCxnSpPr>
        <xdr:spPr>
          <a:xfrm>
            <a:off x="5105401" y="1319212"/>
            <a:ext cx="33338" cy="9525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766" name="Straight Connector 765">
            <a:extLst>
              <a:ext uri="{FF2B5EF4-FFF2-40B4-BE49-F238E27FC236}">
                <a16:creationId xmlns:a16="http://schemas.microsoft.com/office/drawing/2014/main" id="{D2F0328F-4002-63D5-286B-7BCF3B73C8DB}"/>
              </a:ext>
            </a:extLst>
          </xdr:cNvPr>
          <xdr:cNvCxnSpPr/>
        </xdr:nvCxnSpPr>
        <xdr:spPr>
          <a:xfrm>
            <a:off x="1781175" y="1481138"/>
            <a:ext cx="323850" cy="471487"/>
          </a:xfrm>
          <a:prstGeom prst="line">
            <a:avLst/>
          </a:prstGeom>
          <a:no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767" name="Straight Connector 766">
            <a:extLst>
              <a:ext uri="{FF2B5EF4-FFF2-40B4-BE49-F238E27FC236}">
                <a16:creationId xmlns:a16="http://schemas.microsoft.com/office/drawing/2014/main" id="{597C07A9-91FB-B6D2-CAAC-AC8749915246}"/>
              </a:ext>
            </a:extLst>
          </xdr:cNvPr>
          <xdr:cNvCxnSpPr/>
        </xdr:nvCxnSpPr>
        <xdr:spPr>
          <a:xfrm>
            <a:off x="1457325" y="1576388"/>
            <a:ext cx="323851" cy="380999"/>
          </a:xfrm>
          <a:prstGeom prst="line">
            <a:avLst/>
          </a:prstGeom>
          <a:no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768" name="Straight Connector 767">
            <a:extLst>
              <a:ext uri="{FF2B5EF4-FFF2-40B4-BE49-F238E27FC236}">
                <a16:creationId xmlns:a16="http://schemas.microsoft.com/office/drawing/2014/main" id="{738B97DA-4E18-D585-AAEE-A0152509850E}"/>
              </a:ext>
            </a:extLst>
          </xdr:cNvPr>
          <xdr:cNvCxnSpPr>
            <a:stCxn id="725" idx="1"/>
          </xdr:cNvCxnSpPr>
        </xdr:nvCxnSpPr>
        <xdr:spPr>
          <a:xfrm>
            <a:off x="1133475" y="1666875"/>
            <a:ext cx="323851" cy="285749"/>
          </a:xfrm>
          <a:prstGeom prst="line">
            <a:avLst/>
          </a:prstGeom>
          <a:no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769" name="Straight Connector 768">
            <a:extLst>
              <a:ext uri="{FF2B5EF4-FFF2-40B4-BE49-F238E27FC236}">
                <a16:creationId xmlns:a16="http://schemas.microsoft.com/office/drawing/2014/main" id="{3B688101-5A2E-222F-4B80-623D0821AA6E}"/>
              </a:ext>
            </a:extLst>
          </xdr:cNvPr>
          <xdr:cNvCxnSpPr/>
        </xdr:nvCxnSpPr>
        <xdr:spPr>
          <a:xfrm>
            <a:off x="3400439" y="1190625"/>
            <a:ext cx="0" cy="761999"/>
          </a:xfrm>
          <a:prstGeom prst="line">
            <a:avLst/>
          </a:prstGeom>
          <a:no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770" name="Straight Connector 769">
            <a:extLst>
              <a:ext uri="{FF2B5EF4-FFF2-40B4-BE49-F238E27FC236}">
                <a16:creationId xmlns:a16="http://schemas.microsoft.com/office/drawing/2014/main" id="{79771565-FD37-81B0-BC60-EEBEE14F925B}"/>
              </a:ext>
            </a:extLst>
          </xdr:cNvPr>
          <xdr:cNvCxnSpPr/>
        </xdr:nvCxnSpPr>
        <xdr:spPr>
          <a:xfrm>
            <a:off x="3724289" y="1281113"/>
            <a:ext cx="0" cy="671511"/>
          </a:xfrm>
          <a:prstGeom prst="line">
            <a:avLst/>
          </a:prstGeom>
          <a:no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771" name="Straight Connector 770">
            <a:extLst>
              <a:ext uri="{FF2B5EF4-FFF2-40B4-BE49-F238E27FC236}">
                <a16:creationId xmlns:a16="http://schemas.microsoft.com/office/drawing/2014/main" id="{BE5228A5-B203-FAB6-BBB3-EAD2CF84EF9B}"/>
              </a:ext>
            </a:extLst>
          </xdr:cNvPr>
          <xdr:cNvCxnSpPr/>
        </xdr:nvCxnSpPr>
        <xdr:spPr>
          <a:xfrm>
            <a:off x="4048139" y="1381125"/>
            <a:ext cx="0" cy="576263"/>
          </a:xfrm>
          <a:prstGeom prst="line">
            <a:avLst/>
          </a:prstGeom>
          <a:no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772" name="Straight Connector 771">
            <a:extLst>
              <a:ext uri="{FF2B5EF4-FFF2-40B4-BE49-F238E27FC236}">
                <a16:creationId xmlns:a16="http://schemas.microsoft.com/office/drawing/2014/main" id="{B7F79E23-1920-C262-52D0-A22E2310D569}"/>
              </a:ext>
            </a:extLst>
          </xdr:cNvPr>
          <xdr:cNvCxnSpPr/>
        </xdr:nvCxnSpPr>
        <xdr:spPr>
          <a:xfrm>
            <a:off x="4371981" y="1476375"/>
            <a:ext cx="0" cy="481006"/>
          </a:xfrm>
          <a:prstGeom prst="line">
            <a:avLst/>
          </a:prstGeom>
          <a:no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773" name="Straight Connector 772">
            <a:extLst>
              <a:ext uri="{FF2B5EF4-FFF2-40B4-BE49-F238E27FC236}">
                <a16:creationId xmlns:a16="http://schemas.microsoft.com/office/drawing/2014/main" id="{618FB39D-A9DC-4B17-C577-BB0453C68DD9}"/>
              </a:ext>
            </a:extLst>
          </xdr:cNvPr>
          <xdr:cNvCxnSpPr/>
        </xdr:nvCxnSpPr>
        <xdr:spPr>
          <a:xfrm>
            <a:off x="4695826" y="1566863"/>
            <a:ext cx="0" cy="385752"/>
          </a:xfrm>
          <a:prstGeom prst="line">
            <a:avLst/>
          </a:prstGeom>
          <a:no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774" name="Straight Connector 773">
            <a:extLst>
              <a:ext uri="{FF2B5EF4-FFF2-40B4-BE49-F238E27FC236}">
                <a16:creationId xmlns:a16="http://schemas.microsoft.com/office/drawing/2014/main" id="{914D08B5-7C6C-119C-6330-34EFC31EDA47}"/>
              </a:ext>
            </a:extLst>
          </xdr:cNvPr>
          <xdr:cNvCxnSpPr/>
        </xdr:nvCxnSpPr>
        <xdr:spPr>
          <a:xfrm flipH="1">
            <a:off x="3076575" y="1195388"/>
            <a:ext cx="328613" cy="752474"/>
          </a:xfrm>
          <a:prstGeom prst="line">
            <a:avLst/>
          </a:prstGeom>
          <a:no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775" name="Straight Connector 774">
            <a:extLst>
              <a:ext uri="{FF2B5EF4-FFF2-40B4-BE49-F238E27FC236}">
                <a16:creationId xmlns:a16="http://schemas.microsoft.com/office/drawing/2014/main" id="{8BA19DCF-C5DD-82E9-E2E3-7F58C5BF1263}"/>
              </a:ext>
            </a:extLst>
          </xdr:cNvPr>
          <xdr:cNvCxnSpPr/>
        </xdr:nvCxnSpPr>
        <xdr:spPr>
          <a:xfrm flipH="1">
            <a:off x="3400425" y="1290638"/>
            <a:ext cx="323850" cy="661986"/>
          </a:xfrm>
          <a:prstGeom prst="line">
            <a:avLst/>
          </a:prstGeom>
          <a:no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776" name="Straight Connector 775">
            <a:extLst>
              <a:ext uri="{FF2B5EF4-FFF2-40B4-BE49-F238E27FC236}">
                <a16:creationId xmlns:a16="http://schemas.microsoft.com/office/drawing/2014/main" id="{F9C41563-4101-4923-60A7-B290DAF423F6}"/>
              </a:ext>
            </a:extLst>
          </xdr:cNvPr>
          <xdr:cNvCxnSpPr/>
        </xdr:nvCxnSpPr>
        <xdr:spPr>
          <a:xfrm flipH="1">
            <a:off x="3724275" y="1385888"/>
            <a:ext cx="328613" cy="566736"/>
          </a:xfrm>
          <a:prstGeom prst="line">
            <a:avLst/>
          </a:prstGeom>
          <a:no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777" name="Straight Connector 776">
            <a:extLst>
              <a:ext uri="{FF2B5EF4-FFF2-40B4-BE49-F238E27FC236}">
                <a16:creationId xmlns:a16="http://schemas.microsoft.com/office/drawing/2014/main" id="{2ECF0320-536F-D664-E77F-141973FBE0A4}"/>
              </a:ext>
            </a:extLst>
          </xdr:cNvPr>
          <xdr:cNvCxnSpPr/>
        </xdr:nvCxnSpPr>
        <xdr:spPr>
          <a:xfrm flipH="1">
            <a:off x="4048125" y="1476375"/>
            <a:ext cx="328613" cy="481011"/>
          </a:xfrm>
          <a:prstGeom prst="line">
            <a:avLst/>
          </a:prstGeom>
          <a:no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778" name="Straight Connector 777">
            <a:extLst>
              <a:ext uri="{FF2B5EF4-FFF2-40B4-BE49-F238E27FC236}">
                <a16:creationId xmlns:a16="http://schemas.microsoft.com/office/drawing/2014/main" id="{B0829B4D-0F36-5649-FBCB-8D06A22B328B}"/>
              </a:ext>
            </a:extLst>
          </xdr:cNvPr>
          <xdr:cNvCxnSpPr/>
        </xdr:nvCxnSpPr>
        <xdr:spPr>
          <a:xfrm flipH="1">
            <a:off x="4371975" y="1571625"/>
            <a:ext cx="323850" cy="380999"/>
          </a:xfrm>
          <a:prstGeom prst="line">
            <a:avLst/>
          </a:prstGeom>
          <a:no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779" name="Straight Connector 778">
            <a:extLst>
              <a:ext uri="{FF2B5EF4-FFF2-40B4-BE49-F238E27FC236}">
                <a16:creationId xmlns:a16="http://schemas.microsoft.com/office/drawing/2014/main" id="{7E67625A-B8D9-B797-6C89-171D90A8E9D7}"/>
              </a:ext>
            </a:extLst>
          </xdr:cNvPr>
          <xdr:cNvCxnSpPr>
            <a:stCxn id="725" idx="3"/>
          </xdr:cNvCxnSpPr>
        </xdr:nvCxnSpPr>
        <xdr:spPr>
          <a:xfrm flipH="1">
            <a:off x="4695824" y="1671638"/>
            <a:ext cx="328614" cy="280986"/>
          </a:xfrm>
          <a:prstGeom prst="line">
            <a:avLst/>
          </a:prstGeom>
          <a:no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780" name="Straight Connector 779">
            <a:extLst>
              <a:ext uri="{FF2B5EF4-FFF2-40B4-BE49-F238E27FC236}">
                <a16:creationId xmlns:a16="http://schemas.microsoft.com/office/drawing/2014/main" id="{19A34F86-D23E-E986-344C-2682FA3F3E7D}"/>
              </a:ext>
            </a:extLst>
          </xdr:cNvPr>
          <xdr:cNvCxnSpPr/>
        </xdr:nvCxnSpPr>
        <xdr:spPr>
          <a:xfrm>
            <a:off x="1928810" y="1323976"/>
            <a:ext cx="0" cy="733425"/>
          </a:xfrm>
          <a:prstGeom prst="line">
            <a:avLst/>
          </a:prstGeom>
          <a:ln w="9525">
            <a:solidFill>
              <a:schemeClr val="accent6">
                <a:lumMod val="75000"/>
              </a:schemeClr>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781" name="Straight Connector 780">
            <a:extLst>
              <a:ext uri="{FF2B5EF4-FFF2-40B4-BE49-F238E27FC236}">
                <a16:creationId xmlns:a16="http://schemas.microsoft.com/office/drawing/2014/main" id="{DFE17CC7-F530-C732-AEB1-4E173B3CB701}"/>
              </a:ext>
            </a:extLst>
          </xdr:cNvPr>
          <xdr:cNvCxnSpPr/>
        </xdr:nvCxnSpPr>
        <xdr:spPr>
          <a:xfrm>
            <a:off x="1962148" y="1323976"/>
            <a:ext cx="0" cy="733425"/>
          </a:xfrm>
          <a:prstGeom prst="line">
            <a:avLst/>
          </a:prstGeom>
          <a:ln w="9525">
            <a:solidFill>
              <a:schemeClr val="accent6">
                <a:lumMod val="75000"/>
              </a:schemeClr>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782" name="Straight Connector 781">
            <a:extLst>
              <a:ext uri="{FF2B5EF4-FFF2-40B4-BE49-F238E27FC236}">
                <a16:creationId xmlns:a16="http://schemas.microsoft.com/office/drawing/2014/main" id="{442086E1-1AB0-7FD1-D60A-8F52F1B18376}"/>
              </a:ext>
            </a:extLst>
          </xdr:cNvPr>
          <xdr:cNvCxnSpPr/>
        </xdr:nvCxnSpPr>
        <xdr:spPr>
          <a:xfrm>
            <a:off x="1781175" y="2014538"/>
            <a:ext cx="0" cy="3048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783" name="Straight Connector 782">
            <a:extLst>
              <a:ext uri="{FF2B5EF4-FFF2-40B4-BE49-F238E27FC236}">
                <a16:creationId xmlns:a16="http://schemas.microsoft.com/office/drawing/2014/main" id="{D68164EF-399F-D2B0-4EB9-AFFC44FBCCA6}"/>
              </a:ext>
            </a:extLst>
          </xdr:cNvPr>
          <xdr:cNvCxnSpPr/>
        </xdr:nvCxnSpPr>
        <xdr:spPr>
          <a:xfrm>
            <a:off x="1719264" y="2238376"/>
            <a:ext cx="442911"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784" name="Straight Connector 783">
            <a:extLst>
              <a:ext uri="{FF2B5EF4-FFF2-40B4-BE49-F238E27FC236}">
                <a16:creationId xmlns:a16="http://schemas.microsoft.com/office/drawing/2014/main" id="{4B4D1F78-2E10-6DD1-560A-553193E811DF}"/>
              </a:ext>
            </a:extLst>
          </xdr:cNvPr>
          <xdr:cNvCxnSpPr/>
        </xdr:nvCxnSpPr>
        <xdr:spPr>
          <a:xfrm flipH="1">
            <a:off x="1743075" y="2205039"/>
            <a:ext cx="71437" cy="7143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785" name="Straight Connector 784">
            <a:extLst>
              <a:ext uri="{FF2B5EF4-FFF2-40B4-BE49-F238E27FC236}">
                <a16:creationId xmlns:a16="http://schemas.microsoft.com/office/drawing/2014/main" id="{170CFDB4-6B3A-7C7F-FDDA-F20FBA49333D}"/>
              </a:ext>
            </a:extLst>
          </xdr:cNvPr>
          <xdr:cNvCxnSpPr/>
        </xdr:nvCxnSpPr>
        <xdr:spPr>
          <a:xfrm>
            <a:off x="2105026" y="2014538"/>
            <a:ext cx="0" cy="3048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786" name="Straight Connector 785">
            <a:extLst>
              <a:ext uri="{FF2B5EF4-FFF2-40B4-BE49-F238E27FC236}">
                <a16:creationId xmlns:a16="http://schemas.microsoft.com/office/drawing/2014/main" id="{AFB89F08-BEA5-FD7E-D552-3F66C5035B73}"/>
              </a:ext>
            </a:extLst>
          </xdr:cNvPr>
          <xdr:cNvCxnSpPr/>
        </xdr:nvCxnSpPr>
        <xdr:spPr>
          <a:xfrm flipH="1">
            <a:off x="2066926" y="2205039"/>
            <a:ext cx="71437" cy="7143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787" name="Straight Connector 786">
            <a:extLst>
              <a:ext uri="{FF2B5EF4-FFF2-40B4-BE49-F238E27FC236}">
                <a16:creationId xmlns:a16="http://schemas.microsoft.com/office/drawing/2014/main" id="{83B4F882-D7ED-5ABB-9360-2DC806A5806F}"/>
              </a:ext>
            </a:extLst>
          </xdr:cNvPr>
          <xdr:cNvCxnSpPr/>
        </xdr:nvCxnSpPr>
        <xdr:spPr>
          <a:xfrm flipH="1" flipV="1">
            <a:off x="3590925" y="1852613"/>
            <a:ext cx="333375" cy="357187"/>
          </a:xfrm>
          <a:prstGeom prst="line">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788" name="Straight Connector 787">
            <a:extLst>
              <a:ext uri="{FF2B5EF4-FFF2-40B4-BE49-F238E27FC236}">
                <a16:creationId xmlns:a16="http://schemas.microsoft.com/office/drawing/2014/main" id="{9304F20C-386A-2973-71C9-E02B695F257C}"/>
              </a:ext>
            </a:extLst>
          </xdr:cNvPr>
          <xdr:cNvCxnSpPr/>
        </xdr:nvCxnSpPr>
        <xdr:spPr>
          <a:xfrm>
            <a:off x="5081583" y="1666876"/>
            <a:ext cx="319092"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789" name="Straight Connector 788">
            <a:extLst>
              <a:ext uri="{FF2B5EF4-FFF2-40B4-BE49-F238E27FC236}">
                <a16:creationId xmlns:a16="http://schemas.microsoft.com/office/drawing/2014/main" id="{15D44AFE-0E47-3E95-A25D-1880723A0C92}"/>
              </a:ext>
            </a:extLst>
          </xdr:cNvPr>
          <xdr:cNvCxnSpPr/>
        </xdr:nvCxnSpPr>
        <xdr:spPr>
          <a:xfrm flipH="1">
            <a:off x="5310184" y="1633538"/>
            <a:ext cx="66675" cy="666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790" name="Straight Connector 789">
            <a:extLst>
              <a:ext uri="{FF2B5EF4-FFF2-40B4-BE49-F238E27FC236}">
                <a16:creationId xmlns:a16="http://schemas.microsoft.com/office/drawing/2014/main" id="{25401F67-7E14-E4FD-58C2-B1A9D8223B7B}"/>
              </a:ext>
            </a:extLst>
          </xdr:cNvPr>
          <xdr:cNvCxnSpPr/>
        </xdr:nvCxnSpPr>
        <xdr:spPr>
          <a:xfrm>
            <a:off x="5081585" y="1952626"/>
            <a:ext cx="319092"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791" name="Straight Connector 790">
            <a:extLst>
              <a:ext uri="{FF2B5EF4-FFF2-40B4-BE49-F238E27FC236}">
                <a16:creationId xmlns:a16="http://schemas.microsoft.com/office/drawing/2014/main" id="{234CAA12-2544-5F33-2F3D-F10F1F782855}"/>
              </a:ext>
            </a:extLst>
          </xdr:cNvPr>
          <xdr:cNvCxnSpPr/>
        </xdr:nvCxnSpPr>
        <xdr:spPr>
          <a:xfrm flipH="1">
            <a:off x="5310186" y="1919288"/>
            <a:ext cx="66675" cy="666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792" name="Straight Connector 791">
            <a:extLst>
              <a:ext uri="{FF2B5EF4-FFF2-40B4-BE49-F238E27FC236}">
                <a16:creationId xmlns:a16="http://schemas.microsoft.com/office/drawing/2014/main" id="{2F7EC4FD-7237-301C-05AA-5D7978474C30}"/>
              </a:ext>
            </a:extLst>
          </xdr:cNvPr>
          <xdr:cNvCxnSpPr/>
        </xdr:nvCxnSpPr>
        <xdr:spPr>
          <a:xfrm>
            <a:off x="5343525" y="1604964"/>
            <a:ext cx="0" cy="409575"/>
          </a:xfrm>
          <a:prstGeom prst="line">
            <a:avLst/>
          </a:prstGeom>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48</xdr:col>
      <xdr:colOff>80960</xdr:colOff>
      <xdr:row>433</xdr:row>
      <xdr:rowOff>80963</xdr:rowOff>
    </xdr:from>
    <xdr:to>
      <xdr:col>55</xdr:col>
      <xdr:colOff>61913</xdr:colOff>
      <xdr:row>441</xdr:row>
      <xdr:rowOff>66676</xdr:rowOff>
    </xdr:to>
    <xdr:grpSp>
      <xdr:nvGrpSpPr>
        <xdr:cNvPr id="824" name="Group 823">
          <a:extLst>
            <a:ext uri="{FF2B5EF4-FFF2-40B4-BE49-F238E27FC236}">
              <a16:creationId xmlns:a16="http://schemas.microsoft.com/office/drawing/2014/main" id="{C6F4F33D-31F0-926A-334F-253686E7702B}"/>
            </a:ext>
          </a:extLst>
        </xdr:cNvPr>
        <xdr:cNvGrpSpPr/>
      </xdr:nvGrpSpPr>
      <xdr:grpSpPr>
        <a:xfrm>
          <a:off x="7853360" y="63241238"/>
          <a:ext cx="1114428" cy="1128713"/>
          <a:chOff x="7853360" y="25703213"/>
          <a:chExt cx="1114428" cy="1128713"/>
        </a:xfrm>
      </xdr:grpSpPr>
      <xdr:grpSp>
        <xdr:nvGrpSpPr>
          <xdr:cNvPr id="799" name="Group 798">
            <a:extLst>
              <a:ext uri="{FF2B5EF4-FFF2-40B4-BE49-F238E27FC236}">
                <a16:creationId xmlns:a16="http://schemas.microsoft.com/office/drawing/2014/main" id="{C4942F41-6DC1-AFFA-2E84-DA30D01AE177}"/>
              </a:ext>
            </a:extLst>
          </xdr:cNvPr>
          <xdr:cNvGrpSpPr/>
        </xdr:nvGrpSpPr>
        <xdr:grpSpPr>
          <a:xfrm>
            <a:off x="8253413" y="25765125"/>
            <a:ext cx="647700" cy="709613"/>
            <a:chOff x="8253413" y="25765125"/>
            <a:chExt cx="647700" cy="709613"/>
          </a:xfrm>
        </xdr:grpSpPr>
        <xdr:sp macro="" textlink="">
          <xdr:nvSpPr>
            <xdr:cNvPr id="795" name="Rectangle: Rounded Corners 794">
              <a:extLst>
                <a:ext uri="{FF2B5EF4-FFF2-40B4-BE49-F238E27FC236}">
                  <a16:creationId xmlns:a16="http://schemas.microsoft.com/office/drawing/2014/main" id="{75BA6D4E-ED31-9056-47B1-FA89A7FA5507}"/>
                </a:ext>
              </a:extLst>
            </xdr:cNvPr>
            <xdr:cNvSpPr/>
          </xdr:nvSpPr>
          <xdr:spPr>
            <a:xfrm>
              <a:off x="8253413" y="25765125"/>
              <a:ext cx="647700" cy="709613"/>
            </a:xfrm>
            <a:prstGeom prst="round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kern="1200"/>
            </a:p>
          </xdr:txBody>
        </xdr:sp>
        <xdr:sp macro="" textlink="">
          <xdr:nvSpPr>
            <xdr:cNvPr id="796" name="Rectangle: Rounded Corners 795">
              <a:extLst>
                <a:ext uri="{FF2B5EF4-FFF2-40B4-BE49-F238E27FC236}">
                  <a16:creationId xmlns:a16="http://schemas.microsoft.com/office/drawing/2014/main" id="{C6FE1D72-FA65-4B8D-B745-67C6E7A02141}"/>
                </a:ext>
              </a:extLst>
            </xdr:cNvPr>
            <xdr:cNvSpPr/>
          </xdr:nvSpPr>
          <xdr:spPr>
            <a:xfrm>
              <a:off x="8323381" y="25841327"/>
              <a:ext cx="517288" cy="566736"/>
            </a:xfrm>
            <a:prstGeom prst="roundRect">
              <a:avLst/>
            </a:prstGeom>
            <a:solidFill>
              <a:schemeClr val="bg1"/>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kern="1200"/>
            </a:p>
          </xdr:txBody>
        </xdr:sp>
      </xdr:grpSp>
      <xdr:cxnSp macro="">
        <xdr:nvCxnSpPr>
          <xdr:cNvPr id="798" name="Straight Connector 797">
            <a:extLst>
              <a:ext uri="{FF2B5EF4-FFF2-40B4-BE49-F238E27FC236}">
                <a16:creationId xmlns:a16="http://schemas.microsoft.com/office/drawing/2014/main" id="{CDA2FC0C-2109-C388-D91E-655E94428587}"/>
              </a:ext>
            </a:extLst>
          </xdr:cNvPr>
          <xdr:cNvCxnSpPr/>
        </xdr:nvCxnSpPr>
        <xdr:spPr>
          <a:xfrm>
            <a:off x="7853363" y="25765127"/>
            <a:ext cx="428624"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801" name="Straight Connector 800">
            <a:extLst>
              <a:ext uri="{FF2B5EF4-FFF2-40B4-BE49-F238E27FC236}">
                <a16:creationId xmlns:a16="http://schemas.microsoft.com/office/drawing/2014/main" id="{F209D7DE-D321-D406-21C9-1F44CA74C5FF}"/>
              </a:ext>
            </a:extLst>
          </xdr:cNvPr>
          <xdr:cNvCxnSpPr/>
        </xdr:nvCxnSpPr>
        <xdr:spPr>
          <a:xfrm>
            <a:off x="7934325" y="25703213"/>
            <a:ext cx="0" cy="83343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804" name="Straight Connector 803">
            <a:extLst>
              <a:ext uri="{FF2B5EF4-FFF2-40B4-BE49-F238E27FC236}">
                <a16:creationId xmlns:a16="http://schemas.microsoft.com/office/drawing/2014/main" id="{55D9FFE8-6001-9464-93BE-96A5B124BB5B}"/>
              </a:ext>
            </a:extLst>
          </xdr:cNvPr>
          <xdr:cNvCxnSpPr/>
        </xdr:nvCxnSpPr>
        <xdr:spPr>
          <a:xfrm flipH="1">
            <a:off x="7896225" y="25731787"/>
            <a:ext cx="71438" cy="7143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805" name="Straight Connector 804">
            <a:extLst>
              <a:ext uri="{FF2B5EF4-FFF2-40B4-BE49-F238E27FC236}">
                <a16:creationId xmlns:a16="http://schemas.microsoft.com/office/drawing/2014/main" id="{C36F012B-849A-426F-86EA-DC66B8CF0A65}"/>
              </a:ext>
            </a:extLst>
          </xdr:cNvPr>
          <xdr:cNvCxnSpPr/>
        </xdr:nvCxnSpPr>
        <xdr:spPr>
          <a:xfrm>
            <a:off x="7853360" y="26479506"/>
            <a:ext cx="428624"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806" name="Straight Connector 805">
            <a:extLst>
              <a:ext uri="{FF2B5EF4-FFF2-40B4-BE49-F238E27FC236}">
                <a16:creationId xmlns:a16="http://schemas.microsoft.com/office/drawing/2014/main" id="{047A7DB4-B34B-4793-8D0E-99DC4D33D920}"/>
              </a:ext>
            </a:extLst>
          </xdr:cNvPr>
          <xdr:cNvCxnSpPr/>
        </xdr:nvCxnSpPr>
        <xdr:spPr>
          <a:xfrm flipH="1">
            <a:off x="7896222" y="26446166"/>
            <a:ext cx="71438" cy="7143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810" name="Straight Connector 809">
            <a:extLst>
              <a:ext uri="{FF2B5EF4-FFF2-40B4-BE49-F238E27FC236}">
                <a16:creationId xmlns:a16="http://schemas.microsoft.com/office/drawing/2014/main" id="{A9BCECFB-08FA-E9DB-59CA-36B1B3E0034F}"/>
              </a:ext>
            </a:extLst>
          </xdr:cNvPr>
          <xdr:cNvCxnSpPr/>
        </xdr:nvCxnSpPr>
        <xdr:spPr>
          <a:xfrm>
            <a:off x="8258175" y="26441400"/>
            <a:ext cx="0" cy="3905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813" name="Straight Connector 812">
            <a:extLst>
              <a:ext uri="{FF2B5EF4-FFF2-40B4-BE49-F238E27FC236}">
                <a16:creationId xmlns:a16="http://schemas.microsoft.com/office/drawing/2014/main" id="{F5284799-354B-2CDB-A6B1-98BC81A8518C}"/>
              </a:ext>
            </a:extLst>
          </xdr:cNvPr>
          <xdr:cNvCxnSpPr/>
        </xdr:nvCxnSpPr>
        <xdr:spPr>
          <a:xfrm>
            <a:off x="8191501" y="26765250"/>
            <a:ext cx="776287"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814" name="Straight Connector 813">
            <a:extLst>
              <a:ext uri="{FF2B5EF4-FFF2-40B4-BE49-F238E27FC236}">
                <a16:creationId xmlns:a16="http://schemas.microsoft.com/office/drawing/2014/main" id="{8F0CE5FC-D3EB-473D-86A2-54DA68AD0927}"/>
              </a:ext>
            </a:extLst>
          </xdr:cNvPr>
          <xdr:cNvCxnSpPr/>
        </xdr:nvCxnSpPr>
        <xdr:spPr>
          <a:xfrm flipH="1">
            <a:off x="8220075" y="26731912"/>
            <a:ext cx="71438" cy="7143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816" name="Straight Connector 815">
            <a:extLst>
              <a:ext uri="{FF2B5EF4-FFF2-40B4-BE49-F238E27FC236}">
                <a16:creationId xmlns:a16="http://schemas.microsoft.com/office/drawing/2014/main" id="{48D6EFE5-7FC4-4625-B28C-85AA80BA4FDD}"/>
              </a:ext>
            </a:extLst>
          </xdr:cNvPr>
          <xdr:cNvCxnSpPr/>
        </xdr:nvCxnSpPr>
        <xdr:spPr>
          <a:xfrm>
            <a:off x="8905875" y="26441401"/>
            <a:ext cx="0" cy="3905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817" name="Straight Connector 816">
            <a:extLst>
              <a:ext uri="{FF2B5EF4-FFF2-40B4-BE49-F238E27FC236}">
                <a16:creationId xmlns:a16="http://schemas.microsoft.com/office/drawing/2014/main" id="{1B9D592E-9B5A-4C5F-AE64-EC1D4D3457D7}"/>
              </a:ext>
            </a:extLst>
          </xdr:cNvPr>
          <xdr:cNvCxnSpPr/>
        </xdr:nvCxnSpPr>
        <xdr:spPr>
          <a:xfrm flipH="1">
            <a:off x="8867775" y="26731913"/>
            <a:ext cx="71438" cy="7143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820" name="Straight Connector 819">
            <a:extLst>
              <a:ext uri="{FF2B5EF4-FFF2-40B4-BE49-F238E27FC236}">
                <a16:creationId xmlns:a16="http://schemas.microsoft.com/office/drawing/2014/main" id="{48E35D02-1D36-CD0D-2659-B0AF7FC183EE}"/>
              </a:ext>
            </a:extLst>
          </xdr:cNvPr>
          <xdr:cNvCxnSpPr/>
        </xdr:nvCxnSpPr>
        <xdr:spPr>
          <a:xfrm>
            <a:off x="8791576" y="26098501"/>
            <a:ext cx="152400"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822" name="Straight Connector 821">
            <a:extLst>
              <a:ext uri="{FF2B5EF4-FFF2-40B4-BE49-F238E27FC236}">
                <a16:creationId xmlns:a16="http://schemas.microsoft.com/office/drawing/2014/main" id="{6B71D633-F83C-4728-BE82-4CA5CEFA3B1A}"/>
              </a:ext>
            </a:extLst>
          </xdr:cNvPr>
          <xdr:cNvCxnSpPr/>
        </xdr:nvCxnSpPr>
        <xdr:spPr>
          <a:xfrm flipH="1">
            <a:off x="8801101" y="26065163"/>
            <a:ext cx="71438" cy="7143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823" name="Straight Connector 822">
            <a:extLst>
              <a:ext uri="{FF2B5EF4-FFF2-40B4-BE49-F238E27FC236}">
                <a16:creationId xmlns:a16="http://schemas.microsoft.com/office/drawing/2014/main" id="{B8D441DB-D061-44BB-9BA4-005A5705C387}"/>
              </a:ext>
            </a:extLst>
          </xdr:cNvPr>
          <xdr:cNvCxnSpPr/>
        </xdr:nvCxnSpPr>
        <xdr:spPr>
          <a:xfrm flipH="1">
            <a:off x="8863013" y="26065162"/>
            <a:ext cx="71438" cy="71438"/>
          </a:xfrm>
          <a:prstGeom prst="line">
            <a:avLst/>
          </a:prstGeom>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59</xdr:col>
      <xdr:colOff>80965</xdr:colOff>
      <xdr:row>433</xdr:row>
      <xdr:rowOff>80965</xdr:rowOff>
    </xdr:from>
    <xdr:to>
      <xdr:col>65</xdr:col>
      <xdr:colOff>114301</xdr:colOff>
      <xdr:row>439</xdr:row>
      <xdr:rowOff>57152</xdr:rowOff>
    </xdr:to>
    <xdr:grpSp>
      <xdr:nvGrpSpPr>
        <xdr:cNvPr id="842" name="Group 841">
          <a:extLst>
            <a:ext uri="{FF2B5EF4-FFF2-40B4-BE49-F238E27FC236}">
              <a16:creationId xmlns:a16="http://schemas.microsoft.com/office/drawing/2014/main" id="{44B5F116-70FB-4166-0244-69C35E62A698}"/>
            </a:ext>
          </a:extLst>
        </xdr:cNvPr>
        <xdr:cNvGrpSpPr/>
      </xdr:nvGrpSpPr>
      <xdr:grpSpPr>
        <a:xfrm>
          <a:off x="9634540" y="63241240"/>
          <a:ext cx="1004886" cy="833437"/>
          <a:chOff x="9634540" y="25703215"/>
          <a:chExt cx="1004886" cy="833437"/>
        </a:xfrm>
      </xdr:grpSpPr>
      <xdr:grpSp>
        <xdr:nvGrpSpPr>
          <xdr:cNvPr id="836" name="Group 835">
            <a:extLst>
              <a:ext uri="{FF2B5EF4-FFF2-40B4-BE49-F238E27FC236}">
                <a16:creationId xmlns:a16="http://schemas.microsoft.com/office/drawing/2014/main" id="{C7EB8229-F725-50C2-9763-E5EF7EEAB4D8}"/>
              </a:ext>
            </a:extLst>
          </xdr:cNvPr>
          <xdr:cNvGrpSpPr/>
        </xdr:nvGrpSpPr>
        <xdr:grpSpPr>
          <a:xfrm>
            <a:off x="9891722" y="25769890"/>
            <a:ext cx="704850" cy="704850"/>
            <a:chOff x="9667876" y="25741312"/>
            <a:chExt cx="704850" cy="704850"/>
          </a:xfrm>
        </xdr:grpSpPr>
        <xdr:sp macro="" textlink="">
          <xdr:nvSpPr>
            <xdr:cNvPr id="825" name="Oval 824">
              <a:extLst>
                <a:ext uri="{FF2B5EF4-FFF2-40B4-BE49-F238E27FC236}">
                  <a16:creationId xmlns:a16="http://schemas.microsoft.com/office/drawing/2014/main" id="{F403E0F0-E6CA-E10B-40F5-B8521447B4E4}"/>
                </a:ext>
              </a:extLst>
            </xdr:cNvPr>
            <xdr:cNvSpPr/>
          </xdr:nvSpPr>
          <xdr:spPr>
            <a:xfrm>
              <a:off x="9667876" y="25741312"/>
              <a:ext cx="704850" cy="704850"/>
            </a:xfrm>
            <a:prstGeom prst="ellipse">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kern="1200"/>
            </a:p>
          </xdr:txBody>
        </xdr:sp>
        <xdr:sp macro="" textlink="">
          <xdr:nvSpPr>
            <xdr:cNvPr id="826" name="Oval 825">
              <a:extLst>
                <a:ext uri="{FF2B5EF4-FFF2-40B4-BE49-F238E27FC236}">
                  <a16:creationId xmlns:a16="http://schemas.microsoft.com/office/drawing/2014/main" id="{5D67A941-D618-4E81-BB93-7E18C09FB13B}"/>
                </a:ext>
              </a:extLst>
            </xdr:cNvPr>
            <xdr:cNvSpPr/>
          </xdr:nvSpPr>
          <xdr:spPr>
            <a:xfrm>
              <a:off x="9725023" y="25803223"/>
              <a:ext cx="590552" cy="590552"/>
            </a:xfrm>
            <a:prstGeom prst="ellipse">
              <a:avLst/>
            </a:prstGeom>
            <a:solidFill>
              <a:schemeClr val="bg1"/>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kern="1200"/>
            </a:p>
          </xdr:txBody>
        </xdr:sp>
      </xdr:grpSp>
      <xdr:cxnSp macro="">
        <xdr:nvCxnSpPr>
          <xdr:cNvPr id="833" name="Straight Connector 832">
            <a:extLst>
              <a:ext uri="{FF2B5EF4-FFF2-40B4-BE49-F238E27FC236}">
                <a16:creationId xmlns:a16="http://schemas.microsoft.com/office/drawing/2014/main" id="{71A788C2-2D43-4970-9609-1E03F52CFBE4}"/>
              </a:ext>
            </a:extLst>
          </xdr:cNvPr>
          <xdr:cNvCxnSpPr/>
        </xdr:nvCxnSpPr>
        <xdr:spPr>
          <a:xfrm>
            <a:off x="10487026" y="26122322"/>
            <a:ext cx="152400"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834" name="Straight Connector 833">
            <a:extLst>
              <a:ext uri="{FF2B5EF4-FFF2-40B4-BE49-F238E27FC236}">
                <a16:creationId xmlns:a16="http://schemas.microsoft.com/office/drawing/2014/main" id="{CE922527-502D-4741-8846-D237E45621F2}"/>
              </a:ext>
            </a:extLst>
          </xdr:cNvPr>
          <xdr:cNvCxnSpPr/>
        </xdr:nvCxnSpPr>
        <xdr:spPr>
          <a:xfrm flipH="1">
            <a:off x="10496551" y="26088984"/>
            <a:ext cx="71438" cy="7143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835" name="Straight Connector 834">
            <a:extLst>
              <a:ext uri="{FF2B5EF4-FFF2-40B4-BE49-F238E27FC236}">
                <a16:creationId xmlns:a16="http://schemas.microsoft.com/office/drawing/2014/main" id="{6E6BA809-63DE-4B74-981E-1CC3079826E8}"/>
              </a:ext>
            </a:extLst>
          </xdr:cNvPr>
          <xdr:cNvCxnSpPr/>
        </xdr:nvCxnSpPr>
        <xdr:spPr>
          <a:xfrm flipH="1">
            <a:off x="10558463" y="26088983"/>
            <a:ext cx="71438" cy="7143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837" name="Straight Connector 836">
            <a:extLst>
              <a:ext uri="{FF2B5EF4-FFF2-40B4-BE49-F238E27FC236}">
                <a16:creationId xmlns:a16="http://schemas.microsoft.com/office/drawing/2014/main" id="{ED8D2673-4E46-41EF-9349-354E2A3C4EAE}"/>
              </a:ext>
            </a:extLst>
          </xdr:cNvPr>
          <xdr:cNvCxnSpPr/>
        </xdr:nvCxnSpPr>
        <xdr:spPr>
          <a:xfrm>
            <a:off x="9634543" y="25765129"/>
            <a:ext cx="428624"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838" name="Straight Connector 837">
            <a:extLst>
              <a:ext uri="{FF2B5EF4-FFF2-40B4-BE49-F238E27FC236}">
                <a16:creationId xmlns:a16="http://schemas.microsoft.com/office/drawing/2014/main" id="{F89C41DC-5AFC-4C89-A38E-609BEA0D3EC1}"/>
              </a:ext>
            </a:extLst>
          </xdr:cNvPr>
          <xdr:cNvCxnSpPr/>
        </xdr:nvCxnSpPr>
        <xdr:spPr>
          <a:xfrm>
            <a:off x="9715505" y="25703215"/>
            <a:ext cx="0" cy="83343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839" name="Straight Connector 838">
            <a:extLst>
              <a:ext uri="{FF2B5EF4-FFF2-40B4-BE49-F238E27FC236}">
                <a16:creationId xmlns:a16="http://schemas.microsoft.com/office/drawing/2014/main" id="{8A4EDECF-0B53-4D62-9006-155604193874}"/>
              </a:ext>
            </a:extLst>
          </xdr:cNvPr>
          <xdr:cNvCxnSpPr/>
        </xdr:nvCxnSpPr>
        <xdr:spPr>
          <a:xfrm flipH="1">
            <a:off x="9677405" y="25731789"/>
            <a:ext cx="71438" cy="7143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840" name="Straight Connector 839">
            <a:extLst>
              <a:ext uri="{FF2B5EF4-FFF2-40B4-BE49-F238E27FC236}">
                <a16:creationId xmlns:a16="http://schemas.microsoft.com/office/drawing/2014/main" id="{CDBFA43C-F740-468D-844C-6332F30233AD}"/>
              </a:ext>
            </a:extLst>
          </xdr:cNvPr>
          <xdr:cNvCxnSpPr/>
        </xdr:nvCxnSpPr>
        <xdr:spPr>
          <a:xfrm>
            <a:off x="9634540" y="26479508"/>
            <a:ext cx="428624"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841" name="Straight Connector 840">
            <a:extLst>
              <a:ext uri="{FF2B5EF4-FFF2-40B4-BE49-F238E27FC236}">
                <a16:creationId xmlns:a16="http://schemas.microsoft.com/office/drawing/2014/main" id="{AA6A5851-C166-47D8-8010-5AEA1D7A2484}"/>
              </a:ext>
            </a:extLst>
          </xdr:cNvPr>
          <xdr:cNvCxnSpPr/>
        </xdr:nvCxnSpPr>
        <xdr:spPr>
          <a:xfrm flipH="1">
            <a:off x="9677402" y="26446168"/>
            <a:ext cx="71438" cy="71438"/>
          </a:xfrm>
          <a:prstGeom prst="line">
            <a:avLst/>
          </a:prstGeom>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48</xdr:col>
      <xdr:colOff>80960</xdr:colOff>
      <xdr:row>52</xdr:row>
      <xdr:rowOff>80963</xdr:rowOff>
    </xdr:from>
    <xdr:to>
      <xdr:col>55</xdr:col>
      <xdr:colOff>61913</xdr:colOff>
      <xdr:row>60</xdr:row>
      <xdr:rowOff>66676</xdr:rowOff>
    </xdr:to>
    <xdr:grpSp>
      <xdr:nvGrpSpPr>
        <xdr:cNvPr id="843" name="Group 842">
          <a:extLst>
            <a:ext uri="{FF2B5EF4-FFF2-40B4-BE49-F238E27FC236}">
              <a16:creationId xmlns:a16="http://schemas.microsoft.com/office/drawing/2014/main" id="{00EBAC82-6C69-457C-A5DD-8BBB37291C47}"/>
            </a:ext>
          </a:extLst>
        </xdr:cNvPr>
        <xdr:cNvGrpSpPr/>
      </xdr:nvGrpSpPr>
      <xdr:grpSpPr>
        <a:xfrm>
          <a:off x="7853360" y="7891463"/>
          <a:ext cx="1114428" cy="1128713"/>
          <a:chOff x="7853360" y="25703213"/>
          <a:chExt cx="1114428" cy="1128713"/>
        </a:xfrm>
      </xdr:grpSpPr>
      <xdr:grpSp>
        <xdr:nvGrpSpPr>
          <xdr:cNvPr id="844" name="Group 843">
            <a:extLst>
              <a:ext uri="{FF2B5EF4-FFF2-40B4-BE49-F238E27FC236}">
                <a16:creationId xmlns:a16="http://schemas.microsoft.com/office/drawing/2014/main" id="{743BFBDA-0735-F0E8-2C86-4D8EF0B88804}"/>
              </a:ext>
            </a:extLst>
          </xdr:cNvPr>
          <xdr:cNvGrpSpPr/>
        </xdr:nvGrpSpPr>
        <xdr:grpSpPr>
          <a:xfrm>
            <a:off x="8253413" y="25765125"/>
            <a:ext cx="647700" cy="709613"/>
            <a:chOff x="8253413" y="25765125"/>
            <a:chExt cx="647700" cy="709613"/>
          </a:xfrm>
        </xdr:grpSpPr>
        <xdr:sp macro="" textlink="">
          <xdr:nvSpPr>
            <xdr:cNvPr id="858" name="Rectangle: Rounded Corners 857">
              <a:extLst>
                <a:ext uri="{FF2B5EF4-FFF2-40B4-BE49-F238E27FC236}">
                  <a16:creationId xmlns:a16="http://schemas.microsoft.com/office/drawing/2014/main" id="{DA7A6ED7-2483-F198-CDCD-2AFA69A351A1}"/>
                </a:ext>
              </a:extLst>
            </xdr:cNvPr>
            <xdr:cNvSpPr/>
          </xdr:nvSpPr>
          <xdr:spPr>
            <a:xfrm>
              <a:off x="8253413" y="25765125"/>
              <a:ext cx="647700" cy="709613"/>
            </a:xfrm>
            <a:prstGeom prst="round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kern="1200"/>
            </a:p>
          </xdr:txBody>
        </xdr:sp>
        <xdr:sp macro="" textlink="">
          <xdr:nvSpPr>
            <xdr:cNvPr id="859" name="Rectangle: Rounded Corners 858">
              <a:extLst>
                <a:ext uri="{FF2B5EF4-FFF2-40B4-BE49-F238E27FC236}">
                  <a16:creationId xmlns:a16="http://schemas.microsoft.com/office/drawing/2014/main" id="{55600E07-1FF4-F66D-8F69-4B0F783AB23C}"/>
                </a:ext>
              </a:extLst>
            </xdr:cNvPr>
            <xdr:cNvSpPr/>
          </xdr:nvSpPr>
          <xdr:spPr>
            <a:xfrm>
              <a:off x="8323381" y="25841327"/>
              <a:ext cx="517288" cy="566736"/>
            </a:xfrm>
            <a:prstGeom prst="roundRect">
              <a:avLst/>
            </a:prstGeom>
            <a:solidFill>
              <a:schemeClr val="bg1"/>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kern="1200"/>
            </a:p>
          </xdr:txBody>
        </xdr:sp>
      </xdr:grpSp>
      <xdr:cxnSp macro="">
        <xdr:nvCxnSpPr>
          <xdr:cNvPr id="845" name="Straight Connector 844">
            <a:extLst>
              <a:ext uri="{FF2B5EF4-FFF2-40B4-BE49-F238E27FC236}">
                <a16:creationId xmlns:a16="http://schemas.microsoft.com/office/drawing/2014/main" id="{07F00C99-166D-78D6-47E3-1222C5B7ED7D}"/>
              </a:ext>
            </a:extLst>
          </xdr:cNvPr>
          <xdr:cNvCxnSpPr/>
        </xdr:nvCxnSpPr>
        <xdr:spPr>
          <a:xfrm>
            <a:off x="7853363" y="25765127"/>
            <a:ext cx="428624"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846" name="Straight Connector 845">
            <a:extLst>
              <a:ext uri="{FF2B5EF4-FFF2-40B4-BE49-F238E27FC236}">
                <a16:creationId xmlns:a16="http://schemas.microsoft.com/office/drawing/2014/main" id="{68F6248E-9FE5-D9BB-E5B2-7208CA113D82}"/>
              </a:ext>
            </a:extLst>
          </xdr:cNvPr>
          <xdr:cNvCxnSpPr/>
        </xdr:nvCxnSpPr>
        <xdr:spPr>
          <a:xfrm>
            <a:off x="7934325" y="25703213"/>
            <a:ext cx="0" cy="83343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847" name="Straight Connector 846">
            <a:extLst>
              <a:ext uri="{FF2B5EF4-FFF2-40B4-BE49-F238E27FC236}">
                <a16:creationId xmlns:a16="http://schemas.microsoft.com/office/drawing/2014/main" id="{A0396BF0-EAC6-A669-6980-76C1BE7F672D}"/>
              </a:ext>
            </a:extLst>
          </xdr:cNvPr>
          <xdr:cNvCxnSpPr/>
        </xdr:nvCxnSpPr>
        <xdr:spPr>
          <a:xfrm flipH="1">
            <a:off x="7896225" y="25731787"/>
            <a:ext cx="71438" cy="7143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848" name="Straight Connector 847">
            <a:extLst>
              <a:ext uri="{FF2B5EF4-FFF2-40B4-BE49-F238E27FC236}">
                <a16:creationId xmlns:a16="http://schemas.microsoft.com/office/drawing/2014/main" id="{6E669641-C5C5-F932-C7C6-35BD73B8F4C1}"/>
              </a:ext>
            </a:extLst>
          </xdr:cNvPr>
          <xdr:cNvCxnSpPr/>
        </xdr:nvCxnSpPr>
        <xdr:spPr>
          <a:xfrm>
            <a:off x="7853360" y="26479506"/>
            <a:ext cx="428624"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849" name="Straight Connector 848">
            <a:extLst>
              <a:ext uri="{FF2B5EF4-FFF2-40B4-BE49-F238E27FC236}">
                <a16:creationId xmlns:a16="http://schemas.microsoft.com/office/drawing/2014/main" id="{9E2B7481-076E-D72A-20E3-83364C7022F1}"/>
              </a:ext>
            </a:extLst>
          </xdr:cNvPr>
          <xdr:cNvCxnSpPr/>
        </xdr:nvCxnSpPr>
        <xdr:spPr>
          <a:xfrm flipH="1">
            <a:off x="7896222" y="26446166"/>
            <a:ext cx="71438" cy="7143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850" name="Straight Connector 849">
            <a:extLst>
              <a:ext uri="{FF2B5EF4-FFF2-40B4-BE49-F238E27FC236}">
                <a16:creationId xmlns:a16="http://schemas.microsoft.com/office/drawing/2014/main" id="{84C1626F-DA10-6D78-AC56-FF849C14E0F4}"/>
              </a:ext>
            </a:extLst>
          </xdr:cNvPr>
          <xdr:cNvCxnSpPr/>
        </xdr:nvCxnSpPr>
        <xdr:spPr>
          <a:xfrm>
            <a:off x="8258175" y="26441400"/>
            <a:ext cx="0" cy="3905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851" name="Straight Connector 850">
            <a:extLst>
              <a:ext uri="{FF2B5EF4-FFF2-40B4-BE49-F238E27FC236}">
                <a16:creationId xmlns:a16="http://schemas.microsoft.com/office/drawing/2014/main" id="{6D1726CB-9D93-F2DD-B25B-B0C238971D0A}"/>
              </a:ext>
            </a:extLst>
          </xdr:cNvPr>
          <xdr:cNvCxnSpPr/>
        </xdr:nvCxnSpPr>
        <xdr:spPr>
          <a:xfrm>
            <a:off x="8191501" y="26765250"/>
            <a:ext cx="776287"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852" name="Straight Connector 851">
            <a:extLst>
              <a:ext uri="{FF2B5EF4-FFF2-40B4-BE49-F238E27FC236}">
                <a16:creationId xmlns:a16="http://schemas.microsoft.com/office/drawing/2014/main" id="{D887A372-8B1F-D4DB-209A-21524DA66B84}"/>
              </a:ext>
            </a:extLst>
          </xdr:cNvPr>
          <xdr:cNvCxnSpPr/>
        </xdr:nvCxnSpPr>
        <xdr:spPr>
          <a:xfrm flipH="1">
            <a:off x="8220075" y="26731912"/>
            <a:ext cx="71438" cy="7143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853" name="Straight Connector 852">
            <a:extLst>
              <a:ext uri="{FF2B5EF4-FFF2-40B4-BE49-F238E27FC236}">
                <a16:creationId xmlns:a16="http://schemas.microsoft.com/office/drawing/2014/main" id="{2666464C-8CFC-52EB-3774-BD33B2BF1075}"/>
              </a:ext>
            </a:extLst>
          </xdr:cNvPr>
          <xdr:cNvCxnSpPr/>
        </xdr:nvCxnSpPr>
        <xdr:spPr>
          <a:xfrm>
            <a:off x="8905875" y="26441401"/>
            <a:ext cx="0" cy="3905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854" name="Straight Connector 853">
            <a:extLst>
              <a:ext uri="{FF2B5EF4-FFF2-40B4-BE49-F238E27FC236}">
                <a16:creationId xmlns:a16="http://schemas.microsoft.com/office/drawing/2014/main" id="{09323B31-FADA-5188-308D-AF76CAC55C90}"/>
              </a:ext>
            </a:extLst>
          </xdr:cNvPr>
          <xdr:cNvCxnSpPr/>
        </xdr:nvCxnSpPr>
        <xdr:spPr>
          <a:xfrm flipH="1">
            <a:off x="8867775" y="26731913"/>
            <a:ext cx="71438" cy="7143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855" name="Straight Connector 854">
            <a:extLst>
              <a:ext uri="{FF2B5EF4-FFF2-40B4-BE49-F238E27FC236}">
                <a16:creationId xmlns:a16="http://schemas.microsoft.com/office/drawing/2014/main" id="{D8C1A05C-FAB1-B6FE-89C2-1546C3343105}"/>
              </a:ext>
            </a:extLst>
          </xdr:cNvPr>
          <xdr:cNvCxnSpPr/>
        </xdr:nvCxnSpPr>
        <xdr:spPr>
          <a:xfrm>
            <a:off x="8791576" y="26098501"/>
            <a:ext cx="152400"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856" name="Straight Connector 855">
            <a:extLst>
              <a:ext uri="{FF2B5EF4-FFF2-40B4-BE49-F238E27FC236}">
                <a16:creationId xmlns:a16="http://schemas.microsoft.com/office/drawing/2014/main" id="{C37B3DAF-46B4-E56D-53CB-524FFB240646}"/>
              </a:ext>
            </a:extLst>
          </xdr:cNvPr>
          <xdr:cNvCxnSpPr/>
        </xdr:nvCxnSpPr>
        <xdr:spPr>
          <a:xfrm flipH="1">
            <a:off x="8801101" y="26065163"/>
            <a:ext cx="71438" cy="7143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857" name="Straight Connector 856">
            <a:extLst>
              <a:ext uri="{FF2B5EF4-FFF2-40B4-BE49-F238E27FC236}">
                <a16:creationId xmlns:a16="http://schemas.microsoft.com/office/drawing/2014/main" id="{B400B8CD-6A82-A848-8D2D-79C79C758DFC}"/>
              </a:ext>
            </a:extLst>
          </xdr:cNvPr>
          <xdr:cNvCxnSpPr/>
        </xdr:nvCxnSpPr>
        <xdr:spPr>
          <a:xfrm flipH="1">
            <a:off x="8863013" y="26065162"/>
            <a:ext cx="71438" cy="71438"/>
          </a:xfrm>
          <a:prstGeom prst="line">
            <a:avLst/>
          </a:prstGeom>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59</xdr:col>
      <xdr:colOff>80965</xdr:colOff>
      <xdr:row>52</xdr:row>
      <xdr:rowOff>80965</xdr:rowOff>
    </xdr:from>
    <xdr:to>
      <xdr:col>65</xdr:col>
      <xdr:colOff>114301</xdr:colOff>
      <xdr:row>58</xdr:row>
      <xdr:rowOff>57152</xdr:rowOff>
    </xdr:to>
    <xdr:grpSp>
      <xdr:nvGrpSpPr>
        <xdr:cNvPr id="860" name="Group 859">
          <a:extLst>
            <a:ext uri="{FF2B5EF4-FFF2-40B4-BE49-F238E27FC236}">
              <a16:creationId xmlns:a16="http://schemas.microsoft.com/office/drawing/2014/main" id="{B171387F-C07C-4813-B0C9-6B208F51494F}"/>
            </a:ext>
          </a:extLst>
        </xdr:cNvPr>
        <xdr:cNvGrpSpPr/>
      </xdr:nvGrpSpPr>
      <xdr:grpSpPr>
        <a:xfrm>
          <a:off x="9634540" y="7891465"/>
          <a:ext cx="1004886" cy="833437"/>
          <a:chOff x="9634540" y="25703215"/>
          <a:chExt cx="1004886" cy="833437"/>
        </a:xfrm>
      </xdr:grpSpPr>
      <xdr:grpSp>
        <xdr:nvGrpSpPr>
          <xdr:cNvPr id="861" name="Group 860">
            <a:extLst>
              <a:ext uri="{FF2B5EF4-FFF2-40B4-BE49-F238E27FC236}">
                <a16:creationId xmlns:a16="http://schemas.microsoft.com/office/drawing/2014/main" id="{89182F4D-89EA-A87F-567C-CCE6951BEF57}"/>
              </a:ext>
            </a:extLst>
          </xdr:cNvPr>
          <xdr:cNvGrpSpPr/>
        </xdr:nvGrpSpPr>
        <xdr:grpSpPr>
          <a:xfrm>
            <a:off x="9891722" y="25769890"/>
            <a:ext cx="704850" cy="704850"/>
            <a:chOff x="9667876" y="25741312"/>
            <a:chExt cx="704850" cy="704850"/>
          </a:xfrm>
        </xdr:grpSpPr>
        <xdr:sp macro="" textlink="">
          <xdr:nvSpPr>
            <xdr:cNvPr id="870" name="Oval 869">
              <a:extLst>
                <a:ext uri="{FF2B5EF4-FFF2-40B4-BE49-F238E27FC236}">
                  <a16:creationId xmlns:a16="http://schemas.microsoft.com/office/drawing/2014/main" id="{3FD4167B-55EE-C943-C8DC-CBE89D5DB924}"/>
                </a:ext>
              </a:extLst>
            </xdr:cNvPr>
            <xdr:cNvSpPr/>
          </xdr:nvSpPr>
          <xdr:spPr>
            <a:xfrm>
              <a:off x="9667876" y="25741312"/>
              <a:ext cx="704850" cy="704850"/>
            </a:xfrm>
            <a:prstGeom prst="ellipse">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kern="1200"/>
            </a:p>
          </xdr:txBody>
        </xdr:sp>
        <xdr:sp macro="" textlink="">
          <xdr:nvSpPr>
            <xdr:cNvPr id="871" name="Oval 870">
              <a:extLst>
                <a:ext uri="{FF2B5EF4-FFF2-40B4-BE49-F238E27FC236}">
                  <a16:creationId xmlns:a16="http://schemas.microsoft.com/office/drawing/2014/main" id="{1189609B-AC53-8866-426E-8A15386C9CD6}"/>
                </a:ext>
              </a:extLst>
            </xdr:cNvPr>
            <xdr:cNvSpPr/>
          </xdr:nvSpPr>
          <xdr:spPr>
            <a:xfrm>
              <a:off x="9725023" y="25803223"/>
              <a:ext cx="590552" cy="590552"/>
            </a:xfrm>
            <a:prstGeom prst="ellipse">
              <a:avLst/>
            </a:prstGeom>
            <a:solidFill>
              <a:schemeClr val="bg1"/>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kern="1200"/>
            </a:p>
          </xdr:txBody>
        </xdr:sp>
      </xdr:grpSp>
      <xdr:cxnSp macro="">
        <xdr:nvCxnSpPr>
          <xdr:cNvPr id="862" name="Straight Connector 861">
            <a:extLst>
              <a:ext uri="{FF2B5EF4-FFF2-40B4-BE49-F238E27FC236}">
                <a16:creationId xmlns:a16="http://schemas.microsoft.com/office/drawing/2014/main" id="{CDF27390-5810-1CE7-A832-45245B12CA50}"/>
              </a:ext>
            </a:extLst>
          </xdr:cNvPr>
          <xdr:cNvCxnSpPr/>
        </xdr:nvCxnSpPr>
        <xdr:spPr>
          <a:xfrm>
            <a:off x="10487026" y="26122322"/>
            <a:ext cx="152400"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863" name="Straight Connector 862">
            <a:extLst>
              <a:ext uri="{FF2B5EF4-FFF2-40B4-BE49-F238E27FC236}">
                <a16:creationId xmlns:a16="http://schemas.microsoft.com/office/drawing/2014/main" id="{9F046483-9BBA-3A33-1B52-46ED601541AC}"/>
              </a:ext>
            </a:extLst>
          </xdr:cNvPr>
          <xdr:cNvCxnSpPr/>
        </xdr:nvCxnSpPr>
        <xdr:spPr>
          <a:xfrm flipH="1">
            <a:off x="10496551" y="26088984"/>
            <a:ext cx="71438" cy="7143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864" name="Straight Connector 863">
            <a:extLst>
              <a:ext uri="{FF2B5EF4-FFF2-40B4-BE49-F238E27FC236}">
                <a16:creationId xmlns:a16="http://schemas.microsoft.com/office/drawing/2014/main" id="{A384377E-3754-E54D-726D-04DD1D9D43C1}"/>
              </a:ext>
            </a:extLst>
          </xdr:cNvPr>
          <xdr:cNvCxnSpPr/>
        </xdr:nvCxnSpPr>
        <xdr:spPr>
          <a:xfrm flipH="1">
            <a:off x="10558463" y="26088983"/>
            <a:ext cx="71438" cy="7143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865" name="Straight Connector 864">
            <a:extLst>
              <a:ext uri="{FF2B5EF4-FFF2-40B4-BE49-F238E27FC236}">
                <a16:creationId xmlns:a16="http://schemas.microsoft.com/office/drawing/2014/main" id="{0253D907-DBEE-32EF-0CF9-FF1459A4FD2C}"/>
              </a:ext>
            </a:extLst>
          </xdr:cNvPr>
          <xdr:cNvCxnSpPr/>
        </xdr:nvCxnSpPr>
        <xdr:spPr>
          <a:xfrm>
            <a:off x="9634543" y="25765129"/>
            <a:ext cx="428624"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866" name="Straight Connector 865">
            <a:extLst>
              <a:ext uri="{FF2B5EF4-FFF2-40B4-BE49-F238E27FC236}">
                <a16:creationId xmlns:a16="http://schemas.microsoft.com/office/drawing/2014/main" id="{0FEB8B4E-DCED-E212-7CAF-346583C6C8F5}"/>
              </a:ext>
            </a:extLst>
          </xdr:cNvPr>
          <xdr:cNvCxnSpPr/>
        </xdr:nvCxnSpPr>
        <xdr:spPr>
          <a:xfrm>
            <a:off x="9715505" y="25703215"/>
            <a:ext cx="0" cy="83343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867" name="Straight Connector 866">
            <a:extLst>
              <a:ext uri="{FF2B5EF4-FFF2-40B4-BE49-F238E27FC236}">
                <a16:creationId xmlns:a16="http://schemas.microsoft.com/office/drawing/2014/main" id="{A0F259FB-6218-2992-16C8-FC7CC72B7A3F}"/>
              </a:ext>
            </a:extLst>
          </xdr:cNvPr>
          <xdr:cNvCxnSpPr/>
        </xdr:nvCxnSpPr>
        <xdr:spPr>
          <a:xfrm flipH="1">
            <a:off x="9677405" y="25731789"/>
            <a:ext cx="71438" cy="7143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868" name="Straight Connector 867">
            <a:extLst>
              <a:ext uri="{FF2B5EF4-FFF2-40B4-BE49-F238E27FC236}">
                <a16:creationId xmlns:a16="http://schemas.microsoft.com/office/drawing/2014/main" id="{A12A8B22-2757-7979-67C5-7715077E0B9E}"/>
              </a:ext>
            </a:extLst>
          </xdr:cNvPr>
          <xdr:cNvCxnSpPr/>
        </xdr:nvCxnSpPr>
        <xdr:spPr>
          <a:xfrm>
            <a:off x="9634540" y="26479508"/>
            <a:ext cx="428624"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869" name="Straight Connector 868">
            <a:extLst>
              <a:ext uri="{FF2B5EF4-FFF2-40B4-BE49-F238E27FC236}">
                <a16:creationId xmlns:a16="http://schemas.microsoft.com/office/drawing/2014/main" id="{CDBFE977-DD5E-EC5F-2B60-0110A2F0D408}"/>
              </a:ext>
            </a:extLst>
          </xdr:cNvPr>
          <xdr:cNvCxnSpPr/>
        </xdr:nvCxnSpPr>
        <xdr:spPr>
          <a:xfrm flipH="1">
            <a:off x="9677402" y="26446168"/>
            <a:ext cx="71438" cy="71438"/>
          </a:xfrm>
          <a:prstGeom prst="line">
            <a:avLst/>
          </a:prstGeom>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xdr:col>
      <xdr:colOff>95250</xdr:colOff>
      <xdr:row>574</xdr:row>
      <xdr:rowOff>76201</xdr:rowOff>
    </xdr:from>
    <xdr:to>
      <xdr:col>32</xdr:col>
      <xdr:colOff>0</xdr:colOff>
      <xdr:row>591</xdr:row>
      <xdr:rowOff>61913</xdr:rowOff>
    </xdr:to>
    <xdr:grpSp>
      <xdr:nvGrpSpPr>
        <xdr:cNvPr id="224" name="Group 223">
          <a:extLst>
            <a:ext uri="{FF2B5EF4-FFF2-40B4-BE49-F238E27FC236}">
              <a16:creationId xmlns:a16="http://schemas.microsoft.com/office/drawing/2014/main" id="{5EF7A978-9FB6-4336-BBF7-BDB0DA1C7DAE}"/>
            </a:ext>
          </a:extLst>
        </xdr:cNvPr>
        <xdr:cNvGrpSpPr/>
      </xdr:nvGrpSpPr>
      <xdr:grpSpPr>
        <a:xfrm>
          <a:off x="419100" y="83829526"/>
          <a:ext cx="4762500" cy="2414587"/>
          <a:chOff x="419100" y="1028701"/>
          <a:chExt cx="4762500" cy="2414587"/>
        </a:xfrm>
      </xdr:grpSpPr>
      <xdr:sp macro="" textlink="">
        <xdr:nvSpPr>
          <xdr:cNvPr id="225" name="Rectangle 224">
            <a:extLst>
              <a:ext uri="{FF2B5EF4-FFF2-40B4-BE49-F238E27FC236}">
                <a16:creationId xmlns:a16="http://schemas.microsoft.com/office/drawing/2014/main" id="{9243E2E4-2659-F217-C42A-AE34040B99F7}"/>
              </a:ext>
            </a:extLst>
          </xdr:cNvPr>
          <xdr:cNvSpPr/>
        </xdr:nvSpPr>
        <xdr:spPr>
          <a:xfrm>
            <a:off x="971551" y="2819401"/>
            <a:ext cx="323849" cy="95250"/>
          </a:xfrm>
          <a:prstGeom prst="rect">
            <a:avLst/>
          </a:prstGeom>
          <a:pattFill prst="ltUpDiag">
            <a:fgClr>
              <a:schemeClr val="tx1"/>
            </a:fgClr>
            <a:bgClr>
              <a:schemeClr val="bg1"/>
            </a:bgClr>
          </a:patt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kern="1200"/>
          </a:p>
        </xdr:txBody>
      </xdr:sp>
      <xdr:sp macro="" textlink="">
        <xdr:nvSpPr>
          <xdr:cNvPr id="320" name="Freeform: Shape 319">
            <a:extLst>
              <a:ext uri="{FF2B5EF4-FFF2-40B4-BE49-F238E27FC236}">
                <a16:creationId xmlns:a16="http://schemas.microsoft.com/office/drawing/2014/main" id="{A165A41E-0A48-057A-EB7C-C0A03BFEF952}"/>
              </a:ext>
            </a:extLst>
          </xdr:cNvPr>
          <xdr:cNvSpPr/>
        </xdr:nvSpPr>
        <xdr:spPr>
          <a:xfrm>
            <a:off x="1133475" y="1095375"/>
            <a:ext cx="3890963" cy="1724025"/>
          </a:xfrm>
          <a:custGeom>
            <a:avLst/>
            <a:gdLst>
              <a:gd name="connsiteX0" fmla="*/ 0 w 3890963"/>
              <a:gd name="connsiteY0" fmla="*/ 1709738 h 1724025"/>
              <a:gd name="connsiteX1" fmla="*/ 0 w 3890963"/>
              <a:gd name="connsiteY1" fmla="*/ 571500 h 1724025"/>
              <a:gd name="connsiteX2" fmla="*/ 1947863 w 3890963"/>
              <a:gd name="connsiteY2" fmla="*/ 0 h 1724025"/>
              <a:gd name="connsiteX3" fmla="*/ 3890963 w 3890963"/>
              <a:gd name="connsiteY3" fmla="*/ 576263 h 1724025"/>
              <a:gd name="connsiteX4" fmla="*/ 3890963 w 3890963"/>
              <a:gd name="connsiteY4" fmla="*/ 1724025 h 172402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890963" h="1724025">
                <a:moveTo>
                  <a:pt x="0" y="1709738"/>
                </a:moveTo>
                <a:lnTo>
                  <a:pt x="0" y="571500"/>
                </a:lnTo>
                <a:lnTo>
                  <a:pt x="1947863" y="0"/>
                </a:lnTo>
                <a:lnTo>
                  <a:pt x="3890963" y="576263"/>
                </a:lnTo>
                <a:lnTo>
                  <a:pt x="3890963" y="1724025"/>
                </a:lnTo>
              </a:path>
            </a:pathLst>
          </a:custGeom>
          <a:no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kern="1200"/>
          </a:p>
        </xdr:txBody>
      </xdr:sp>
      <xdr:cxnSp macro="">
        <xdr:nvCxnSpPr>
          <xdr:cNvPr id="322" name="Straight Connector 321">
            <a:extLst>
              <a:ext uri="{FF2B5EF4-FFF2-40B4-BE49-F238E27FC236}">
                <a16:creationId xmlns:a16="http://schemas.microsoft.com/office/drawing/2014/main" id="{B954B862-FB66-A9F1-D14C-31AF61633A36}"/>
              </a:ext>
            </a:extLst>
          </xdr:cNvPr>
          <xdr:cNvCxnSpPr/>
        </xdr:nvCxnSpPr>
        <xdr:spPr>
          <a:xfrm>
            <a:off x="966788" y="2809875"/>
            <a:ext cx="328612"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327" name="Rectangle 326">
            <a:extLst>
              <a:ext uri="{FF2B5EF4-FFF2-40B4-BE49-F238E27FC236}">
                <a16:creationId xmlns:a16="http://schemas.microsoft.com/office/drawing/2014/main" id="{2C3BCA3E-A2ED-6B87-131A-E259B4611107}"/>
              </a:ext>
            </a:extLst>
          </xdr:cNvPr>
          <xdr:cNvSpPr/>
        </xdr:nvSpPr>
        <xdr:spPr>
          <a:xfrm>
            <a:off x="4857751" y="2819401"/>
            <a:ext cx="323849" cy="95250"/>
          </a:xfrm>
          <a:prstGeom prst="rect">
            <a:avLst/>
          </a:prstGeom>
          <a:pattFill prst="ltUpDiag">
            <a:fgClr>
              <a:schemeClr val="tx1"/>
            </a:fgClr>
            <a:bgClr>
              <a:schemeClr val="bg1"/>
            </a:bgClr>
          </a:patt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kern="1200"/>
          </a:p>
        </xdr:txBody>
      </xdr:sp>
      <xdr:cxnSp macro="">
        <xdr:nvCxnSpPr>
          <xdr:cNvPr id="328" name="Straight Connector 327">
            <a:extLst>
              <a:ext uri="{FF2B5EF4-FFF2-40B4-BE49-F238E27FC236}">
                <a16:creationId xmlns:a16="http://schemas.microsoft.com/office/drawing/2014/main" id="{CD14D9B3-6CBF-BA00-538C-780CFD99F518}"/>
              </a:ext>
            </a:extLst>
          </xdr:cNvPr>
          <xdr:cNvCxnSpPr/>
        </xdr:nvCxnSpPr>
        <xdr:spPr>
          <a:xfrm>
            <a:off x="4852988" y="2809875"/>
            <a:ext cx="328612"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32" name="Straight Connector 331">
            <a:extLst>
              <a:ext uri="{FF2B5EF4-FFF2-40B4-BE49-F238E27FC236}">
                <a16:creationId xmlns:a16="http://schemas.microsoft.com/office/drawing/2014/main" id="{70630E65-70AA-2D28-B4E6-CBE6AB495501}"/>
              </a:ext>
            </a:extLst>
          </xdr:cNvPr>
          <xdr:cNvCxnSpPr/>
        </xdr:nvCxnSpPr>
        <xdr:spPr>
          <a:xfrm flipH="1">
            <a:off x="419101" y="2809875"/>
            <a:ext cx="495300"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333" name="Straight Connector 332">
            <a:extLst>
              <a:ext uri="{FF2B5EF4-FFF2-40B4-BE49-F238E27FC236}">
                <a16:creationId xmlns:a16="http://schemas.microsoft.com/office/drawing/2014/main" id="{12B5F77B-03A3-3267-AD43-685ED6B1EDE8}"/>
              </a:ext>
            </a:extLst>
          </xdr:cNvPr>
          <xdr:cNvCxnSpPr/>
        </xdr:nvCxnSpPr>
        <xdr:spPr>
          <a:xfrm flipV="1">
            <a:off x="809625" y="1028701"/>
            <a:ext cx="0" cy="183356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334" name="Straight Connector 333">
            <a:extLst>
              <a:ext uri="{FF2B5EF4-FFF2-40B4-BE49-F238E27FC236}">
                <a16:creationId xmlns:a16="http://schemas.microsoft.com/office/drawing/2014/main" id="{61BABB96-D94D-6C58-3193-3B782FDD95A4}"/>
              </a:ext>
            </a:extLst>
          </xdr:cNvPr>
          <xdr:cNvCxnSpPr/>
        </xdr:nvCxnSpPr>
        <xdr:spPr>
          <a:xfrm>
            <a:off x="419100" y="1095375"/>
            <a:ext cx="2533652"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335" name="Straight Connector 334">
            <a:extLst>
              <a:ext uri="{FF2B5EF4-FFF2-40B4-BE49-F238E27FC236}">
                <a16:creationId xmlns:a16="http://schemas.microsoft.com/office/drawing/2014/main" id="{713FB1B4-4B90-92D0-2FCF-6BB08DAA67B7}"/>
              </a:ext>
            </a:extLst>
          </xdr:cNvPr>
          <xdr:cNvCxnSpPr/>
        </xdr:nvCxnSpPr>
        <xdr:spPr>
          <a:xfrm flipH="1">
            <a:off x="776288" y="1062036"/>
            <a:ext cx="66675" cy="666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336" name="Straight Connector 335">
            <a:extLst>
              <a:ext uri="{FF2B5EF4-FFF2-40B4-BE49-F238E27FC236}">
                <a16:creationId xmlns:a16="http://schemas.microsoft.com/office/drawing/2014/main" id="{9A8A8F4C-A255-9D16-7621-E31C387EEAAB}"/>
              </a:ext>
            </a:extLst>
          </xdr:cNvPr>
          <xdr:cNvCxnSpPr/>
        </xdr:nvCxnSpPr>
        <xdr:spPr>
          <a:xfrm flipH="1">
            <a:off x="776289" y="2776541"/>
            <a:ext cx="66675" cy="666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337" name="Straight Connector 336">
            <a:extLst>
              <a:ext uri="{FF2B5EF4-FFF2-40B4-BE49-F238E27FC236}">
                <a16:creationId xmlns:a16="http://schemas.microsoft.com/office/drawing/2014/main" id="{47985FE5-E21C-F140-1A8E-EB9A215089D1}"/>
              </a:ext>
            </a:extLst>
          </xdr:cNvPr>
          <xdr:cNvCxnSpPr/>
        </xdr:nvCxnSpPr>
        <xdr:spPr>
          <a:xfrm>
            <a:off x="742951" y="1666876"/>
            <a:ext cx="328613"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338" name="Straight Connector 337">
            <a:extLst>
              <a:ext uri="{FF2B5EF4-FFF2-40B4-BE49-F238E27FC236}">
                <a16:creationId xmlns:a16="http://schemas.microsoft.com/office/drawing/2014/main" id="{72FAA4F1-12CE-46C4-E685-79553D8104DF}"/>
              </a:ext>
            </a:extLst>
          </xdr:cNvPr>
          <xdr:cNvCxnSpPr/>
        </xdr:nvCxnSpPr>
        <xdr:spPr>
          <a:xfrm flipH="1">
            <a:off x="776288" y="1633536"/>
            <a:ext cx="66675" cy="666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339" name="Straight Connector 338">
            <a:extLst>
              <a:ext uri="{FF2B5EF4-FFF2-40B4-BE49-F238E27FC236}">
                <a16:creationId xmlns:a16="http://schemas.microsoft.com/office/drawing/2014/main" id="{9A296C89-E1CA-A400-4C55-7E5ED20559B0}"/>
              </a:ext>
            </a:extLst>
          </xdr:cNvPr>
          <xdr:cNvCxnSpPr/>
        </xdr:nvCxnSpPr>
        <xdr:spPr>
          <a:xfrm flipV="1">
            <a:off x="485771" y="1028702"/>
            <a:ext cx="0" cy="183356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03" name="Straight Connector 502">
            <a:extLst>
              <a:ext uri="{FF2B5EF4-FFF2-40B4-BE49-F238E27FC236}">
                <a16:creationId xmlns:a16="http://schemas.microsoft.com/office/drawing/2014/main" id="{690EADBF-40B8-4F0F-2736-5797EDE2CC13}"/>
              </a:ext>
            </a:extLst>
          </xdr:cNvPr>
          <xdr:cNvCxnSpPr/>
        </xdr:nvCxnSpPr>
        <xdr:spPr>
          <a:xfrm flipH="1">
            <a:off x="452434" y="1062037"/>
            <a:ext cx="66675" cy="666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06" name="Straight Connector 505">
            <a:extLst>
              <a:ext uri="{FF2B5EF4-FFF2-40B4-BE49-F238E27FC236}">
                <a16:creationId xmlns:a16="http://schemas.microsoft.com/office/drawing/2014/main" id="{C7D9BFC6-57EB-C4BE-54DD-37E31BA21318}"/>
              </a:ext>
            </a:extLst>
          </xdr:cNvPr>
          <xdr:cNvCxnSpPr/>
        </xdr:nvCxnSpPr>
        <xdr:spPr>
          <a:xfrm flipH="1">
            <a:off x="452435" y="2776542"/>
            <a:ext cx="66675" cy="666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59" name="Straight Connector 558">
            <a:extLst>
              <a:ext uri="{FF2B5EF4-FFF2-40B4-BE49-F238E27FC236}">
                <a16:creationId xmlns:a16="http://schemas.microsoft.com/office/drawing/2014/main" id="{5786B4D0-97ED-FC7E-C257-0BA108A39EEC}"/>
              </a:ext>
            </a:extLst>
          </xdr:cNvPr>
          <xdr:cNvCxnSpPr/>
        </xdr:nvCxnSpPr>
        <xdr:spPr>
          <a:xfrm>
            <a:off x="1133476" y="2971800"/>
            <a:ext cx="0" cy="47148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60" name="Straight Connector 559">
            <a:extLst>
              <a:ext uri="{FF2B5EF4-FFF2-40B4-BE49-F238E27FC236}">
                <a16:creationId xmlns:a16="http://schemas.microsoft.com/office/drawing/2014/main" id="{2CB87CB0-B58B-3333-F89E-126CA9BF918A}"/>
              </a:ext>
            </a:extLst>
          </xdr:cNvPr>
          <xdr:cNvCxnSpPr/>
        </xdr:nvCxnSpPr>
        <xdr:spPr>
          <a:xfrm>
            <a:off x="1066803" y="3095625"/>
            <a:ext cx="4010022"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61" name="Straight Connector 560">
            <a:extLst>
              <a:ext uri="{FF2B5EF4-FFF2-40B4-BE49-F238E27FC236}">
                <a16:creationId xmlns:a16="http://schemas.microsoft.com/office/drawing/2014/main" id="{DE67E1BA-8D05-D323-E34C-191EBE67DD50}"/>
              </a:ext>
            </a:extLst>
          </xdr:cNvPr>
          <xdr:cNvCxnSpPr/>
        </xdr:nvCxnSpPr>
        <xdr:spPr>
          <a:xfrm flipH="1">
            <a:off x="1100133" y="3062289"/>
            <a:ext cx="66675" cy="666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62" name="Straight Connector 561">
            <a:extLst>
              <a:ext uri="{FF2B5EF4-FFF2-40B4-BE49-F238E27FC236}">
                <a16:creationId xmlns:a16="http://schemas.microsoft.com/office/drawing/2014/main" id="{57021E94-56FD-3036-6C55-10A19C804718}"/>
              </a:ext>
            </a:extLst>
          </xdr:cNvPr>
          <xdr:cNvCxnSpPr/>
        </xdr:nvCxnSpPr>
        <xdr:spPr>
          <a:xfrm>
            <a:off x="1066803" y="3381375"/>
            <a:ext cx="4000497"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63" name="Straight Connector 562">
            <a:extLst>
              <a:ext uri="{FF2B5EF4-FFF2-40B4-BE49-F238E27FC236}">
                <a16:creationId xmlns:a16="http://schemas.microsoft.com/office/drawing/2014/main" id="{5A31942B-52AD-EE64-4F50-4A2898EF90A2}"/>
              </a:ext>
            </a:extLst>
          </xdr:cNvPr>
          <xdr:cNvCxnSpPr/>
        </xdr:nvCxnSpPr>
        <xdr:spPr>
          <a:xfrm flipH="1">
            <a:off x="1100133" y="3348039"/>
            <a:ext cx="66675" cy="666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64" name="Straight Connector 563">
            <a:extLst>
              <a:ext uri="{FF2B5EF4-FFF2-40B4-BE49-F238E27FC236}">
                <a16:creationId xmlns:a16="http://schemas.microsoft.com/office/drawing/2014/main" id="{413E8168-6257-E211-B7C2-9610FC511A00}"/>
              </a:ext>
            </a:extLst>
          </xdr:cNvPr>
          <xdr:cNvCxnSpPr/>
        </xdr:nvCxnSpPr>
        <xdr:spPr>
          <a:xfrm>
            <a:off x="5019676" y="2971800"/>
            <a:ext cx="0" cy="47148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65" name="Straight Connector 564">
            <a:extLst>
              <a:ext uri="{FF2B5EF4-FFF2-40B4-BE49-F238E27FC236}">
                <a16:creationId xmlns:a16="http://schemas.microsoft.com/office/drawing/2014/main" id="{6DDFC9E3-5775-5311-45E8-EC1917182A94}"/>
              </a:ext>
            </a:extLst>
          </xdr:cNvPr>
          <xdr:cNvCxnSpPr/>
        </xdr:nvCxnSpPr>
        <xdr:spPr>
          <a:xfrm flipH="1">
            <a:off x="4986333" y="3062289"/>
            <a:ext cx="66675" cy="666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66" name="Straight Connector 565">
            <a:extLst>
              <a:ext uri="{FF2B5EF4-FFF2-40B4-BE49-F238E27FC236}">
                <a16:creationId xmlns:a16="http://schemas.microsoft.com/office/drawing/2014/main" id="{829DBBF8-B4BD-4E04-A1EE-335E04EE4FAB}"/>
              </a:ext>
            </a:extLst>
          </xdr:cNvPr>
          <xdr:cNvCxnSpPr/>
        </xdr:nvCxnSpPr>
        <xdr:spPr>
          <a:xfrm flipH="1">
            <a:off x="4986333" y="3348039"/>
            <a:ext cx="66675" cy="666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67" name="Straight Connector 566">
            <a:extLst>
              <a:ext uri="{FF2B5EF4-FFF2-40B4-BE49-F238E27FC236}">
                <a16:creationId xmlns:a16="http://schemas.microsoft.com/office/drawing/2014/main" id="{7235057C-C084-CFC6-D21A-1160EB874EFF}"/>
              </a:ext>
            </a:extLst>
          </xdr:cNvPr>
          <xdr:cNvCxnSpPr/>
        </xdr:nvCxnSpPr>
        <xdr:spPr>
          <a:xfrm>
            <a:off x="3076586" y="2686047"/>
            <a:ext cx="0" cy="47148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68" name="Straight Connector 567">
            <a:extLst>
              <a:ext uri="{FF2B5EF4-FFF2-40B4-BE49-F238E27FC236}">
                <a16:creationId xmlns:a16="http://schemas.microsoft.com/office/drawing/2014/main" id="{28A1BDC1-3E3D-58F4-941A-70B2E87C1D34}"/>
              </a:ext>
            </a:extLst>
          </xdr:cNvPr>
          <xdr:cNvCxnSpPr/>
        </xdr:nvCxnSpPr>
        <xdr:spPr>
          <a:xfrm flipH="1">
            <a:off x="3043243" y="3062286"/>
            <a:ext cx="66675" cy="666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69" name="Straight Connector 568">
            <a:extLst>
              <a:ext uri="{FF2B5EF4-FFF2-40B4-BE49-F238E27FC236}">
                <a16:creationId xmlns:a16="http://schemas.microsoft.com/office/drawing/2014/main" id="{14F95182-36B1-FD2D-6919-89AB6A027B51}"/>
              </a:ext>
            </a:extLst>
          </xdr:cNvPr>
          <xdr:cNvCxnSpPr/>
        </xdr:nvCxnSpPr>
        <xdr:spPr>
          <a:xfrm flipV="1">
            <a:off x="1166813" y="1357315"/>
            <a:ext cx="2043118" cy="59944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70" name="Straight Connector 569">
            <a:extLst>
              <a:ext uri="{FF2B5EF4-FFF2-40B4-BE49-F238E27FC236}">
                <a16:creationId xmlns:a16="http://schemas.microsoft.com/office/drawing/2014/main" id="{E88EB387-5A8B-F043-1AB7-AA4681095BC3}"/>
              </a:ext>
            </a:extLst>
          </xdr:cNvPr>
          <xdr:cNvCxnSpPr/>
        </xdr:nvCxnSpPr>
        <xdr:spPr>
          <a:xfrm flipH="1" flipV="1">
            <a:off x="3084899" y="1126295"/>
            <a:ext cx="88049" cy="30706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797" name="Straight Connector 796">
            <a:extLst>
              <a:ext uri="{FF2B5EF4-FFF2-40B4-BE49-F238E27FC236}">
                <a16:creationId xmlns:a16="http://schemas.microsoft.com/office/drawing/2014/main" id="{D4524AE6-31F0-B406-28D7-A3512734D79A}"/>
              </a:ext>
            </a:extLst>
          </xdr:cNvPr>
          <xdr:cNvCxnSpPr/>
        </xdr:nvCxnSpPr>
        <xdr:spPr>
          <a:xfrm flipH="1">
            <a:off x="3138485" y="1338259"/>
            <a:ext cx="38102" cy="7620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800" name="Straight Connector 799">
            <a:extLst>
              <a:ext uri="{FF2B5EF4-FFF2-40B4-BE49-F238E27FC236}">
                <a16:creationId xmlns:a16="http://schemas.microsoft.com/office/drawing/2014/main" id="{2748ACD2-3A40-8A88-9184-17BF5E520EFA}"/>
              </a:ext>
            </a:extLst>
          </xdr:cNvPr>
          <xdr:cNvCxnSpPr/>
        </xdr:nvCxnSpPr>
        <xdr:spPr>
          <a:xfrm flipH="1" flipV="1">
            <a:off x="1151324" y="1693035"/>
            <a:ext cx="88049" cy="30706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802" name="Straight Connector 801">
            <a:extLst>
              <a:ext uri="{FF2B5EF4-FFF2-40B4-BE49-F238E27FC236}">
                <a16:creationId xmlns:a16="http://schemas.microsoft.com/office/drawing/2014/main" id="{A7FCB745-BFAE-FA06-ACD3-6D3A313B81CA}"/>
              </a:ext>
            </a:extLst>
          </xdr:cNvPr>
          <xdr:cNvCxnSpPr/>
        </xdr:nvCxnSpPr>
        <xdr:spPr>
          <a:xfrm flipH="1">
            <a:off x="1204910" y="1904999"/>
            <a:ext cx="38102" cy="7620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803" name="Straight Connector 802">
            <a:extLst>
              <a:ext uri="{FF2B5EF4-FFF2-40B4-BE49-F238E27FC236}">
                <a16:creationId xmlns:a16="http://schemas.microsoft.com/office/drawing/2014/main" id="{6A77B325-A99C-7017-67EF-75383AC1805A}"/>
              </a:ext>
            </a:extLst>
          </xdr:cNvPr>
          <xdr:cNvCxnSpPr/>
        </xdr:nvCxnSpPr>
        <xdr:spPr>
          <a:xfrm>
            <a:off x="4681539" y="1666876"/>
            <a:ext cx="280988" cy="0"/>
          </a:xfrm>
          <a:prstGeom prst="line">
            <a:avLst/>
          </a:prstGeom>
        </xdr:spPr>
        <xdr:style>
          <a:lnRef idx="1">
            <a:schemeClr val="accent1"/>
          </a:lnRef>
          <a:fillRef idx="0">
            <a:schemeClr val="accent1"/>
          </a:fillRef>
          <a:effectRef idx="0">
            <a:schemeClr val="accent1"/>
          </a:effectRef>
          <a:fontRef idx="minor">
            <a:schemeClr val="tx1"/>
          </a:fontRef>
        </xdr:style>
      </xdr:cxnSp>
      <xdr:sp macro="" textlink="">
        <xdr:nvSpPr>
          <xdr:cNvPr id="807" name="Arc 806">
            <a:extLst>
              <a:ext uri="{FF2B5EF4-FFF2-40B4-BE49-F238E27FC236}">
                <a16:creationId xmlns:a16="http://schemas.microsoft.com/office/drawing/2014/main" id="{6304FF83-D681-FAE5-EC3C-BBB64D36B2E3}"/>
              </a:ext>
            </a:extLst>
          </xdr:cNvPr>
          <xdr:cNvSpPr/>
        </xdr:nvSpPr>
        <xdr:spPr>
          <a:xfrm rot="13320143">
            <a:off x="4724399" y="1547812"/>
            <a:ext cx="161926" cy="161926"/>
          </a:xfrm>
          <a:prstGeom prst="arc">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tr-TR" sz="1100" kern="1200"/>
          </a:p>
        </xdr:txBody>
      </xdr:sp>
    </xdr:grpSp>
    <xdr:clientData/>
  </xdr:twoCellAnchor>
  <xdr:twoCellAnchor>
    <xdr:from>
      <xdr:col>66</xdr:col>
      <xdr:colOff>95250</xdr:colOff>
      <xdr:row>615</xdr:row>
      <xdr:rowOff>79375</xdr:rowOff>
    </xdr:from>
    <xdr:to>
      <xdr:col>74</xdr:col>
      <xdr:colOff>63500</xdr:colOff>
      <xdr:row>627</xdr:row>
      <xdr:rowOff>63500</xdr:rowOff>
    </xdr:to>
    <xdr:grpSp>
      <xdr:nvGrpSpPr>
        <xdr:cNvPr id="808" name="Group 807">
          <a:extLst>
            <a:ext uri="{FF2B5EF4-FFF2-40B4-BE49-F238E27FC236}">
              <a16:creationId xmlns:a16="http://schemas.microsoft.com/office/drawing/2014/main" id="{98D9EA7D-6830-4C42-B6EB-E561B9FD5391}"/>
            </a:ext>
          </a:extLst>
        </xdr:cNvPr>
        <xdr:cNvGrpSpPr/>
      </xdr:nvGrpSpPr>
      <xdr:grpSpPr>
        <a:xfrm>
          <a:off x="10782300" y="89690575"/>
          <a:ext cx="1263650" cy="1698625"/>
          <a:chOff x="8515350" y="10033000"/>
          <a:chExt cx="1263650" cy="1698625"/>
        </a:xfrm>
      </xdr:grpSpPr>
      <xdr:sp macro="" textlink="">
        <xdr:nvSpPr>
          <xdr:cNvPr id="809" name="Freeform: Shape 808">
            <a:extLst>
              <a:ext uri="{FF2B5EF4-FFF2-40B4-BE49-F238E27FC236}">
                <a16:creationId xmlns:a16="http://schemas.microsoft.com/office/drawing/2014/main" id="{C2F12C88-C55F-4874-F273-6B4DB33BD420}"/>
              </a:ext>
            </a:extLst>
          </xdr:cNvPr>
          <xdr:cNvSpPr/>
        </xdr:nvSpPr>
        <xdr:spPr>
          <a:xfrm>
            <a:off x="8905875" y="10382251"/>
            <a:ext cx="485775" cy="1289050"/>
          </a:xfrm>
          <a:custGeom>
            <a:avLst/>
            <a:gdLst>
              <a:gd name="connsiteX0" fmla="*/ 400050 w 485775"/>
              <a:gd name="connsiteY0" fmla="*/ 282575 h 1279525"/>
              <a:gd name="connsiteX1" fmla="*/ 482600 w 485775"/>
              <a:gd name="connsiteY1" fmla="*/ 282575 h 1279525"/>
              <a:gd name="connsiteX2" fmla="*/ 482600 w 485775"/>
              <a:gd name="connsiteY2" fmla="*/ 0 h 1279525"/>
              <a:gd name="connsiteX3" fmla="*/ 0 w 485775"/>
              <a:gd name="connsiteY3" fmla="*/ 0 h 1279525"/>
              <a:gd name="connsiteX4" fmla="*/ 0 w 485775"/>
              <a:gd name="connsiteY4" fmla="*/ 1279525 h 1279525"/>
              <a:gd name="connsiteX5" fmla="*/ 485775 w 485775"/>
              <a:gd name="connsiteY5" fmla="*/ 1279525 h 1279525"/>
              <a:gd name="connsiteX6" fmla="*/ 485775 w 485775"/>
              <a:gd name="connsiteY6" fmla="*/ 993775 h 1279525"/>
              <a:gd name="connsiteX7" fmla="*/ 400050 w 485775"/>
              <a:gd name="connsiteY7" fmla="*/ 993775 h 1279525"/>
              <a:gd name="connsiteX8" fmla="*/ 400050 w 485775"/>
              <a:gd name="connsiteY8" fmla="*/ 1184275 h 1279525"/>
              <a:gd name="connsiteX9" fmla="*/ 88900 w 485775"/>
              <a:gd name="connsiteY9" fmla="*/ 1184275 h 1279525"/>
              <a:gd name="connsiteX10" fmla="*/ 88900 w 485775"/>
              <a:gd name="connsiteY10" fmla="*/ 82550 h 1279525"/>
              <a:gd name="connsiteX11" fmla="*/ 396875 w 485775"/>
              <a:gd name="connsiteY11" fmla="*/ 82550 h 1279525"/>
              <a:gd name="connsiteX12" fmla="*/ 400050 w 485775"/>
              <a:gd name="connsiteY12" fmla="*/ 282575 h 12795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Lst>
            <a:rect l="l" t="t" r="r" b="b"/>
            <a:pathLst>
              <a:path w="485775" h="1279525">
                <a:moveTo>
                  <a:pt x="400050" y="282575"/>
                </a:moveTo>
                <a:lnTo>
                  <a:pt x="482600" y="282575"/>
                </a:lnTo>
                <a:lnTo>
                  <a:pt x="482600" y="0"/>
                </a:lnTo>
                <a:lnTo>
                  <a:pt x="0" y="0"/>
                </a:lnTo>
                <a:lnTo>
                  <a:pt x="0" y="1279525"/>
                </a:lnTo>
                <a:lnTo>
                  <a:pt x="485775" y="1279525"/>
                </a:lnTo>
                <a:lnTo>
                  <a:pt x="485775" y="993775"/>
                </a:lnTo>
                <a:lnTo>
                  <a:pt x="400050" y="993775"/>
                </a:lnTo>
                <a:lnTo>
                  <a:pt x="400050" y="1184275"/>
                </a:lnTo>
                <a:lnTo>
                  <a:pt x="88900" y="1184275"/>
                </a:lnTo>
                <a:lnTo>
                  <a:pt x="88900" y="82550"/>
                </a:lnTo>
                <a:lnTo>
                  <a:pt x="396875" y="82550"/>
                </a:lnTo>
                <a:cubicBezTo>
                  <a:pt x="397933" y="149225"/>
                  <a:pt x="398992" y="215900"/>
                  <a:pt x="400050" y="282575"/>
                </a:cubicBezTo>
                <a:close/>
              </a:path>
            </a:pathLst>
          </a:cu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kern="1200"/>
          </a:p>
        </xdr:txBody>
      </xdr:sp>
      <xdr:cxnSp macro="">
        <xdr:nvCxnSpPr>
          <xdr:cNvPr id="811" name="Straight Connector 810">
            <a:extLst>
              <a:ext uri="{FF2B5EF4-FFF2-40B4-BE49-F238E27FC236}">
                <a16:creationId xmlns:a16="http://schemas.microsoft.com/office/drawing/2014/main" id="{04E6E9BA-2AB6-1299-79CF-0E54786FE84F}"/>
              </a:ext>
            </a:extLst>
          </xdr:cNvPr>
          <xdr:cNvCxnSpPr/>
        </xdr:nvCxnSpPr>
        <xdr:spPr>
          <a:xfrm flipH="1">
            <a:off x="8518525" y="10382250"/>
            <a:ext cx="3333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812" name="Straight Connector 811">
            <a:extLst>
              <a:ext uri="{FF2B5EF4-FFF2-40B4-BE49-F238E27FC236}">
                <a16:creationId xmlns:a16="http://schemas.microsoft.com/office/drawing/2014/main" id="{8FC04CFF-05A5-314A-74FF-977E64E53C77}"/>
              </a:ext>
            </a:extLst>
          </xdr:cNvPr>
          <xdr:cNvCxnSpPr/>
        </xdr:nvCxnSpPr>
        <xdr:spPr>
          <a:xfrm>
            <a:off x="8582025" y="10328275"/>
            <a:ext cx="0" cy="140335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815" name="Straight Connector 814">
            <a:extLst>
              <a:ext uri="{FF2B5EF4-FFF2-40B4-BE49-F238E27FC236}">
                <a16:creationId xmlns:a16="http://schemas.microsoft.com/office/drawing/2014/main" id="{C2A52CB2-09E2-22D1-BAD9-A0565FD7153B}"/>
              </a:ext>
            </a:extLst>
          </xdr:cNvPr>
          <xdr:cNvCxnSpPr/>
        </xdr:nvCxnSpPr>
        <xdr:spPr>
          <a:xfrm flipH="1">
            <a:off x="8553450" y="10353675"/>
            <a:ext cx="60325" cy="603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818" name="Straight Connector 817">
            <a:extLst>
              <a:ext uri="{FF2B5EF4-FFF2-40B4-BE49-F238E27FC236}">
                <a16:creationId xmlns:a16="http://schemas.microsoft.com/office/drawing/2014/main" id="{5EB087AC-2535-7509-7ED2-80A23BC9FE4F}"/>
              </a:ext>
            </a:extLst>
          </xdr:cNvPr>
          <xdr:cNvCxnSpPr/>
        </xdr:nvCxnSpPr>
        <xdr:spPr>
          <a:xfrm flipH="1">
            <a:off x="8515350" y="11671300"/>
            <a:ext cx="3333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819" name="Straight Connector 818">
            <a:extLst>
              <a:ext uri="{FF2B5EF4-FFF2-40B4-BE49-F238E27FC236}">
                <a16:creationId xmlns:a16="http://schemas.microsoft.com/office/drawing/2014/main" id="{7284C298-BB5C-5EA1-FD25-18E33696E102}"/>
              </a:ext>
            </a:extLst>
          </xdr:cNvPr>
          <xdr:cNvCxnSpPr/>
        </xdr:nvCxnSpPr>
        <xdr:spPr>
          <a:xfrm flipH="1">
            <a:off x="8550275" y="11642725"/>
            <a:ext cx="60325" cy="603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821" name="Straight Connector 820">
            <a:extLst>
              <a:ext uri="{FF2B5EF4-FFF2-40B4-BE49-F238E27FC236}">
                <a16:creationId xmlns:a16="http://schemas.microsoft.com/office/drawing/2014/main" id="{AF134FC7-FA05-1327-5F24-DE3A3300F75C}"/>
              </a:ext>
            </a:extLst>
          </xdr:cNvPr>
          <xdr:cNvCxnSpPr/>
        </xdr:nvCxnSpPr>
        <xdr:spPr>
          <a:xfrm flipV="1">
            <a:off x="8905875" y="10033000"/>
            <a:ext cx="0" cy="29845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827" name="Straight Connector 826">
            <a:extLst>
              <a:ext uri="{FF2B5EF4-FFF2-40B4-BE49-F238E27FC236}">
                <a16:creationId xmlns:a16="http://schemas.microsoft.com/office/drawing/2014/main" id="{802C32AC-2782-9956-C0E7-B9BF0D2CC7F1}"/>
              </a:ext>
            </a:extLst>
          </xdr:cNvPr>
          <xdr:cNvCxnSpPr/>
        </xdr:nvCxnSpPr>
        <xdr:spPr>
          <a:xfrm>
            <a:off x="8839200" y="10099675"/>
            <a:ext cx="603250"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828" name="Straight Connector 827">
            <a:extLst>
              <a:ext uri="{FF2B5EF4-FFF2-40B4-BE49-F238E27FC236}">
                <a16:creationId xmlns:a16="http://schemas.microsoft.com/office/drawing/2014/main" id="{68968E31-DB71-7BC5-3E12-1DBAAC854D50}"/>
              </a:ext>
            </a:extLst>
          </xdr:cNvPr>
          <xdr:cNvCxnSpPr/>
        </xdr:nvCxnSpPr>
        <xdr:spPr>
          <a:xfrm flipH="1">
            <a:off x="8874125" y="10071100"/>
            <a:ext cx="60325" cy="603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829" name="Straight Connector 828">
            <a:extLst>
              <a:ext uri="{FF2B5EF4-FFF2-40B4-BE49-F238E27FC236}">
                <a16:creationId xmlns:a16="http://schemas.microsoft.com/office/drawing/2014/main" id="{6D9B4739-099E-C899-7B68-AE7A00A89F33}"/>
              </a:ext>
            </a:extLst>
          </xdr:cNvPr>
          <xdr:cNvCxnSpPr/>
        </xdr:nvCxnSpPr>
        <xdr:spPr>
          <a:xfrm flipV="1">
            <a:off x="9391650" y="10033000"/>
            <a:ext cx="0" cy="29845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830" name="Straight Connector 829">
            <a:extLst>
              <a:ext uri="{FF2B5EF4-FFF2-40B4-BE49-F238E27FC236}">
                <a16:creationId xmlns:a16="http://schemas.microsoft.com/office/drawing/2014/main" id="{EFBF62C1-9BD1-DFA5-3350-FDCCF2F496A5}"/>
              </a:ext>
            </a:extLst>
          </xdr:cNvPr>
          <xdr:cNvCxnSpPr/>
        </xdr:nvCxnSpPr>
        <xdr:spPr>
          <a:xfrm flipH="1">
            <a:off x="9359900" y="10071100"/>
            <a:ext cx="60325" cy="603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831" name="Straight Connector 830">
            <a:extLst>
              <a:ext uri="{FF2B5EF4-FFF2-40B4-BE49-F238E27FC236}">
                <a16:creationId xmlns:a16="http://schemas.microsoft.com/office/drawing/2014/main" id="{16C0CC3B-72CE-5911-563E-368AE36AA20A}"/>
              </a:ext>
            </a:extLst>
          </xdr:cNvPr>
          <xdr:cNvCxnSpPr/>
        </xdr:nvCxnSpPr>
        <xdr:spPr>
          <a:xfrm flipH="1">
            <a:off x="9445625" y="10385425"/>
            <a:ext cx="3333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832" name="Straight Connector 831">
            <a:extLst>
              <a:ext uri="{FF2B5EF4-FFF2-40B4-BE49-F238E27FC236}">
                <a16:creationId xmlns:a16="http://schemas.microsoft.com/office/drawing/2014/main" id="{AD36B976-4F87-928B-5FAD-1E8664DFA7E3}"/>
              </a:ext>
            </a:extLst>
          </xdr:cNvPr>
          <xdr:cNvCxnSpPr/>
        </xdr:nvCxnSpPr>
        <xdr:spPr>
          <a:xfrm>
            <a:off x="9715500" y="10331450"/>
            <a:ext cx="0" cy="40005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872" name="Straight Connector 871">
            <a:extLst>
              <a:ext uri="{FF2B5EF4-FFF2-40B4-BE49-F238E27FC236}">
                <a16:creationId xmlns:a16="http://schemas.microsoft.com/office/drawing/2014/main" id="{DA187FE1-4994-6CB0-E02A-AE86669DD617}"/>
              </a:ext>
            </a:extLst>
          </xdr:cNvPr>
          <xdr:cNvCxnSpPr/>
        </xdr:nvCxnSpPr>
        <xdr:spPr>
          <a:xfrm flipH="1">
            <a:off x="9686925" y="10356850"/>
            <a:ext cx="60325" cy="603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873" name="Straight Connector 872">
            <a:extLst>
              <a:ext uri="{FF2B5EF4-FFF2-40B4-BE49-F238E27FC236}">
                <a16:creationId xmlns:a16="http://schemas.microsoft.com/office/drawing/2014/main" id="{8FBD14DA-BE6E-8B31-9086-15F3128B9925}"/>
              </a:ext>
            </a:extLst>
          </xdr:cNvPr>
          <xdr:cNvCxnSpPr/>
        </xdr:nvCxnSpPr>
        <xdr:spPr>
          <a:xfrm flipH="1">
            <a:off x="9436100" y="10668000"/>
            <a:ext cx="3333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874" name="Straight Connector 873">
            <a:extLst>
              <a:ext uri="{FF2B5EF4-FFF2-40B4-BE49-F238E27FC236}">
                <a16:creationId xmlns:a16="http://schemas.microsoft.com/office/drawing/2014/main" id="{1776EFEE-2E34-BE48-C82D-C8845E4ABF33}"/>
              </a:ext>
            </a:extLst>
          </xdr:cNvPr>
          <xdr:cNvCxnSpPr/>
        </xdr:nvCxnSpPr>
        <xdr:spPr>
          <a:xfrm flipH="1">
            <a:off x="9683750" y="10639425"/>
            <a:ext cx="60325" cy="603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875" name="Straight Connector 874">
            <a:extLst>
              <a:ext uri="{FF2B5EF4-FFF2-40B4-BE49-F238E27FC236}">
                <a16:creationId xmlns:a16="http://schemas.microsoft.com/office/drawing/2014/main" id="{D4B4B62A-79B1-D334-18E1-0C0A6E9CCD19}"/>
              </a:ext>
            </a:extLst>
          </xdr:cNvPr>
          <xdr:cNvCxnSpPr/>
        </xdr:nvCxnSpPr>
        <xdr:spPr>
          <a:xfrm flipH="1">
            <a:off x="8839200" y="10956925"/>
            <a:ext cx="203200"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876" name="Straight Connector 875">
            <a:extLst>
              <a:ext uri="{FF2B5EF4-FFF2-40B4-BE49-F238E27FC236}">
                <a16:creationId xmlns:a16="http://schemas.microsoft.com/office/drawing/2014/main" id="{8C847909-10A1-B674-8361-2975D4DD74CC}"/>
              </a:ext>
            </a:extLst>
          </xdr:cNvPr>
          <xdr:cNvCxnSpPr/>
        </xdr:nvCxnSpPr>
        <xdr:spPr>
          <a:xfrm flipH="1">
            <a:off x="8874125" y="10928350"/>
            <a:ext cx="60325" cy="603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877" name="Straight Connector 876">
            <a:extLst>
              <a:ext uri="{FF2B5EF4-FFF2-40B4-BE49-F238E27FC236}">
                <a16:creationId xmlns:a16="http://schemas.microsoft.com/office/drawing/2014/main" id="{7B8C40B2-9059-5A50-AC8F-9FAE4D067E75}"/>
              </a:ext>
            </a:extLst>
          </xdr:cNvPr>
          <xdr:cNvCxnSpPr/>
        </xdr:nvCxnSpPr>
        <xdr:spPr>
          <a:xfrm flipH="1">
            <a:off x="8966200" y="10928350"/>
            <a:ext cx="60325" cy="60325"/>
          </a:xfrm>
          <a:prstGeom prst="line">
            <a:avLst/>
          </a:prstGeom>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xdr:col>
      <xdr:colOff>95250</xdr:colOff>
      <xdr:row>593</xdr:row>
      <xdr:rowOff>61913</xdr:rowOff>
    </xdr:from>
    <xdr:to>
      <xdr:col>33</xdr:col>
      <xdr:colOff>28575</xdr:colOff>
      <xdr:row>633</xdr:row>
      <xdr:rowOff>61915</xdr:rowOff>
    </xdr:to>
    <xdr:grpSp>
      <xdr:nvGrpSpPr>
        <xdr:cNvPr id="973" name="Group 972">
          <a:extLst>
            <a:ext uri="{FF2B5EF4-FFF2-40B4-BE49-F238E27FC236}">
              <a16:creationId xmlns:a16="http://schemas.microsoft.com/office/drawing/2014/main" id="{0EA5752F-2A93-4C71-95B1-20146CD0246F}"/>
            </a:ext>
          </a:extLst>
        </xdr:cNvPr>
        <xdr:cNvGrpSpPr/>
      </xdr:nvGrpSpPr>
      <xdr:grpSpPr>
        <a:xfrm>
          <a:off x="419100" y="86529863"/>
          <a:ext cx="4953000" cy="5715002"/>
          <a:chOff x="419100" y="3729038"/>
          <a:chExt cx="4953000" cy="5715002"/>
        </a:xfrm>
      </xdr:grpSpPr>
      <xdr:sp macro="" textlink="">
        <xdr:nvSpPr>
          <xdr:cNvPr id="974" name="Rectangle 973">
            <a:extLst>
              <a:ext uri="{FF2B5EF4-FFF2-40B4-BE49-F238E27FC236}">
                <a16:creationId xmlns:a16="http://schemas.microsoft.com/office/drawing/2014/main" id="{7D27AE2E-9E2E-D777-53E9-0EF8027B35FA}"/>
              </a:ext>
            </a:extLst>
          </xdr:cNvPr>
          <xdr:cNvSpPr/>
        </xdr:nvSpPr>
        <xdr:spPr>
          <a:xfrm>
            <a:off x="1133475" y="4381499"/>
            <a:ext cx="3886200" cy="5000625"/>
          </a:xfrm>
          <a:prstGeom prst="rect">
            <a:avLst/>
          </a:prstGeom>
          <a:solidFill>
            <a:schemeClr val="bg1">
              <a:lumMod val="95000"/>
            </a:schemeClr>
          </a:solidFill>
          <a:ln w="63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kern="1200"/>
          </a:p>
        </xdr:txBody>
      </xdr:sp>
      <xdr:cxnSp macro="">
        <xdr:nvCxnSpPr>
          <xdr:cNvPr id="975" name="Straight Connector 974">
            <a:extLst>
              <a:ext uri="{FF2B5EF4-FFF2-40B4-BE49-F238E27FC236}">
                <a16:creationId xmlns:a16="http://schemas.microsoft.com/office/drawing/2014/main" id="{F1C50243-D6DA-A8D3-5EF0-63FFB8ABF46C}"/>
              </a:ext>
            </a:extLst>
          </xdr:cNvPr>
          <xdr:cNvCxnSpPr/>
        </xdr:nvCxnSpPr>
        <xdr:spPr>
          <a:xfrm>
            <a:off x="3038476" y="4381501"/>
            <a:ext cx="0" cy="500062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76" name="Straight Connector 975">
            <a:extLst>
              <a:ext uri="{FF2B5EF4-FFF2-40B4-BE49-F238E27FC236}">
                <a16:creationId xmlns:a16="http://schemas.microsoft.com/office/drawing/2014/main" id="{0C2DC4DB-5E46-7DDB-9B75-BA33324101B1}"/>
              </a:ext>
            </a:extLst>
          </xdr:cNvPr>
          <xdr:cNvCxnSpPr/>
        </xdr:nvCxnSpPr>
        <xdr:spPr>
          <a:xfrm>
            <a:off x="3114675" y="4381500"/>
            <a:ext cx="0" cy="50006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77" name="Straight Connector 976">
            <a:extLst>
              <a:ext uri="{FF2B5EF4-FFF2-40B4-BE49-F238E27FC236}">
                <a16:creationId xmlns:a16="http://schemas.microsoft.com/office/drawing/2014/main" id="{0A80B4FF-CA1C-98CB-3D74-69C73383C5ED}"/>
              </a:ext>
            </a:extLst>
          </xdr:cNvPr>
          <xdr:cNvCxnSpPr/>
        </xdr:nvCxnSpPr>
        <xdr:spPr>
          <a:xfrm>
            <a:off x="1619250" y="4381500"/>
            <a:ext cx="0" cy="500062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78" name="Straight Connector 977">
            <a:extLst>
              <a:ext uri="{FF2B5EF4-FFF2-40B4-BE49-F238E27FC236}">
                <a16:creationId xmlns:a16="http://schemas.microsoft.com/office/drawing/2014/main" id="{63A618D9-B75A-C03A-951A-103C1D2AA371}"/>
              </a:ext>
            </a:extLst>
          </xdr:cNvPr>
          <xdr:cNvCxnSpPr/>
        </xdr:nvCxnSpPr>
        <xdr:spPr>
          <a:xfrm>
            <a:off x="2105025" y="4381500"/>
            <a:ext cx="0" cy="500062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79" name="Straight Connector 978">
            <a:extLst>
              <a:ext uri="{FF2B5EF4-FFF2-40B4-BE49-F238E27FC236}">
                <a16:creationId xmlns:a16="http://schemas.microsoft.com/office/drawing/2014/main" id="{C682121B-1099-5AA4-B75F-3D2E37D446A7}"/>
              </a:ext>
            </a:extLst>
          </xdr:cNvPr>
          <xdr:cNvCxnSpPr/>
        </xdr:nvCxnSpPr>
        <xdr:spPr>
          <a:xfrm>
            <a:off x="2590801" y="4386262"/>
            <a:ext cx="0" cy="500062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80" name="Straight Connector 979">
            <a:extLst>
              <a:ext uri="{FF2B5EF4-FFF2-40B4-BE49-F238E27FC236}">
                <a16:creationId xmlns:a16="http://schemas.microsoft.com/office/drawing/2014/main" id="{CB3A6463-DD71-1CD4-B475-58162BFD4767}"/>
              </a:ext>
            </a:extLst>
          </xdr:cNvPr>
          <xdr:cNvCxnSpPr/>
        </xdr:nvCxnSpPr>
        <xdr:spPr>
          <a:xfrm>
            <a:off x="3562351" y="4381501"/>
            <a:ext cx="0" cy="500062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81" name="Straight Connector 980">
            <a:extLst>
              <a:ext uri="{FF2B5EF4-FFF2-40B4-BE49-F238E27FC236}">
                <a16:creationId xmlns:a16="http://schemas.microsoft.com/office/drawing/2014/main" id="{7750617C-8FAD-6844-B7E3-E21EF8438180}"/>
              </a:ext>
            </a:extLst>
          </xdr:cNvPr>
          <xdr:cNvCxnSpPr/>
        </xdr:nvCxnSpPr>
        <xdr:spPr>
          <a:xfrm>
            <a:off x="4048126" y="4381501"/>
            <a:ext cx="0" cy="500062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82" name="Straight Connector 981">
            <a:extLst>
              <a:ext uri="{FF2B5EF4-FFF2-40B4-BE49-F238E27FC236}">
                <a16:creationId xmlns:a16="http://schemas.microsoft.com/office/drawing/2014/main" id="{7D88ECD5-BEBB-C1F1-30A9-1C971178B476}"/>
              </a:ext>
            </a:extLst>
          </xdr:cNvPr>
          <xdr:cNvCxnSpPr/>
        </xdr:nvCxnSpPr>
        <xdr:spPr>
          <a:xfrm>
            <a:off x="4533902" y="4386263"/>
            <a:ext cx="0" cy="500062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83" name="Straight Connector 982">
            <a:extLst>
              <a:ext uri="{FF2B5EF4-FFF2-40B4-BE49-F238E27FC236}">
                <a16:creationId xmlns:a16="http://schemas.microsoft.com/office/drawing/2014/main" id="{6D379F60-F282-0411-5533-8FD76CA3B4C2}"/>
              </a:ext>
            </a:extLst>
          </xdr:cNvPr>
          <xdr:cNvCxnSpPr/>
        </xdr:nvCxnSpPr>
        <xdr:spPr>
          <a:xfrm>
            <a:off x="1133475" y="5095876"/>
            <a:ext cx="38862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84" name="Straight Connector 983">
            <a:extLst>
              <a:ext uri="{FF2B5EF4-FFF2-40B4-BE49-F238E27FC236}">
                <a16:creationId xmlns:a16="http://schemas.microsoft.com/office/drawing/2014/main" id="{D0B5EE25-9378-1BF0-30EE-441E29D10242}"/>
              </a:ext>
            </a:extLst>
          </xdr:cNvPr>
          <xdr:cNvCxnSpPr/>
        </xdr:nvCxnSpPr>
        <xdr:spPr>
          <a:xfrm>
            <a:off x="1133475" y="5810251"/>
            <a:ext cx="38862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85" name="Straight Connector 984">
            <a:extLst>
              <a:ext uri="{FF2B5EF4-FFF2-40B4-BE49-F238E27FC236}">
                <a16:creationId xmlns:a16="http://schemas.microsoft.com/office/drawing/2014/main" id="{9CFE5820-8693-DE47-7722-B9129474C0C2}"/>
              </a:ext>
            </a:extLst>
          </xdr:cNvPr>
          <xdr:cNvCxnSpPr/>
        </xdr:nvCxnSpPr>
        <xdr:spPr>
          <a:xfrm>
            <a:off x="1133475" y="6524626"/>
            <a:ext cx="38862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86" name="Straight Connector 985">
            <a:extLst>
              <a:ext uri="{FF2B5EF4-FFF2-40B4-BE49-F238E27FC236}">
                <a16:creationId xmlns:a16="http://schemas.microsoft.com/office/drawing/2014/main" id="{0F022185-2819-5FC6-8466-06AC95D2870A}"/>
              </a:ext>
            </a:extLst>
          </xdr:cNvPr>
          <xdr:cNvCxnSpPr/>
        </xdr:nvCxnSpPr>
        <xdr:spPr>
          <a:xfrm>
            <a:off x="1133474" y="7239000"/>
            <a:ext cx="38862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87" name="Straight Connector 986">
            <a:extLst>
              <a:ext uri="{FF2B5EF4-FFF2-40B4-BE49-F238E27FC236}">
                <a16:creationId xmlns:a16="http://schemas.microsoft.com/office/drawing/2014/main" id="{C54FF9DD-AF44-D841-3DB6-A957D2AE50E4}"/>
              </a:ext>
            </a:extLst>
          </xdr:cNvPr>
          <xdr:cNvCxnSpPr/>
        </xdr:nvCxnSpPr>
        <xdr:spPr>
          <a:xfrm>
            <a:off x="1133474" y="7953375"/>
            <a:ext cx="38862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88" name="Straight Connector 987">
            <a:extLst>
              <a:ext uri="{FF2B5EF4-FFF2-40B4-BE49-F238E27FC236}">
                <a16:creationId xmlns:a16="http://schemas.microsoft.com/office/drawing/2014/main" id="{B3DE5DD1-5811-5D1C-4DC3-E76DAF44B385}"/>
              </a:ext>
            </a:extLst>
          </xdr:cNvPr>
          <xdr:cNvCxnSpPr/>
        </xdr:nvCxnSpPr>
        <xdr:spPr>
          <a:xfrm>
            <a:off x="1133474" y="8667750"/>
            <a:ext cx="38862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89" name="Straight Connector 988">
            <a:extLst>
              <a:ext uri="{FF2B5EF4-FFF2-40B4-BE49-F238E27FC236}">
                <a16:creationId xmlns:a16="http://schemas.microsoft.com/office/drawing/2014/main" id="{CF3D35CC-AF8C-30C8-EBC9-BBC1C01DC5DF}"/>
              </a:ext>
            </a:extLst>
          </xdr:cNvPr>
          <xdr:cNvCxnSpPr/>
        </xdr:nvCxnSpPr>
        <xdr:spPr>
          <a:xfrm>
            <a:off x="1138238" y="4386263"/>
            <a:ext cx="971550" cy="70961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90" name="Straight Connector 989">
            <a:extLst>
              <a:ext uri="{FF2B5EF4-FFF2-40B4-BE49-F238E27FC236}">
                <a16:creationId xmlns:a16="http://schemas.microsoft.com/office/drawing/2014/main" id="{C5D7B085-8254-84B8-11B3-FE3272AAD85E}"/>
              </a:ext>
            </a:extLst>
          </xdr:cNvPr>
          <xdr:cNvCxnSpPr/>
        </xdr:nvCxnSpPr>
        <xdr:spPr>
          <a:xfrm flipV="1">
            <a:off x="1133475" y="4381500"/>
            <a:ext cx="971550" cy="7143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91" name="Straight Connector 990">
            <a:extLst>
              <a:ext uri="{FF2B5EF4-FFF2-40B4-BE49-F238E27FC236}">
                <a16:creationId xmlns:a16="http://schemas.microsoft.com/office/drawing/2014/main" id="{C3E2816A-1538-CA5D-485B-F61D6906E8DA}"/>
              </a:ext>
            </a:extLst>
          </xdr:cNvPr>
          <xdr:cNvCxnSpPr/>
        </xdr:nvCxnSpPr>
        <xdr:spPr>
          <a:xfrm>
            <a:off x="2109788" y="4386263"/>
            <a:ext cx="971550" cy="70961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92" name="Straight Connector 991">
            <a:extLst>
              <a:ext uri="{FF2B5EF4-FFF2-40B4-BE49-F238E27FC236}">
                <a16:creationId xmlns:a16="http://schemas.microsoft.com/office/drawing/2014/main" id="{27B08B01-A5B4-171C-AA15-B06597DE1704}"/>
              </a:ext>
            </a:extLst>
          </xdr:cNvPr>
          <xdr:cNvCxnSpPr/>
        </xdr:nvCxnSpPr>
        <xdr:spPr>
          <a:xfrm flipV="1">
            <a:off x="2105025" y="4381500"/>
            <a:ext cx="971550" cy="7143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93" name="Straight Connector 992">
            <a:extLst>
              <a:ext uri="{FF2B5EF4-FFF2-40B4-BE49-F238E27FC236}">
                <a16:creationId xmlns:a16="http://schemas.microsoft.com/office/drawing/2014/main" id="{40B836DF-8A2E-7E7A-5C6F-F6C74235A48E}"/>
              </a:ext>
            </a:extLst>
          </xdr:cNvPr>
          <xdr:cNvCxnSpPr/>
        </xdr:nvCxnSpPr>
        <xdr:spPr>
          <a:xfrm>
            <a:off x="3081338" y="4386263"/>
            <a:ext cx="971550" cy="70961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94" name="Straight Connector 993">
            <a:extLst>
              <a:ext uri="{FF2B5EF4-FFF2-40B4-BE49-F238E27FC236}">
                <a16:creationId xmlns:a16="http://schemas.microsoft.com/office/drawing/2014/main" id="{07E29E12-D2AC-8D7A-3EBF-46BB54DAF0CC}"/>
              </a:ext>
            </a:extLst>
          </xdr:cNvPr>
          <xdr:cNvCxnSpPr/>
        </xdr:nvCxnSpPr>
        <xdr:spPr>
          <a:xfrm flipV="1">
            <a:off x="3076575" y="4381500"/>
            <a:ext cx="971550" cy="7143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95" name="Straight Connector 994">
            <a:extLst>
              <a:ext uri="{FF2B5EF4-FFF2-40B4-BE49-F238E27FC236}">
                <a16:creationId xmlns:a16="http://schemas.microsoft.com/office/drawing/2014/main" id="{C6A1E1FA-2BD8-D210-3510-4F9B079AD2C1}"/>
              </a:ext>
            </a:extLst>
          </xdr:cNvPr>
          <xdr:cNvCxnSpPr/>
        </xdr:nvCxnSpPr>
        <xdr:spPr>
          <a:xfrm>
            <a:off x="4052888" y="4386263"/>
            <a:ext cx="971550" cy="70961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96" name="Straight Connector 995">
            <a:extLst>
              <a:ext uri="{FF2B5EF4-FFF2-40B4-BE49-F238E27FC236}">
                <a16:creationId xmlns:a16="http://schemas.microsoft.com/office/drawing/2014/main" id="{C1303C77-4C95-5C18-1087-C403E2D03AEB}"/>
              </a:ext>
            </a:extLst>
          </xdr:cNvPr>
          <xdr:cNvCxnSpPr/>
        </xdr:nvCxnSpPr>
        <xdr:spPr>
          <a:xfrm flipV="1">
            <a:off x="4048125" y="4381500"/>
            <a:ext cx="971550" cy="7143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97" name="Straight Connector 996">
            <a:extLst>
              <a:ext uri="{FF2B5EF4-FFF2-40B4-BE49-F238E27FC236}">
                <a16:creationId xmlns:a16="http://schemas.microsoft.com/office/drawing/2014/main" id="{04FEBA16-1BE1-E482-7EBB-257F384120C0}"/>
              </a:ext>
            </a:extLst>
          </xdr:cNvPr>
          <xdr:cNvCxnSpPr/>
        </xdr:nvCxnSpPr>
        <xdr:spPr>
          <a:xfrm>
            <a:off x="1138238" y="6529397"/>
            <a:ext cx="971550" cy="70961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98" name="Straight Connector 997">
            <a:extLst>
              <a:ext uri="{FF2B5EF4-FFF2-40B4-BE49-F238E27FC236}">
                <a16:creationId xmlns:a16="http://schemas.microsoft.com/office/drawing/2014/main" id="{EB7E3908-556F-7EEA-8278-15E5F6A41B93}"/>
              </a:ext>
            </a:extLst>
          </xdr:cNvPr>
          <xdr:cNvCxnSpPr/>
        </xdr:nvCxnSpPr>
        <xdr:spPr>
          <a:xfrm flipV="1">
            <a:off x="1133475" y="6524634"/>
            <a:ext cx="971550" cy="7143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99" name="Straight Connector 998">
            <a:extLst>
              <a:ext uri="{FF2B5EF4-FFF2-40B4-BE49-F238E27FC236}">
                <a16:creationId xmlns:a16="http://schemas.microsoft.com/office/drawing/2014/main" id="{A7E96DD5-AB39-168C-BF24-E2B0398399F2}"/>
              </a:ext>
            </a:extLst>
          </xdr:cNvPr>
          <xdr:cNvCxnSpPr/>
        </xdr:nvCxnSpPr>
        <xdr:spPr>
          <a:xfrm>
            <a:off x="2109788" y="6529397"/>
            <a:ext cx="971550" cy="70961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00" name="Straight Connector 999">
            <a:extLst>
              <a:ext uri="{FF2B5EF4-FFF2-40B4-BE49-F238E27FC236}">
                <a16:creationId xmlns:a16="http://schemas.microsoft.com/office/drawing/2014/main" id="{0532B5B5-3756-D89E-23CA-E2E2F23BBF8B}"/>
              </a:ext>
            </a:extLst>
          </xdr:cNvPr>
          <xdr:cNvCxnSpPr/>
        </xdr:nvCxnSpPr>
        <xdr:spPr>
          <a:xfrm flipV="1">
            <a:off x="2105025" y="6524634"/>
            <a:ext cx="971550" cy="7143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01" name="Straight Connector 1000">
            <a:extLst>
              <a:ext uri="{FF2B5EF4-FFF2-40B4-BE49-F238E27FC236}">
                <a16:creationId xmlns:a16="http://schemas.microsoft.com/office/drawing/2014/main" id="{DDEE113D-E87F-A783-6E8C-1E801D475807}"/>
              </a:ext>
            </a:extLst>
          </xdr:cNvPr>
          <xdr:cNvCxnSpPr/>
        </xdr:nvCxnSpPr>
        <xdr:spPr>
          <a:xfrm>
            <a:off x="3081338" y="6529397"/>
            <a:ext cx="971550" cy="70961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02" name="Straight Connector 1001">
            <a:extLst>
              <a:ext uri="{FF2B5EF4-FFF2-40B4-BE49-F238E27FC236}">
                <a16:creationId xmlns:a16="http://schemas.microsoft.com/office/drawing/2014/main" id="{7F6514CB-4218-D329-225E-82EB335ED9D1}"/>
              </a:ext>
            </a:extLst>
          </xdr:cNvPr>
          <xdr:cNvCxnSpPr/>
        </xdr:nvCxnSpPr>
        <xdr:spPr>
          <a:xfrm flipV="1">
            <a:off x="3076575" y="6524634"/>
            <a:ext cx="971550" cy="7143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03" name="Straight Connector 1002">
            <a:extLst>
              <a:ext uri="{FF2B5EF4-FFF2-40B4-BE49-F238E27FC236}">
                <a16:creationId xmlns:a16="http://schemas.microsoft.com/office/drawing/2014/main" id="{0C9EA4AD-3525-EB97-6148-4CF5F05FE856}"/>
              </a:ext>
            </a:extLst>
          </xdr:cNvPr>
          <xdr:cNvCxnSpPr/>
        </xdr:nvCxnSpPr>
        <xdr:spPr>
          <a:xfrm>
            <a:off x="4052888" y="6529397"/>
            <a:ext cx="971550" cy="70961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04" name="Straight Connector 1003">
            <a:extLst>
              <a:ext uri="{FF2B5EF4-FFF2-40B4-BE49-F238E27FC236}">
                <a16:creationId xmlns:a16="http://schemas.microsoft.com/office/drawing/2014/main" id="{0B7C56D9-91B3-8D4E-E3BB-7A6591A86710}"/>
              </a:ext>
            </a:extLst>
          </xdr:cNvPr>
          <xdr:cNvCxnSpPr/>
        </xdr:nvCxnSpPr>
        <xdr:spPr>
          <a:xfrm flipV="1">
            <a:off x="4048125" y="6524634"/>
            <a:ext cx="971550" cy="7143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05" name="Straight Connector 1004">
            <a:extLst>
              <a:ext uri="{FF2B5EF4-FFF2-40B4-BE49-F238E27FC236}">
                <a16:creationId xmlns:a16="http://schemas.microsoft.com/office/drawing/2014/main" id="{989CA5CA-8B19-7BBA-8E0A-AA37EA0CE041}"/>
              </a:ext>
            </a:extLst>
          </xdr:cNvPr>
          <xdr:cNvCxnSpPr/>
        </xdr:nvCxnSpPr>
        <xdr:spPr>
          <a:xfrm>
            <a:off x="1133475" y="7239001"/>
            <a:ext cx="38862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06" name="Straight Connector 1005">
            <a:extLst>
              <a:ext uri="{FF2B5EF4-FFF2-40B4-BE49-F238E27FC236}">
                <a16:creationId xmlns:a16="http://schemas.microsoft.com/office/drawing/2014/main" id="{10DC321A-0BEC-6B2B-9969-D7328AE8E06F}"/>
              </a:ext>
            </a:extLst>
          </xdr:cNvPr>
          <xdr:cNvCxnSpPr/>
        </xdr:nvCxnSpPr>
        <xdr:spPr>
          <a:xfrm>
            <a:off x="1133475" y="8667751"/>
            <a:ext cx="38862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07" name="Straight Connector 1006">
            <a:extLst>
              <a:ext uri="{FF2B5EF4-FFF2-40B4-BE49-F238E27FC236}">
                <a16:creationId xmlns:a16="http://schemas.microsoft.com/office/drawing/2014/main" id="{B45C68F3-301F-2153-5C15-DED942C8F1B7}"/>
              </a:ext>
            </a:extLst>
          </xdr:cNvPr>
          <xdr:cNvCxnSpPr/>
        </xdr:nvCxnSpPr>
        <xdr:spPr>
          <a:xfrm>
            <a:off x="1138238" y="8672513"/>
            <a:ext cx="971550" cy="70961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08" name="Straight Connector 1007">
            <a:extLst>
              <a:ext uri="{FF2B5EF4-FFF2-40B4-BE49-F238E27FC236}">
                <a16:creationId xmlns:a16="http://schemas.microsoft.com/office/drawing/2014/main" id="{4F60E8BB-9569-0277-342C-71CEE8D348E6}"/>
              </a:ext>
            </a:extLst>
          </xdr:cNvPr>
          <xdr:cNvCxnSpPr/>
        </xdr:nvCxnSpPr>
        <xdr:spPr>
          <a:xfrm flipV="1">
            <a:off x="1133475" y="8667750"/>
            <a:ext cx="971550" cy="7143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09" name="Straight Connector 1008">
            <a:extLst>
              <a:ext uri="{FF2B5EF4-FFF2-40B4-BE49-F238E27FC236}">
                <a16:creationId xmlns:a16="http://schemas.microsoft.com/office/drawing/2014/main" id="{57129BB8-5B7B-314A-A644-D28832FE1260}"/>
              </a:ext>
            </a:extLst>
          </xdr:cNvPr>
          <xdr:cNvCxnSpPr/>
        </xdr:nvCxnSpPr>
        <xdr:spPr>
          <a:xfrm>
            <a:off x="2109788" y="8672513"/>
            <a:ext cx="971550" cy="70961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10" name="Straight Connector 1009">
            <a:extLst>
              <a:ext uri="{FF2B5EF4-FFF2-40B4-BE49-F238E27FC236}">
                <a16:creationId xmlns:a16="http://schemas.microsoft.com/office/drawing/2014/main" id="{255FAAE7-C8EE-C4C6-8C45-84A312C56A8B}"/>
              </a:ext>
            </a:extLst>
          </xdr:cNvPr>
          <xdr:cNvCxnSpPr/>
        </xdr:nvCxnSpPr>
        <xdr:spPr>
          <a:xfrm flipV="1">
            <a:off x="2105025" y="8667750"/>
            <a:ext cx="971550" cy="7143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11" name="Straight Connector 1010">
            <a:extLst>
              <a:ext uri="{FF2B5EF4-FFF2-40B4-BE49-F238E27FC236}">
                <a16:creationId xmlns:a16="http://schemas.microsoft.com/office/drawing/2014/main" id="{7DC53F10-3EED-A744-5883-97C5444659F1}"/>
              </a:ext>
            </a:extLst>
          </xdr:cNvPr>
          <xdr:cNvCxnSpPr/>
        </xdr:nvCxnSpPr>
        <xdr:spPr>
          <a:xfrm>
            <a:off x="3081338" y="8672513"/>
            <a:ext cx="971550" cy="70961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12" name="Straight Connector 1011">
            <a:extLst>
              <a:ext uri="{FF2B5EF4-FFF2-40B4-BE49-F238E27FC236}">
                <a16:creationId xmlns:a16="http://schemas.microsoft.com/office/drawing/2014/main" id="{84CBC02E-4AD4-A08A-FF93-005320FC4624}"/>
              </a:ext>
            </a:extLst>
          </xdr:cNvPr>
          <xdr:cNvCxnSpPr/>
        </xdr:nvCxnSpPr>
        <xdr:spPr>
          <a:xfrm flipV="1">
            <a:off x="3076575" y="8667750"/>
            <a:ext cx="971550" cy="7143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13" name="Straight Connector 1012">
            <a:extLst>
              <a:ext uri="{FF2B5EF4-FFF2-40B4-BE49-F238E27FC236}">
                <a16:creationId xmlns:a16="http://schemas.microsoft.com/office/drawing/2014/main" id="{CA3C6E42-3D31-DABA-267A-08730A51C3AE}"/>
              </a:ext>
            </a:extLst>
          </xdr:cNvPr>
          <xdr:cNvCxnSpPr/>
        </xdr:nvCxnSpPr>
        <xdr:spPr>
          <a:xfrm>
            <a:off x="4052888" y="8672513"/>
            <a:ext cx="971550" cy="70961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14" name="Straight Connector 1013">
            <a:extLst>
              <a:ext uri="{FF2B5EF4-FFF2-40B4-BE49-F238E27FC236}">
                <a16:creationId xmlns:a16="http://schemas.microsoft.com/office/drawing/2014/main" id="{5AF3B22F-8249-6FFA-C8AF-ADE2E3C522DA}"/>
              </a:ext>
            </a:extLst>
          </xdr:cNvPr>
          <xdr:cNvCxnSpPr/>
        </xdr:nvCxnSpPr>
        <xdr:spPr>
          <a:xfrm flipV="1">
            <a:off x="4048125" y="8667750"/>
            <a:ext cx="971550" cy="7143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15" name="Straight Connector 1014">
            <a:extLst>
              <a:ext uri="{FF2B5EF4-FFF2-40B4-BE49-F238E27FC236}">
                <a16:creationId xmlns:a16="http://schemas.microsoft.com/office/drawing/2014/main" id="{8DBCEED7-B289-0B0F-C0F7-0CFF21159D57}"/>
              </a:ext>
            </a:extLst>
          </xdr:cNvPr>
          <xdr:cNvCxnSpPr/>
        </xdr:nvCxnSpPr>
        <xdr:spPr>
          <a:xfrm>
            <a:off x="2386013" y="4262438"/>
            <a:ext cx="0" cy="404812"/>
          </a:xfrm>
          <a:prstGeom prst="line">
            <a:avLst/>
          </a:prstGeom>
          <a:ln w="9525">
            <a:solidFill>
              <a:schemeClr val="accent6">
                <a:lumMod val="75000"/>
              </a:schemeClr>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016" name="Straight Connector 1015">
            <a:extLst>
              <a:ext uri="{FF2B5EF4-FFF2-40B4-BE49-F238E27FC236}">
                <a16:creationId xmlns:a16="http://schemas.microsoft.com/office/drawing/2014/main" id="{2D58A1EE-0C30-AE0D-F4E4-EC501FCF7A1A}"/>
              </a:ext>
            </a:extLst>
          </xdr:cNvPr>
          <xdr:cNvCxnSpPr/>
        </xdr:nvCxnSpPr>
        <xdr:spPr>
          <a:xfrm>
            <a:off x="2409826" y="4262438"/>
            <a:ext cx="0" cy="404812"/>
          </a:xfrm>
          <a:prstGeom prst="line">
            <a:avLst/>
          </a:prstGeom>
          <a:ln w="9525">
            <a:solidFill>
              <a:schemeClr val="accent6">
                <a:lumMod val="75000"/>
              </a:schemeClr>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017" name="Straight Connector 1016">
            <a:extLst>
              <a:ext uri="{FF2B5EF4-FFF2-40B4-BE49-F238E27FC236}">
                <a16:creationId xmlns:a16="http://schemas.microsoft.com/office/drawing/2014/main" id="{519A6803-B03A-51E3-2987-246F2B600F9C}"/>
              </a:ext>
            </a:extLst>
          </xdr:cNvPr>
          <xdr:cNvCxnSpPr/>
        </xdr:nvCxnSpPr>
        <xdr:spPr>
          <a:xfrm>
            <a:off x="3752847" y="4267203"/>
            <a:ext cx="0" cy="404812"/>
          </a:xfrm>
          <a:prstGeom prst="line">
            <a:avLst/>
          </a:prstGeom>
          <a:ln w="9525">
            <a:solidFill>
              <a:schemeClr val="accent6">
                <a:lumMod val="75000"/>
              </a:schemeClr>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018" name="Straight Connector 1017">
            <a:extLst>
              <a:ext uri="{FF2B5EF4-FFF2-40B4-BE49-F238E27FC236}">
                <a16:creationId xmlns:a16="http://schemas.microsoft.com/office/drawing/2014/main" id="{61B7AEA1-25FB-0885-4454-AE3487C2EC73}"/>
              </a:ext>
            </a:extLst>
          </xdr:cNvPr>
          <xdr:cNvCxnSpPr/>
        </xdr:nvCxnSpPr>
        <xdr:spPr>
          <a:xfrm>
            <a:off x="3776660" y="4267203"/>
            <a:ext cx="0" cy="404812"/>
          </a:xfrm>
          <a:prstGeom prst="line">
            <a:avLst/>
          </a:prstGeom>
          <a:ln w="9525">
            <a:solidFill>
              <a:schemeClr val="accent6">
                <a:lumMod val="75000"/>
              </a:schemeClr>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019" name="Straight Connector 1018">
            <a:extLst>
              <a:ext uri="{FF2B5EF4-FFF2-40B4-BE49-F238E27FC236}">
                <a16:creationId xmlns:a16="http://schemas.microsoft.com/office/drawing/2014/main" id="{3A379B6E-8CC3-C1FB-40BF-9A39AA4D9F3C}"/>
              </a:ext>
            </a:extLst>
          </xdr:cNvPr>
          <xdr:cNvCxnSpPr/>
        </xdr:nvCxnSpPr>
        <xdr:spPr>
          <a:xfrm flipH="1">
            <a:off x="419100" y="4381501"/>
            <a:ext cx="622300"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020" name="Straight Connector 1019">
            <a:extLst>
              <a:ext uri="{FF2B5EF4-FFF2-40B4-BE49-F238E27FC236}">
                <a16:creationId xmlns:a16="http://schemas.microsoft.com/office/drawing/2014/main" id="{C49D53EB-2133-B930-01A7-899A44379C2A}"/>
              </a:ext>
            </a:extLst>
          </xdr:cNvPr>
          <xdr:cNvCxnSpPr/>
        </xdr:nvCxnSpPr>
        <xdr:spPr>
          <a:xfrm>
            <a:off x="809626" y="4314823"/>
            <a:ext cx="0" cy="512921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021" name="Straight Connector 1020">
            <a:extLst>
              <a:ext uri="{FF2B5EF4-FFF2-40B4-BE49-F238E27FC236}">
                <a16:creationId xmlns:a16="http://schemas.microsoft.com/office/drawing/2014/main" id="{576AC654-9D1D-20BC-0985-C6F6CEEE71EE}"/>
              </a:ext>
            </a:extLst>
          </xdr:cNvPr>
          <xdr:cNvCxnSpPr/>
        </xdr:nvCxnSpPr>
        <xdr:spPr>
          <a:xfrm flipH="1">
            <a:off x="776287" y="4348163"/>
            <a:ext cx="66675" cy="666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022" name="Straight Connector 1021">
            <a:extLst>
              <a:ext uri="{FF2B5EF4-FFF2-40B4-BE49-F238E27FC236}">
                <a16:creationId xmlns:a16="http://schemas.microsoft.com/office/drawing/2014/main" id="{47E2484A-BB63-7455-1F07-0535B7799060}"/>
              </a:ext>
            </a:extLst>
          </xdr:cNvPr>
          <xdr:cNvCxnSpPr/>
        </xdr:nvCxnSpPr>
        <xdr:spPr>
          <a:xfrm flipH="1">
            <a:off x="752475" y="5095879"/>
            <a:ext cx="26352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023" name="Straight Connector 1022">
            <a:extLst>
              <a:ext uri="{FF2B5EF4-FFF2-40B4-BE49-F238E27FC236}">
                <a16:creationId xmlns:a16="http://schemas.microsoft.com/office/drawing/2014/main" id="{0E663A79-323F-6ADE-1D17-9FE88B691C0F}"/>
              </a:ext>
            </a:extLst>
          </xdr:cNvPr>
          <xdr:cNvCxnSpPr/>
        </xdr:nvCxnSpPr>
        <xdr:spPr>
          <a:xfrm flipH="1">
            <a:off x="776283" y="5062541"/>
            <a:ext cx="66675" cy="666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024" name="Straight Connector 1023">
            <a:extLst>
              <a:ext uri="{FF2B5EF4-FFF2-40B4-BE49-F238E27FC236}">
                <a16:creationId xmlns:a16="http://schemas.microsoft.com/office/drawing/2014/main" id="{30B716C7-485A-F312-98DC-28B46A5266FC}"/>
              </a:ext>
            </a:extLst>
          </xdr:cNvPr>
          <xdr:cNvCxnSpPr/>
        </xdr:nvCxnSpPr>
        <xdr:spPr>
          <a:xfrm flipH="1">
            <a:off x="752475" y="5810254"/>
            <a:ext cx="2825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025" name="Straight Connector 1024">
            <a:extLst>
              <a:ext uri="{FF2B5EF4-FFF2-40B4-BE49-F238E27FC236}">
                <a16:creationId xmlns:a16="http://schemas.microsoft.com/office/drawing/2014/main" id="{12E73AD3-A5DD-6B92-B507-448CDA9C56BA}"/>
              </a:ext>
            </a:extLst>
          </xdr:cNvPr>
          <xdr:cNvCxnSpPr/>
        </xdr:nvCxnSpPr>
        <xdr:spPr>
          <a:xfrm flipH="1">
            <a:off x="776283" y="5776916"/>
            <a:ext cx="66675" cy="666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026" name="Straight Connector 1025">
            <a:extLst>
              <a:ext uri="{FF2B5EF4-FFF2-40B4-BE49-F238E27FC236}">
                <a16:creationId xmlns:a16="http://schemas.microsoft.com/office/drawing/2014/main" id="{BA6BCB4F-093A-556B-6AAE-9C33CB309FA4}"/>
              </a:ext>
            </a:extLst>
          </xdr:cNvPr>
          <xdr:cNvCxnSpPr/>
        </xdr:nvCxnSpPr>
        <xdr:spPr>
          <a:xfrm flipH="1">
            <a:off x="752475" y="6524629"/>
            <a:ext cx="273050"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027" name="Straight Connector 1026">
            <a:extLst>
              <a:ext uri="{FF2B5EF4-FFF2-40B4-BE49-F238E27FC236}">
                <a16:creationId xmlns:a16="http://schemas.microsoft.com/office/drawing/2014/main" id="{F562A5D0-38E6-DFFB-DFC9-EBC4B302CEC6}"/>
              </a:ext>
            </a:extLst>
          </xdr:cNvPr>
          <xdr:cNvCxnSpPr/>
        </xdr:nvCxnSpPr>
        <xdr:spPr>
          <a:xfrm flipH="1">
            <a:off x="776283" y="6491291"/>
            <a:ext cx="66675" cy="666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028" name="Straight Connector 1027">
            <a:extLst>
              <a:ext uri="{FF2B5EF4-FFF2-40B4-BE49-F238E27FC236}">
                <a16:creationId xmlns:a16="http://schemas.microsoft.com/office/drawing/2014/main" id="{87DC9B60-8F50-264E-3C21-ED8A155B522B}"/>
              </a:ext>
            </a:extLst>
          </xdr:cNvPr>
          <xdr:cNvCxnSpPr/>
        </xdr:nvCxnSpPr>
        <xdr:spPr>
          <a:xfrm flipH="1">
            <a:off x="752475" y="7239004"/>
            <a:ext cx="2698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029" name="Straight Connector 1028">
            <a:extLst>
              <a:ext uri="{FF2B5EF4-FFF2-40B4-BE49-F238E27FC236}">
                <a16:creationId xmlns:a16="http://schemas.microsoft.com/office/drawing/2014/main" id="{E5876FA6-3734-910D-9BE5-C13DB8467E11}"/>
              </a:ext>
            </a:extLst>
          </xdr:cNvPr>
          <xdr:cNvCxnSpPr/>
        </xdr:nvCxnSpPr>
        <xdr:spPr>
          <a:xfrm flipH="1">
            <a:off x="776283" y="7205666"/>
            <a:ext cx="66675" cy="666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030" name="Straight Connector 1029">
            <a:extLst>
              <a:ext uri="{FF2B5EF4-FFF2-40B4-BE49-F238E27FC236}">
                <a16:creationId xmlns:a16="http://schemas.microsoft.com/office/drawing/2014/main" id="{28455CF3-8BD8-D414-4014-0B59491222E5}"/>
              </a:ext>
            </a:extLst>
          </xdr:cNvPr>
          <xdr:cNvCxnSpPr/>
        </xdr:nvCxnSpPr>
        <xdr:spPr>
          <a:xfrm flipH="1">
            <a:off x="752475" y="7953379"/>
            <a:ext cx="2698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031" name="Straight Connector 1030">
            <a:extLst>
              <a:ext uri="{FF2B5EF4-FFF2-40B4-BE49-F238E27FC236}">
                <a16:creationId xmlns:a16="http://schemas.microsoft.com/office/drawing/2014/main" id="{0795FD79-FBDE-7CA5-C28D-605C184880D3}"/>
              </a:ext>
            </a:extLst>
          </xdr:cNvPr>
          <xdr:cNvCxnSpPr/>
        </xdr:nvCxnSpPr>
        <xdr:spPr>
          <a:xfrm flipH="1">
            <a:off x="776283" y="7920041"/>
            <a:ext cx="66675" cy="666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032" name="Straight Connector 1031">
            <a:extLst>
              <a:ext uri="{FF2B5EF4-FFF2-40B4-BE49-F238E27FC236}">
                <a16:creationId xmlns:a16="http://schemas.microsoft.com/office/drawing/2014/main" id="{2F02AA15-8A14-2728-982F-FFEEF74F8790}"/>
              </a:ext>
            </a:extLst>
          </xdr:cNvPr>
          <xdr:cNvCxnSpPr/>
        </xdr:nvCxnSpPr>
        <xdr:spPr>
          <a:xfrm flipH="1">
            <a:off x="752475" y="8667754"/>
            <a:ext cx="28892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033" name="Straight Connector 1032">
            <a:extLst>
              <a:ext uri="{FF2B5EF4-FFF2-40B4-BE49-F238E27FC236}">
                <a16:creationId xmlns:a16="http://schemas.microsoft.com/office/drawing/2014/main" id="{55D4D1C0-F21A-739A-3BB0-23CBFCCD184D}"/>
              </a:ext>
            </a:extLst>
          </xdr:cNvPr>
          <xdr:cNvCxnSpPr/>
        </xdr:nvCxnSpPr>
        <xdr:spPr>
          <a:xfrm flipH="1">
            <a:off x="776283" y="8634416"/>
            <a:ext cx="66675" cy="666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034" name="Straight Connector 1033">
            <a:extLst>
              <a:ext uri="{FF2B5EF4-FFF2-40B4-BE49-F238E27FC236}">
                <a16:creationId xmlns:a16="http://schemas.microsoft.com/office/drawing/2014/main" id="{2D8A7C13-49BD-1EAC-BAB7-92DF2EFC46D6}"/>
              </a:ext>
            </a:extLst>
          </xdr:cNvPr>
          <xdr:cNvCxnSpPr/>
        </xdr:nvCxnSpPr>
        <xdr:spPr>
          <a:xfrm>
            <a:off x="485776" y="4314825"/>
            <a:ext cx="0" cy="512921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035" name="Straight Connector 1034">
            <a:extLst>
              <a:ext uri="{FF2B5EF4-FFF2-40B4-BE49-F238E27FC236}">
                <a16:creationId xmlns:a16="http://schemas.microsoft.com/office/drawing/2014/main" id="{5E49120E-91B2-C02E-6F5E-2F101B1B970F}"/>
              </a:ext>
            </a:extLst>
          </xdr:cNvPr>
          <xdr:cNvCxnSpPr/>
        </xdr:nvCxnSpPr>
        <xdr:spPr>
          <a:xfrm flipH="1">
            <a:off x="452437" y="4348165"/>
            <a:ext cx="66675" cy="666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036" name="Straight Connector 1035">
            <a:extLst>
              <a:ext uri="{FF2B5EF4-FFF2-40B4-BE49-F238E27FC236}">
                <a16:creationId xmlns:a16="http://schemas.microsoft.com/office/drawing/2014/main" id="{1AAFC0EC-9942-A078-4AF3-22D832771C6A}"/>
              </a:ext>
            </a:extLst>
          </xdr:cNvPr>
          <xdr:cNvCxnSpPr/>
        </xdr:nvCxnSpPr>
        <xdr:spPr>
          <a:xfrm flipH="1">
            <a:off x="419100" y="9382126"/>
            <a:ext cx="59372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037" name="Straight Connector 1036">
            <a:extLst>
              <a:ext uri="{FF2B5EF4-FFF2-40B4-BE49-F238E27FC236}">
                <a16:creationId xmlns:a16="http://schemas.microsoft.com/office/drawing/2014/main" id="{BC706FC0-2368-2599-65A9-B0C5C823A9FF}"/>
              </a:ext>
            </a:extLst>
          </xdr:cNvPr>
          <xdr:cNvCxnSpPr/>
        </xdr:nvCxnSpPr>
        <xdr:spPr>
          <a:xfrm flipH="1">
            <a:off x="776287" y="9348788"/>
            <a:ext cx="66675" cy="666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038" name="Straight Connector 1037">
            <a:extLst>
              <a:ext uri="{FF2B5EF4-FFF2-40B4-BE49-F238E27FC236}">
                <a16:creationId xmlns:a16="http://schemas.microsoft.com/office/drawing/2014/main" id="{61294765-F052-BAF4-DBE9-80310D239797}"/>
              </a:ext>
            </a:extLst>
          </xdr:cNvPr>
          <xdr:cNvCxnSpPr/>
        </xdr:nvCxnSpPr>
        <xdr:spPr>
          <a:xfrm flipH="1">
            <a:off x="452437" y="9348790"/>
            <a:ext cx="66675" cy="666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039" name="Straight Connector 1038">
            <a:extLst>
              <a:ext uri="{FF2B5EF4-FFF2-40B4-BE49-F238E27FC236}">
                <a16:creationId xmlns:a16="http://schemas.microsoft.com/office/drawing/2014/main" id="{9AE20ED5-33A9-28E1-11E3-09E844F6E14D}"/>
              </a:ext>
            </a:extLst>
          </xdr:cNvPr>
          <xdr:cNvCxnSpPr/>
        </xdr:nvCxnSpPr>
        <xdr:spPr>
          <a:xfrm>
            <a:off x="1019177" y="5429248"/>
            <a:ext cx="314322" cy="0"/>
          </a:xfrm>
          <a:prstGeom prst="line">
            <a:avLst/>
          </a:prstGeom>
          <a:ln w="9525">
            <a:solidFill>
              <a:schemeClr val="accent6">
                <a:lumMod val="75000"/>
              </a:schemeClr>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040" name="Straight Connector 1039">
            <a:extLst>
              <a:ext uri="{FF2B5EF4-FFF2-40B4-BE49-F238E27FC236}">
                <a16:creationId xmlns:a16="http://schemas.microsoft.com/office/drawing/2014/main" id="{8E32B0EE-9444-F8DA-DACA-77FCDA3C6F46}"/>
              </a:ext>
            </a:extLst>
          </xdr:cNvPr>
          <xdr:cNvCxnSpPr/>
        </xdr:nvCxnSpPr>
        <xdr:spPr>
          <a:xfrm>
            <a:off x="1019178" y="5453061"/>
            <a:ext cx="314322" cy="0"/>
          </a:xfrm>
          <a:prstGeom prst="line">
            <a:avLst/>
          </a:prstGeom>
          <a:ln w="9525">
            <a:solidFill>
              <a:schemeClr val="accent6">
                <a:lumMod val="75000"/>
              </a:schemeClr>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041" name="Straight Connector 1040">
            <a:extLst>
              <a:ext uri="{FF2B5EF4-FFF2-40B4-BE49-F238E27FC236}">
                <a16:creationId xmlns:a16="http://schemas.microsoft.com/office/drawing/2014/main" id="{273DBE82-AA28-FC37-CF05-9721B2665325}"/>
              </a:ext>
            </a:extLst>
          </xdr:cNvPr>
          <xdr:cNvCxnSpPr/>
        </xdr:nvCxnSpPr>
        <xdr:spPr>
          <a:xfrm>
            <a:off x="4838700" y="5434011"/>
            <a:ext cx="314322" cy="0"/>
          </a:xfrm>
          <a:prstGeom prst="line">
            <a:avLst/>
          </a:prstGeom>
          <a:ln w="9525">
            <a:solidFill>
              <a:schemeClr val="accent6">
                <a:lumMod val="75000"/>
              </a:schemeClr>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042" name="Straight Connector 1041">
            <a:extLst>
              <a:ext uri="{FF2B5EF4-FFF2-40B4-BE49-F238E27FC236}">
                <a16:creationId xmlns:a16="http://schemas.microsoft.com/office/drawing/2014/main" id="{E7BE2863-1CF9-3B6F-E875-E1821F50906C}"/>
              </a:ext>
            </a:extLst>
          </xdr:cNvPr>
          <xdr:cNvCxnSpPr/>
        </xdr:nvCxnSpPr>
        <xdr:spPr>
          <a:xfrm>
            <a:off x="4838701" y="5457824"/>
            <a:ext cx="314322" cy="0"/>
          </a:xfrm>
          <a:prstGeom prst="line">
            <a:avLst/>
          </a:prstGeom>
          <a:ln w="9525">
            <a:solidFill>
              <a:schemeClr val="accent6">
                <a:lumMod val="75000"/>
              </a:schemeClr>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043" name="Straight Connector 1042">
            <a:extLst>
              <a:ext uri="{FF2B5EF4-FFF2-40B4-BE49-F238E27FC236}">
                <a16:creationId xmlns:a16="http://schemas.microsoft.com/office/drawing/2014/main" id="{BAA67052-63C1-3D92-F171-582F0231937C}"/>
              </a:ext>
            </a:extLst>
          </xdr:cNvPr>
          <xdr:cNvCxnSpPr/>
        </xdr:nvCxnSpPr>
        <xdr:spPr>
          <a:xfrm>
            <a:off x="985836" y="5305428"/>
            <a:ext cx="300038" cy="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1044" name="Isosceles Triangle 1043">
            <a:extLst>
              <a:ext uri="{FF2B5EF4-FFF2-40B4-BE49-F238E27FC236}">
                <a16:creationId xmlns:a16="http://schemas.microsoft.com/office/drawing/2014/main" id="{4920BEB4-0CD4-2AB6-CD65-74E8954749EB}"/>
              </a:ext>
            </a:extLst>
          </xdr:cNvPr>
          <xdr:cNvSpPr/>
        </xdr:nvSpPr>
        <xdr:spPr>
          <a:xfrm>
            <a:off x="995364" y="5202457"/>
            <a:ext cx="95250" cy="82112"/>
          </a:xfrm>
          <a:prstGeom prst="triangle">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kern="1200"/>
          </a:p>
        </xdr:txBody>
      </xdr:sp>
      <xdr:cxnSp macro="">
        <xdr:nvCxnSpPr>
          <xdr:cNvPr id="1045" name="Straight Connector 1044">
            <a:extLst>
              <a:ext uri="{FF2B5EF4-FFF2-40B4-BE49-F238E27FC236}">
                <a16:creationId xmlns:a16="http://schemas.microsoft.com/office/drawing/2014/main" id="{BB753452-4056-877C-108F-6DC570A92FFF}"/>
              </a:ext>
            </a:extLst>
          </xdr:cNvPr>
          <xdr:cNvCxnSpPr/>
        </xdr:nvCxnSpPr>
        <xdr:spPr>
          <a:xfrm>
            <a:off x="4914898" y="5303621"/>
            <a:ext cx="300038" cy="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1046" name="Isosceles Triangle 1045">
            <a:extLst>
              <a:ext uri="{FF2B5EF4-FFF2-40B4-BE49-F238E27FC236}">
                <a16:creationId xmlns:a16="http://schemas.microsoft.com/office/drawing/2014/main" id="{AB07D6BF-19CD-5BA5-76B1-3700C36FA84D}"/>
              </a:ext>
            </a:extLst>
          </xdr:cNvPr>
          <xdr:cNvSpPr/>
        </xdr:nvSpPr>
        <xdr:spPr>
          <a:xfrm>
            <a:off x="5114928" y="5200650"/>
            <a:ext cx="95250" cy="82112"/>
          </a:xfrm>
          <a:prstGeom prst="triangle">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kern="1200"/>
          </a:p>
        </xdr:txBody>
      </xdr:sp>
      <xdr:cxnSp macro="">
        <xdr:nvCxnSpPr>
          <xdr:cNvPr id="1047" name="Straight Connector 1046">
            <a:extLst>
              <a:ext uri="{FF2B5EF4-FFF2-40B4-BE49-F238E27FC236}">
                <a16:creationId xmlns:a16="http://schemas.microsoft.com/office/drawing/2014/main" id="{E8D9FE4B-BFA7-C8AD-DECC-CF591814ACEB}"/>
              </a:ext>
            </a:extLst>
          </xdr:cNvPr>
          <xdr:cNvCxnSpPr/>
        </xdr:nvCxnSpPr>
        <xdr:spPr>
          <a:xfrm>
            <a:off x="5051425" y="4381500"/>
            <a:ext cx="0" cy="71755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048" name="Straight Connector 1047">
            <a:extLst>
              <a:ext uri="{FF2B5EF4-FFF2-40B4-BE49-F238E27FC236}">
                <a16:creationId xmlns:a16="http://schemas.microsoft.com/office/drawing/2014/main" id="{86DED608-8CB6-8802-7763-B62344627C99}"/>
              </a:ext>
            </a:extLst>
          </xdr:cNvPr>
          <xdr:cNvCxnSpPr/>
        </xdr:nvCxnSpPr>
        <xdr:spPr>
          <a:xfrm>
            <a:off x="1108075" y="4384675"/>
            <a:ext cx="0" cy="71755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049" name="Straight Connector 1048">
            <a:extLst>
              <a:ext uri="{FF2B5EF4-FFF2-40B4-BE49-F238E27FC236}">
                <a16:creationId xmlns:a16="http://schemas.microsoft.com/office/drawing/2014/main" id="{A6BC00A6-FE04-AF37-CD05-8B172D2C70CF}"/>
              </a:ext>
            </a:extLst>
          </xdr:cNvPr>
          <xdr:cNvCxnSpPr/>
        </xdr:nvCxnSpPr>
        <xdr:spPr>
          <a:xfrm>
            <a:off x="5048250" y="6524634"/>
            <a:ext cx="0" cy="71755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050" name="Straight Connector 1049">
            <a:extLst>
              <a:ext uri="{FF2B5EF4-FFF2-40B4-BE49-F238E27FC236}">
                <a16:creationId xmlns:a16="http://schemas.microsoft.com/office/drawing/2014/main" id="{D7755155-6807-B6A8-32F5-E823A534846A}"/>
              </a:ext>
            </a:extLst>
          </xdr:cNvPr>
          <xdr:cNvCxnSpPr/>
        </xdr:nvCxnSpPr>
        <xdr:spPr>
          <a:xfrm>
            <a:off x="1104900" y="6527809"/>
            <a:ext cx="0" cy="71755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051" name="Straight Connector 1050">
            <a:extLst>
              <a:ext uri="{FF2B5EF4-FFF2-40B4-BE49-F238E27FC236}">
                <a16:creationId xmlns:a16="http://schemas.microsoft.com/office/drawing/2014/main" id="{EB6A83AB-5323-7770-6333-2126E60E0BBA}"/>
              </a:ext>
            </a:extLst>
          </xdr:cNvPr>
          <xdr:cNvCxnSpPr/>
        </xdr:nvCxnSpPr>
        <xdr:spPr>
          <a:xfrm>
            <a:off x="5048250" y="8667750"/>
            <a:ext cx="0" cy="71755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052" name="Straight Connector 1051">
            <a:extLst>
              <a:ext uri="{FF2B5EF4-FFF2-40B4-BE49-F238E27FC236}">
                <a16:creationId xmlns:a16="http://schemas.microsoft.com/office/drawing/2014/main" id="{F2B487B3-6822-EFC9-E9A6-76F2F6418223}"/>
              </a:ext>
            </a:extLst>
          </xdr:cNvPr>
          <xdr:cNvCxnSpPr/>
        </xdr:nvCxnSpPr>
        <xdr:spPr>
          <a:xfrm>
            <a:off x="1104900" y="8670925"/>
            <a:ext cx="0" cy="71755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1053" name="Freeform: Shape 1052">
            <a:extLst>
              <a:ext uri="{FF2B5EF4-FFF2-40B4-BE49-F238E27FC236}">
                <a16:creationId xmlns:a16="http://schemas.microsoft.com/office/drawing/2014/main" id="{B9A38053-19E9-345F-6EF8-D7A7573030BC}"/>
              </a:ext>
            </a:extLst>
          </xdr:cNvPr>
          <xdr:cNvSpPr/>
        </xdr:nvSpPr>
        <xdr:spPr>
          <a:xfrm>
            <a:off x="3084513" y="5840413"/>
            <a:ext cx="517525" cy="317500"/>
          </a:xfrm>
          <a:custGeom>
            <a:avLst/>
            <a:gdLst>
              <a:gd name="connsiteX0" fmla="*/ 0 w 517525"/>
              <a:gd name="connsiteY0" fmla="*/ 0 h 292100"/>
              <a:gd name="connsiteX1" fmla="*/ 53975 w 517525"/>
              <a:gd name="connsiteY1" fmla="*/ 0 h 292100"/>
              <a:gd name="connsiteX2" fmla="*/ 434975 w 517525"/>
              <a:gd name="connsiteY2" fmla="*/ 292100 h 292100"/>
              <a:gd name="connsiteX3" fmla="*/ 517525 w 517525"/>
              <a:gd name="connsiteY3" fmla="*/ 292100 h 292100"/>
            </a:gdLst>
            <a:ahLst/>
            <a:cxnLst>
              <a:cxn ang="0">
                <a:pos x="connsiteX0" y="connsiteY0"/>
              </a:cxn>
              <a:cxn ang="0">
                <a:pos x="connsiteX1" y="connsiteY1"/>
              </a:cxn>
              <a:cxn ang="0">
                <a:pos x="connsiteX2" y="connsiteY2"/>
              </a:cxn>
              <a:cxn ang="0">
                <a:pos x="connsiteX3" y="connsiteY3"/>
              </a:cxn>
            </a:cxnLst>
            <a:rect l="l" t="t" r="r" b="b"/>
            <a:pathLst>
              <a:path w="517525" h="292100">
                <a:moveTo>
                  <a:pt x="0" y="0"/>
                </a:moveTo>
                <a:lnTo>
                  <a:pt x="53975" y="0"/>
                </a:lnTo>
                <a:lnTo>
                  <a:pt x="434975" y="292100"/>
                </a:lnTo>
                <a:lnTo>
                  <a:pt x="517525" y="292100"/>
                </a:lnTo>
              </a:path>
            </a:pathLst>
          </a:custGeom>
          <a:no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kern="1200"/>
          </a:p>
        </xdr:txBody>
      </xdr:sp>
      <xdr:sp macro="" textlink="">
        <xdr:nvSpPr>
          <xdr:cNvPr id="1054" name="Freeform: Shape 1053">
            <a:extLst>
              <a:ext uri="{FF2B5EF4-FFF2-40B4-BE49-F238E27FC236}">
                <a16:creationId xmlns:a16="http://schemas.microsoft.com/office/drawing/2014/main" id="{1B391290-6D3B-7313-3D02-A68F858C916E}"/>
              </a:ext>
            </a:extLst>
          </xdr:cNvPr>
          <xdr:cNvSpPr/>
        </xdr:nvSpPr>
        <xdr:spPr>
          <a:xfrm>
            <a:off x="3074988" y="6199188"/>
            <a:ext cx="523875" cy="298450"/>
          </a:xfrm>
          <a:custGeom>
            <a:avLst/>
            <a:gdLst>
              <a:gd name="connsiteX0" fmla="*/ 0 w 523875"/>
              <a:gd name="connsiteY0" fmla="*/ 298450 h 298450"/>
              <a:gd name="connsiteX1" fmla="*/ 73025 w 523875"/>
              <a:gd name="connsiteY1" fmla="*/ 298450 h 298450"/>
              <a:gd name="connsiteX2" fmla="*/ 447675 w 523875"/>
              <a:gd name="connsiteY2" fmla="*/ 0 h 298450"/>
              <a:gd name="connsiteX3" fmla="*/ 523875 w 523875"/>
              <a:gd name="connsiteY3" fmla="*/ 0 h 298450"/>
            </a:gdLst>
            <a:ahLst/>
            <a:cxnLst>
              <a:cxn ang="0">
                <a:pos x="connsiteX0" y="connsiteY0"/>
              </a:cxn>
              <a:cxn ang="0">
                <a:pos x="connsiteX1" y="connsiteY1"/>
              </a:cxn>
              <a:cxn ang="0">
                <a:pos x="connsiteX2" y="connsiteY2"/>
              </a:cxn>
              <a:cxn ang="0">
                <a:pos x="connsiteX3" y="connsiteY3"/>
              </a:cxn>
            </a:cxnLst>
            <a:rect l="l" t="t" r="r" b="b"/>
            <a:pathLst>
              <a:path w="523875" h="298450">
                <a:moveTo>
                  <a:pt x="0" y="298450"/>
                </a:moveTo>
                <a:lnTo>
                  <a:pt x="73025" y="298450"/>
                </a:lnTo>
                <a:lnTo>
                  <a:pt x="447675" y="0"/>
                </a:lnTo>
                <a:lnTo>
                  <a:pt x="523875" y="0"/>
                </a:lnTo>
              </a:path>
            </a:pathLst>
          </a:custGeom>
          <a:no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kern="1200"/>
          </a:p>
        </xdr:txBody>
      </xdr:sp>
      <xdr:cxnSp macro="">
        <xdr:nvCxnSpPr>
          <xdr:cNvPr id="1055" name="Straight Connector 1054">
            <a:extLst>
              <a:ext uri="{FF2B5EF4-FFF2-40B4-BE49-F238E27FC236}">
                <a16:creationId xmlns:a16="http://schemas.microsoft.com/office/drawing/2014/main" id="{20624A52-974E-3881-A270-6A3ED6B1289A}"/>
              </a:ext>
            </a:extLst>
          </xdr:cNvPr>
          <xdr:cNvCxnSpPr/>
        </xdr:nvCxnSpPr>
        <xdr:spPr>
          <a:xfrm>
            <a:off x="3516313" y="6176963"/>
            <a:ext cx="5746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56" name="Straight Connector 1055">
            <a:extLst>
              <a:ext uri="{FF2B5EF4-FFF2-40B4-BE49-F238E27FC236}">
                <a16:creationId xmlns:a16="http://schemas.microsoft.com/office/drawing/2014/main" id="{192BE2C0-E944-AA1D-2C30-29D1E908BE7A}"/>
              </a:ext>
            </a:extLst>
          </xdr:cNvPr>
          <xdr:cNvCxnSpPr/>
        </xdr:nvCxnSpPr>
        <xdr:spPr>
          <a:xfrm>
            <a:off x="4002088" y="6196013"/>
            <a:ext cx="5746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57" name="Straight Connector 1056">
            <a:extLst>
              <a:ext uri="{FF2B5EF4-FFF2-40B4-BE49-F238E27FC236}">
                <a16:creationId xmlns:a16="http://schemas.microsoft.com/office/drawing/2014/main" id="{3162BBDB-1B3C-2B42-BAEF-ECBEF13F6A45}"/>
              </a:ext>
            </a:extLst>
          </xdr:cNvPr>
          <xdr:cNvCxnSpPr/>
        </xdr:nvCxnSpPr>
        <xdr:spPr>
          <a:xfrm>
            <a:off x="4487863" y="6173788"/>
            <a:ext cx="5746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58" name="Straight Connector 1057">
            <a:extLst>
              <a:ext uri="{FF2B5EF4-FFF2-40B4-BE49-F238E27FC236}">
                <a16:creationId xmlns:a16="http://schemas.microsoft.com/office/drawing/2014/main" id="{4BC72B23-7E4D-7C83-9ECC-70FB100C63E8}"/>
              </a:ext>
            </a:extLst>
          </xdr:cNvPr>
          <xdr:cNvCxnSpPr/>
        </xdr:nvCxnSpPr>
        <xdr:spPr>
          <a:xfrm flipV="1">
            <a:off x="4767262" y="5795963"/>
            <a:ext cx="590551" cy="371474"/>
          </a:xfrm>
          <a:prstGeom prst="line">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059" name="Straight Connector 1058">
            <a:extLst>
              <a:ext uri="{FF2B5EF4-FFF2-40B4-BE49-F238E27FC236}">
                <a16:creationId xmlns:a16="http://schemas.microsoft.com/office/drawing/2014/main" id="{B36672C4-129A-6767-FB56-84B503FE35AB}"/>
              </a:ext>
            </a:extLst>
          </xdr:cNvPr>
          <xdr:cNvCxnSpPr/>
        </xdr:nvCxnSpPr>
        <xdr:spPr>
          <a:xfrm flipV="1">
            <a:off x="1133475" y="3729038"/>
            <a:ext cx="0" cy="6096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060" name="Straight Connector 1059">
            <a:extLst>
              <a:ext uri="{FF2B5EF4-FFF2-40B4-BE49-F238E27FC236}">
                <a16:creationId xmlns:a16="http://schemas.microsoft.com/office/drawing/2014/main" id="{2D08C9C6-50CA-DA29-A246-FDCFA6D21711}"/>
              </a:ext>
            </a:extLst>
          </xdr:cNvPr>
          <xdr:cNvCxnSpPr/>
        </xdr:nvCxnSpPr>
        <xdr:spPr>
          <a:xfrm>
            <a:off x="1071564" y="4095751"/>
            <a:ext cx="4005261"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061" name="Straight Connector 1060">
            <a:extLst>
              <a:ext uri="{FF2B5EF4-FFF2-40B4-BE49-F238E27FC236}">
                <a16:creationId xmlns:a16="http://schemas.microsoft.com/office/drawing/2014/main" id="{913FF760-0F7D-26B2-A0DE-38BEE92561AF}"/>
              </a:ext>
            </a:extLst>
          </xdr:cNvPr>
          <xdr:cNvCxnSpPr/>
        </xdr:nvCxnSpPr>
        <xdr:spPr>
          <a:xfrm flipH="1">
            <a:off x="1100135" y="4062415"/>
            <a:ext cx="66675" cy="666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062" name="Straight Connector 1061">
            <a:extLst>
              <a:ext uri="{FF2B5EF4-FFF2-40B4-BE49-F238E27FC236}">
                <a16:creationId xmlns:a16="http://schemas.microsoft.com/office/drawing/2014/main" id="{9D24229A-4220-070E-03EE-65F60BCC903A}"/>
              </a:ext>
            </a:extLst>
          </xdr:cNvPr>
          <xdr:cNvCxnSpPr/>
        </xdr:nvCxnSpPr>
        <xdr:spPr>
          <a:xfrm>
            <a:off x="1071562" y="3809998"/>
            <a:ext cx="4010026"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063" name="Straight Connector 1062">
            <a:extLst>
              <a:ext uri="{FF2B5EF4-FFF2-40B4-BE49-F238E27FC236}">
                <a16:creationId xmlns:a16="http://schemas.microsoft.com/office/drawing/2014/main" id="{DC93F000-C6F3-EFD9-04D3-E074E874071A}"/>
              </a:ext>
            </a:extLst>
          </xdr:cNvPr>
          <xdr:cNvCxnSpPr/>
        </xdr:nvCxnSpPr>
        <xdr:spPr>
          <a:xfrm flipH="1">
            <a:off x="1100133" y="3776662"/>
            <a:ext cx="66675" cy="666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064" name="Straight Connector 1063">
            <a:extLst>
              <a:ext uri="{FF2B5EF4-FFF2-40B4-BE49-F238E27FC236}">
                <a16:creationId xmlns:a16="http://schemas.microsoft.com/office/drawing/2014/main" id="{1C60E06C-59D6-1C20-61B0-4C88765093A2}"/>
              </a:ext>
            </a:extLst>
          </xdr:cNvPr>
          <xdr:cNvCxnSpPr/>
        </xdr:nvCxnSpPr>
        <xdr:spPr>
          <a:xfrm flipV="1">
            <a:off x="1619250" y="4033838"/>
            <a:ext cx="0" cy="3048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065" name="Straight Connector 1064">
            <a:extLst>
              <a:ext uri="{FF2B5EF4-FFF2-40B4-BE49-F238E27FC236}">
                <a16:creationId xmlns:a16="http://schemas.microsoft.com/office/drawing/2014/main" id="{8F15D1D3-F341-9BBE-2EED-7408A3F952C9}"/>
              </a:ext>
            </a:extLst>
          </xdr:cNvPr>
          <xdr:cNvCxnSpPr/>
        </xdr:nvCxnSpPr>
        <xdr:spPr>
          <a:xfrm flipH="1">
            <a:off x="1585910" y="4062415"/>
            <a:ext cx="66675" cy="666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066" name="Straight Connector 1065">
            <a:extLst>
              <a:ext uri="{FF2B5EF4-FFF2-40B4-BE49-F238E27FC236}">
                <a16:creationId xmlns:a16="http://schemas.microsoft.com/office/drawing/2014/main" id="{8C014F80-CBDA-1DE9-36B0-743B3606F626}"/>
              </a:ext>
            </a:extLst>
          </xdr:cNvPr>
          <xdr:cNvCxnSpPr/>
        </xdr:nvCxnSpPr>
        <xdr:spPr>
          <a:xfrm flipV="1">
            <a:off x="2105025" y="4029075"/>
            <a:ext cx="0" cy="30956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067" name="Straight Connector 1066">
            <a:extLst>
              <a:ext uri="{FF2B5EF4-FFF2-40B4-BE49-F238E27FC236}">
                <a16:creationId xmlns:a16="http://schemas.microsoft.com/office/drawing/2014/main" id="{E2ABC674-5AD1-3AD5-AC15-866157C40070}"/>
              </a:ext>
            </a:extLst>
          </xdr:cNvPr>
          <xdr:cNvCxnSpPr/>
        </xdr:nvCxnSpPr>
        <xdr:spPr>
          <a:xfrm flipH="1">
            <a:off x="2071685" y="4062415"/>
            <a:ext cx="66675" cy="666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068" name="Straight Connector 1067">
            <a:extLst>
              <a:ext uri="{FF2B5EF4-FFF2-40B4-BE49-F238E27FC236}">
                <a16:creationId xmlns:a16="http://schemas.microsoft.com/office/drawing/2014/main" id="{64ABA56D-F7AF-452D-BFCB-71E25AE06953}"/>
              </a:ext>
            </a:extLst>
          </xdr:cNvPr>
          <xdr:cNvCxnSpPr/>
        </xdr:nvCxnSpPr>
        <xdr:spPr>
          <a:xfrm flipV="1">
            <a:off x="2590800" y="4024313"/>
            <a:ext cx="0" cy="3143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069" name="Straight Connector 1068">
            <a:extLst>
              <a:ext uri="{FF2B5EF4-FFF2-40B4-BE49-F238E27FC236}">
                <a16:creationId xmlns:a16="http://schemas.microsoft.com/office/drawing/2014/main" id="{97E5E789-9D00-07FA-A66E-565B4FBF0827}"/>
              </a:ext>
            </a:extLst>
          </xdr:cNvPr>
          <xdr:cNvCxnSpPr/>
        </xdr:nvCxnSpPr>
        <xdr:spPr>
          <a:xfrm flipH="1">
            <a:off x="2557460" y="4062415"/>
            <a:ext cx="66675" cy="666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070" name="Straight Connector 1069">
            <a:extLst>
              <a:ext uri="{FF2B5EF4-FFF2-40B4-BE49-F238E27FC236}">
                <a16:creationId xmlns:a16="http://schemas.microsoft.com/office/drawing/2014/main" id="{C15FFFC1-4743-5991-434C-33FAD064502A}"/>
              </a:ext>
            </a:extLst>
          </xdr:cNvPr>
          <xdr:cNvCxnSpPr/>
        </xdr:nvCxnSpPr>
        <xdr:spPr>
          <a:xfrm flipV="1">
            <a:off x="3076575" y="4024313"/>
            <a:ext cx="0" cy="3143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071" name="Straight Connector 1070">
            <a:extLst>
              <a:ext uri="{FF2B5EF4-FFF2-40B4-BE49-F238E27FC236}">
                <a16:creationId xmlns:a16="http://schemas.microsoft.com/office/drawing/2014/main" id="{4FA013C8-0C01-4409-2DD0-AA01CA651168}"/>
              </a:ext>
            </a:extLst>
          </xdr:cNvPr>
          <xdr:cNvCxnSpPr/>
        </xdr:nvCxnSpPr>
        <xdr:spPr>
          <a:xfrm flipH="1">
            <a:off x="3043235" y="4062415"/>
            <a:ext cx="66675" cy="666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072" name="Straight Connector 1071">
            <a:extLst>
              <a:ext uri="{FF2B5EF4-FFF2-40B4-BE49-F238E27FC236}">
                <a16:creationId xmlns:a16="http://schemas.microsoft.com/office/drawing/2014/main" id="{04311585-BA7E-9040-F9E3-6310CF7CB88C}"/>
              </a:ext>
            </a:extLst>
          </xdr:cNvPr>
          <xdr:cNvCxnSpPr/>
        </xdr:nvCxnSpPr>
        <xdr:spPr>
          <a:xfrm flipV="1">
            <a:off x="3562350" y="4024313"/>
            <a:ext cx="0" cy="3143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073" name="Straight Connector 1072">
            <a:extLst>
              <a:ext uri="{FF2B5EF4-FFF2-40B4-BE49-F238E27FC236}">
                <a16:creationId xmlns:a16="http://schemas.microsoft.com/office/drawing/2014/main" id="{6F73F6A2-FEC2-C43D-793D-102F5D4DA84B}"/>
              </a:ext>
            </a:extLst>
          </xdr:cNvPr>
          <xdr:cNvCxnSpPr/>
        </xdr:nvCxnSpPr>
        <xdr:spPr>
          <a:xfrm flipH="1">
            <a:off x="3529010" y="4062415"/>
            <a:ext cx="66675" cy="666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074" name="Straight Connector 1073">
            <a:extLst>
              <a:ext uri="{FF2B5EF4-FFF2-40B4-BE49-F238E27FC236}">
                <a16:creationId xmlns:a16="http://schemas.microsoft.com/office/drawing/2014/main" id="{31503D90-16E6-6049-A67C-BAC96B977665}"/>
              </a:ext>
            </a:extLst>
          </xdr:cNvPr>
          <xdr:cNvCxnSpPr/>
        </xdr:nvCxnSpPr>
        <xdr:spPr>
          <a:xfrm flipV="1">
            <a:off x="4048125" y="4024313"/>
            <a:ext cx="0" cy="3143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075" name="Straight Connector 1074">
            <a:extLst>
              <a:ext uri="{FF2B5EF4-FFF2-40B4-BE49-F238E27FC236}">
                <a16:creationId xmlns:a16="http://schemas.microsoft.com/office/drawing/2014/main" id="{6D4343FF-A9AA-3041-EC27-50BB93FD37CD}"/>
              </a:ext>
            </a:extLst>
          </xdr:cNvPr>
          <xdr:cNvCxnSpPr/>
        </xdr:nvCxnSpPr>
        <xdr:spPr>
          <a:xfrm flipH="1">
            <a:off x="4014785" y="4062415"/>
            <a:ext cx="66675" cy="666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076" name="Straight Connector 1075">
            <a:extLst>
              <a:ext uri="{FF2B5EF4-FFF2-40B4-BE49-F238E27FC236}">
                <a16:creationId xmlns:a16="http://schemas.microsoft.com/office/drawing/2014/main" id="{996AEB7E-2897-A728-2260-A12F18F2CB32}"/>
              </a:ext>
            </a:extLst>
          </xdr:cNvPr>
          <xdr:cNvCxnSpPr/>
        </xdr:nvCxnSpPr>
        <xdr:spPr>
          <a:xfrm flipV="1">
            <a:off x="4533900" y="4024313"/>
            <a:ext cx="0" cy="3143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077" name="Straight Connector 1076">
            <a:extLst>
              <a:ext uri="{FF2B5EF4-FFF2-40B4-BE49-F238E27FC236}">
                <a16:creationId xmlns:a16="http://schemas.microsoft.com/office/drawing/2014/main" id="{32717E0A-70D6-3315-E29B-0772AE18D3AA}"/>
              </a:ext>
            </a:extLst>
          </xdr:cNvPr>
          <xdr:cNvCxnSpPr/>
        </xdr:nvCxnSpPr>
        <xdr:spPr>
          <a:xfrm flipH="1">
            <a:off x="4500560" y="4062415"/>
            <a:ext cx="66675" cy="666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078" name="Straight Connector 1077">
            <a:extLst>
              <a:ext uri="{FF2B5EF4-FFF2-40B4-BE49-F238E27FC236}">
                <a16:creationId xmlns:a16="http://schemas.microsoft.com/office/drawing/2014/main" id="{73FC9F15-88D0-0EAD-650A-14F5CE204F4F}"/>
              </a:ext>
            </a:extLst>
          </xdr:cNvPr>
          <xdr:cNvCxnSpPr/>
        </xdr:nvCxnSpPr>
        <xdr:spPr>
          <a:xfrm flipV="1">
            <a:off x="5019675" y="3748088"/>
            <a:ext cx="0" cy="59055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079" name="Straight Connector 1078">
            <a:extLst>
              <a:ext uri="{FF2B5EF4-FFF2-40B4-BE49-F238E27FC236}">
                <a16:creationId xmlns:a16="http://schemas.microsoft.com/office/drawing/2014/main" id="{A59FACE0-89D7-95F5-585F-51E8614E1D13}"/>
              </a:ext>
            </a:extLst>
          </xdr:cNvPr>
          <xdr:cNvCxnSpPr/>
        </xdr:nvCxnSpPr>
        <xdr:spPr>
          <a:xfrm flipH="1">
            <a:off x="4986335" y="4062415"/>
            <a:ext cx="66675" cy="666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080" name="Straight Connector 1079">
            <a:extLst>
              <a:ext uri="{FF2B5EF4-FFF2-40B4-BE49-F238E27FC236}">
                <a16:creationId xmlns:a16="http://schemas.microsoft.com/office/drawing/2014/main" id="{4FB37592-81E0-B6DC-43D1-CFFC67B3869C}"/>
              </a:ext>
            </a:extLst>
          </xdr:cNvPr>
          <xdr:cNvCxnSpPr/>
        </xdr:nvCxnSpPr>
        <xdr:spPr>
          <a:xfrm flipH="1">
            <a:off x="4986335" y="3776665"/>
            <a:ext cx="66675" cy="666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081" name="Straight Connector 1080">
            <a:extLst>
              <a:ext uri="{FF2B5EF4-FFF2-40B4-BE49-F238E27FC236}">
                <a16:creationId xmlns:a16="http://schemas.microsoft.com/office/drawing/2014/main" id="{09390EB2-3B5F-D79A-1E1B-A46E97D242DF}"/>
              </a:ext>
            </a:extLst>
          </xdr:cNvPr>
          <xdr:cNvCxnSpPr/>
        </xdr:nvCxnSpPr>
        <xdr:spPr>
          <a:xfrm>
            <a:off x="5053013" y="7019925"/>
            <a:ext cx="319087" cy="323850"/>
          </a:xfrm>
          <a:prstGeom prst="line">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082" name="Straight Connector 1081">
            <a:extLst>
              <a:ext uri="{FF2B5EF4-FFF2-40B4-BE49-F238E27FC236}">
                <a16:creationId xmlns:a16="http://schemas.microsoft.com/office/drawing/2014/main" id="{69A5F5DB-84B8-6380-2AAA-EB7267EB8C70}"/>
              </a:ext>
            </a:extLst>
          </xdr:cNvPr>
          <xdr:cNvCxnSpPr/>
        </xdr:nvCxnSpPr>
        <xdr:spPr>
          <a:xfrm flipV="1">
            <a:off x="4705350" y="6591309"/>
            <a:ext cx="638175" cy="161925"/>
          </a:xfrm>
          <a:prstGeom prst="line">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083" name="Straight Connector 1082">
            <a:extLst>
              <a:ext uri="{FF2B5EF4-FFF2-40B4-BE49-F238E27FC236}">
                <a16:creationId xmlns:a16="http://schemas.microsoft.com/office/drawing/2014/main" id="{0E3395BB-7F27-5810-5939-EC2FB1A35728}"/>
              </a:ext>
            </a:extLst>
          </xdr:cNvPr>
          <xdr:cNvCxnSpPr/>
        </xdr:nvCxnSpPr>
        <xdr:spPr>
          <a:xfrm flipV="1">
            <a:off x="4724400" y="6591309"/>
            <a:ext cx="619125" cy="428625"/>
          </a:xfrm>
          <a:prstGeom prst="line">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084" name="Straight Connector 1083">
            <a:extLst>
              <a:ext uri="{FF2B5EF4-FFF2-40B4-BE49-F238E27FC236}">
                <a16:creationId xmlns:a16="http://schemas.microsoft.com/office/drawing/2014/main" id="{F21ADFD7-33C9-8BA1-D107-2EFC5E760237}"/>
              </a:ext>
            </a:extLst>
          </xdr:cNvPr>
          <xdr:cNvCxnSpPr/>
        </xdr:nvCxnSpPr>
        <xdr:spPr>
          <a:xfrm flipV="1">
            <a:off x="4038600" y="5048250"/>
            <a:ext cx="1300163" cy="509589"/>
          </a:xfrm>
          <a:prstGeom prst="line">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085" name="Straight Connector 1084">
            <a:extLst>
              <a:ext uri="{FF2B5EF4-FFF2-40B4-BE49-F238E27FC236}">
                <a16:creationId xmlns:a16="http://schemas.microsoft.com/office/drawing/2014/main" id="{CCEFC469-492E-022C-1081-5E5E18B4DED3}"/>
              </a:ext>
            </a:extLst>
          </xdr:cNvPr>
          <xdr:cNvCxnSpPr/>
        </xdr:nvCxnSpPr>
        <xdr:spPr>
          <a:xfrm flipV="1">
            <a:off x="4524375" y="5048250"/>
            <a:ext cx="819150" cy="585789"/>
          </a:xfrm>
          <a:prstGeom prst="line">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086" name="Straight Connector 1085">
            <a:extLst>
              <a:ext uri="{FF2B5EF4-FFF2-40B4-BE49-F238E27FC236}">
                <a16:creationId xmlns:a16="http://schemas.microsoft.com/office/drawing/2014/main" id="{EB9592F4-EA5C-761C-2BCC-293E08480DDA}"/>
              </a:ext>
            </a:extLst>
          </xdr:cNvPr>
          <xdr:cNvCxnSpPr/>
        </xdr:nvCxnSpPr>
        <xdr:spPr>
          <a:xfrm flipV="1">
            <a:off x="4781550" y="3867150"/>
            <a:ext cx="581025" cy="114300"/>
          </a:xfrm>
          <a:prstGeom prst="line">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087" name="Straight Connector 1086">
            <a:extLst>
              <a:ext uri="{FF2B5EF4-FFF2-40B4-BE49-F238E27FC236}">
                <a16:creationId xmlns:a16="http://schemas.microsoft.com/office/drawing/2014/main" id="{A15BF0E1-F4CD-C923-8D4C-71363A94B5F7}"/>
              </a:ext>
            </a:extLst>
          </xdr:cNvPr>
          <xdr:cNvCxnSpPr/>
        </xdr:nvCxnSpPr>
        <xdr:spPr>
          <a:xfrm>
            <a:off x="1138238" y="5100639"/>
            <a:ext cx="971550" cy="70961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88" name="Straight Connector 1087">
            <a:extLst>
              <a:ext uri="{FF2B5EF4-FFF2-40B4-BE49-F238E27FC236}">
                <a16:creationId xmlns:a16="http://schemas.microsoft.com/office/drawing/2014/main" id="{274A2D1C-8BED-60F1-D26A-C806AAC6D245}"/>
              </a:ext>
            </a:extLst>
          </xdr:cNvPr>
          <xdr:cNvCxnSpPr/>
        </xdr:nvCxnSpPr>
        <xdr:spPr>
          <a:xfrm flipV="1">
            <a:off x="1133475" y="5095876"/>
            <a:ext cx="971550" cy="7143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89" name="Straight Connector 1088">
            <a:extLst>
              <a:ext uri="{FF2B5EF4-FFF2-40B4-BE49-F238E27FC236}">
                <a16:creationId xmlns:a16="http://schemas.microsoft.com/office/drawing/2014/main" id="{D3B6424A-E6C6-000C-C2F5-5083C9AC76A3}"/>
              </a:ext>
            </a:extLst>
          </xdr:cNvPr>
          <xdr:cNvCxnSpPr/>
        </xdr:nvCxnSpPr>
        <xdr:spPr>
          <a:xfrm>
            <a:off x="4048126" y="5100639"/>
            <a:ext cx="971550" cy="70961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90" name="Straight Connector 1089">
            <a:extLst>
              <a:ext uri="{FF2B5EF4-FFF2-40B4-BE49-F238E27FC236}">
                <a16:creationId xmlns:a16="http://schemas.microsoft.com/office/drawing/2014/main" id="{B29AE1C4-CE30-5144-CDFF-15CD95420B86}"/>
              </a:ext>
            </a:extLst>
          </xdr:cNvPr>
          <xdr:cNvCxnSpPr/>
        </xdr:nvCxnSpPr>
        <xdr:spPr>
          <a:xfrm flipV="1">
            <a:off x="4043363" y="5095876"/>
            <a:ext cx="971550" cy="7143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91" name="Straight Connector 1090">
            <a:extLst>
              <a:ext uri="{FF2B5EF4-FFF2-40B4-BE49-F238E27FC236}">
                <a16:creationId xmlns:a16="http://schemas.microsoft.com/office/drawing/2014/main" id="{302F30F5-46F6-A67A-2403-9E968C7C1811}"/>
              </a:ext>
            </a:extLst>
          </xdr:cNvPr>
          <xdr:cNvCxnSpPr/>
        </xdr:nvCxnSpPr>
        <xdr:spPr>
          <a:xfrm>
            <a:off x="1138239" y="5815014"/>
            <a:ext cx="971550" cy="70961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92" name="Straight Connector 1091">
            <a:extLst>
              <a:ext uri="{FF2B5EF4-FFF2-40B4-BE49-F238E27FC236}">
                <a16:creationId xmlns:a16="http://schemas.microsoft.com/office/drawing/2014/main" id="{3BCAB45D-563B-D8DA-9F22-52A532EF60D2}"/>
              </a:ext>
            </a:extLst>
          </xdr:cNvPr>
          <xdr:cNvCxnSpPr/>
        </xdr:nvCxnSpPr>
        <xdr:spPr>
          <a:xfrm flipV="1">
            <a:off x="1133476" y="5810251"/>
            <a:ext cx="971550" cy="7143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93" name="Straight Connector 1092">
            <a:extLst>
              <a:ext uri="{FF2B5EF4-FFF2-40B4-BE49-F238E27FC236}">
                <a16:creationId xmlns:a16="http://schemas.microsoft.com/office/drawing/2014/main" id="{F1524DEA-A598-94F1-C216-D4E66CB8267B}"/>
              </a:ext>
            </a:extLst>
          </xdr:cNvPr>
          <xdr:cNvCxnSpPr/>
        </xdr:nvCxnSpPr>
        <xdr:spPr>
          <a:xfrm>
            <a:off x="4048127" y="5815014"/>
            <a:ext cx="971550" cy="70961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94" name="Straight Connector 1093">
            <a:extLst>
              <a:ext uri="{FF2B5EF4-FFF2-40B4-BE49-F238E27FC236}">
                <a16:creationId xmlns:a16="http://schemas.microsoft.com/office/drawing/2014/main" id="{34091FD2-A7CA-FF90-8325-C9C7D55326C1}"/>
              </a:ext>
            </a:extLst>
          </xdr:cNvPr>
          <xdr:cNvCxnSpPr/>
        </xdr:nvCxnSpPr>
        <xdr:spPr>
          <a:xfrm flipV="1">
            <a:off x="4043364" y="5810251"/>
            <a:ext cx="971550" cy="7143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95" name="Straight Connector 1094">
            <a:extLst>
              <a:ext uri="{FF2B5EF4-FFF2-40B4-BE49-F238E27FC236}">
                <a16:creationId xmlns:a16="http://schemas.microsoft.com/office/drawing/2014/main" id="{6FB2019A-FF23-F077-9509-64C766B696B0}"/>
              </a:ext>
            </a:extLst>
          </xdr:cNvPr>
          <xdr:cNvCxnSpPr/>
        </xdr:nvCxnSpPr>
        <xdr:spPr>
          <a:xfrm>
            <a:off x="1133475" y="7243764"/>
            <a:ext cx="971550" cy="70961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96" name="Straight Connector 1095">
            <a:extLst>
              <a:ext uri="{FF2B5EF4-FFF2-40B4-BE49-F238E27FC236}">
                <a16:creationId xmlns:a16="http://schemas.microsoft.com/office/drawing/2014/main" id="{032FCC08-B33A-4774-1699-9CDCF4BBA21C}"/>
              </a:ext>
            </a:extLst>
          </xdr:cNvPr>
          <xdr:cNvCxnSpPr/>
        </xdr:nvCxnSpPr>
        <xdr:spPr>
          <a:xfrm flipV="1">
            <a:off x="1128712" y="7239001"/>
            <a:ext cx="971550" cy="7143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97" name="Straight Connector 1096">
            <a:extLst>
              <a:ext uri="{FF2B5EF4-FFF2-40B4-BE49-F238E27FC236}">
                <a16:creationId xmlns:a16="http://schemas.microsoft.com/office/drawing/2014/main" id="{03681E8C-E7CE-BA1F-B560-AAE86AE102C7}"/>
              </a:ext>
            </a:extLst>
          </xdr:cNvPr>
          <xdr:cNvCxnSpPr/>
        </xdr:nvCxnSpPr>
        <xdr:spPr>
          <a:xfrm>
            <a:off x="4043363" y="7243764"/>
            <a:ext cx="971550" cy="70961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98" name="Straight Connector 1097">
            <a:extLst>
              <a:ext uri="{FF2B5EF4-FFF2-40B4-BE49-F238E27FC236}">
                <a16:creationId xmlns:a16="http://schemas.microsoft.com/office/drawing/2014/main" id="{9602F41C-F494-EF71-92D8-9C36B86DAAEC}"/>
              </a:ext>
            </a:extLst>
          </xdr:cNvPr>
          <xdr:cNvCxnSpPr/>
        </xdr:nvCxnSpPr>
        <xdr:spPr>
          <a:xfrm flipV="1">
            <a:off x="4038600" y="7239001"/>
            <a:ext cx="971550" cy="7143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99" name="Straight Connector 1098">
            <a:extLst>
              <a:ext uri="{FF2B5EF4-FFF2-40B4-BE49-F238E27FC236}">
                <a16:creationId xmlns:a16="http://schemas.microsoft.com/office/drawing/2014/main" id="{C5FF0520-7884-3A56-CB1C-C2C0EDCE9403}"/>
              </a:ext>
            </a:extLst>
          </xdr:cNvPr>
          <xdr:cNvCxnSpPr/>
        </xdr:nvCxnSpPr>
        <xdr:spPr>
          <a:xfrm>
            <a:off x="1138238" y="7958140"/>
            <a:ext cx="971550" cy="70961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100" name="Straight Connector 1099">
            <a:extLst>
              <a:ext uri="{FF2B5EF4-FFF2-40B4-BE49-F238E27FC236}">
                <a16:creationId xmlns:a16="http://schemas.microsoft.com/office/drawing/2014/main" id="{21B78523-DC25-0F40-7CB8-909196DA6E6D}"/>
              </a:ext>
            </a:extLst>
          </xdr:cNvPr>
          <xdr:cNvCxnSpPr/>
        </xdr:nvCxnSpPr>
        <xdr:spPr>
          <a:xfrm flipV="1">
            <a:off x="1133475" y="7953377"/>
            <a:ext cx="971550" cy="7143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101" name="Straight Connector 1100">
            <a:extLst>
              <a:ext uri="{FF2B5EF4-FFF2-40B4-BE49-F238E27FC236}">
                <a16:creationId xmlns:a16="http://schemas.microsoft.com/office/drawing/2014/main" id="{45F8E419-9B8E-3364-D7E3-7EDF54C4D38E}"/>
              </a:ext>
            </a:extLst>
          </xdr:cNvPr>
          <xdr:cNvCxnSpPr/>
        </xdr:nvCxnSpPr>
        <xdr:spPr>
          <a:xfrm>
            <a:off x="4048126" y="7958140"/>
            <a:ext cx="971550" cy="70961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102" name="Straight Connector 1101">
            <a:extLst>
              <a:ext uri="{FF2B5EF4-FFF2-40B4-BE49-F238E27FC236}">
                <a16:creationId xmlns:a16="http://schemas.microsoft.com/office/drawing/2014/main" id="{68A8F1FA-349F-BCF8-BC8A-A7913E6804E8}"/>
              </a:ext>
            </a:extLst>
          </xdr:cNvPr>
          <xdr:cNvCxnSpPr/>
        </xdr:nvCxnSpPr>
        <xdr:spPr>
          <a:xfrm flipV="1">
            <a:off x="4043363" y="7953377"/>
            <a:ext cx="971550" cy="7143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65</xdr:col>
      <xdr:colOff>95250</xdr:colOff>
      <xdr:row>811</xdr:row>
      <xdr:rowOff>79375</xdr:rowOff>
    </xdr:from>
    <xdr:to>
      <xdr:col>73</xdr:col>
      <xdr:colOff>63500</xdr:colOff>
      <xdr:row>823</xdr:row>
      <xdr:rowOff>63500</xdr:rowOff>
    </xdr:to>
    <xdr:grpSp>
      <xdr:nvGrpSpPr>
        <xdr:cNvPr id="1103" name="Group 1102">
          <a:extLst>
            <a:ext uri="{FF2B5EF4-FFF2-40B4-BE49-F238E27FC236}">
              <a16:creationId xmlns:a16="http://schemas.microsoft.com/office/drawing/2014/main" id="{08CA60F0-3264-4D04-AFB8-6BBF329B217A}"/>
            </a:ext>
          </a:extLst>
        </xdr:cNvPr>
        <xdr:cNvGrpSpPr/>
      </xdr:nvGrpSpPr>
      <xdr:grpSpPr>
        <a:xfrm>
          <a:off x="10620375" y="118132225"/>
          <a:ext cx="1263650" cy="1698625"/>
          <a:chOff x="8515350" y="27559000"/>
          <a:chExt cx="1263650" cy="1698625"/>
        </a:xfrm>
      </xdr:grpSpPr>
      <xdr:sp macro="" textlink="">
        <xdr:nvSpPr>
          <xdr:cNvPr id="1104" name="Freeform: Shape 1103">
            <a:extLst>
              <a:ext uri="{FF2B5EF4-FFF2-40B4-BE49-F238E27FC236}">
                <a16:creationId xmlns:a16="http://schemas.microsoft.com/office/drawing/2014/main" id="{EEF82E19-9A63-AA17-DC0B-FD971D73BA6D}"/>
              </a:ext>
            </a:extLst>
          </xdr:cNvPr>
          <xdr:cNvSpPr/>
        </xdr:nvSpPr>
        <xdr:spPr>
          <a:xfrm>
            <a:off x="8905875" y="27908251"/>
            <a:ext cx="485775" cy="1289050"/>
          </a:xfrm>
          <a:custGeom>
            <a:avLst/>
            <a:gdLst>
              <a:gd name="connsiteX0" fmla="*/ 400050 w 485775"/>
              <a:gd name="connsiteY0" fmla="*/ 282575 h 1279525"/>
              <a:gd name="connsiteX1" fmla="*/ 482600 w 485775"/>
              <a:gd name="connsiteY1" fmla="*/ 282575 h 1279525"/>
              <a:gd name="connsiteX2" fmla="*/ 482600 w 485775"/>
              <a:gd name="connsiteY2" fmla="*/ 0 h 1279525"/>
              <a:gd name="connsiteX3" fmla="*/ 0 w 485775"/>
              <a:gd name="connsiteY3" fmla="*/ 0 h 1279525"/>
              <a:gd name="connsiteX4" fmla="*/ 0 w 485775"/>
              <a:gd name="connsiteY4" fmla="*/ 1279525 h 1279525"/>
              <a:gd name="connsiteX5" fmla="*/ 485775 w 485775"/>
              <a:gd name="connsiteY5" fmla="*/ 1279525 h 1279525"/>
              <a:gd name="connsiteX6" fmla="*/ 485775 w 485775"/>
              <a:gd name="connsiteY6" fmla="*/ 993775 h 1279525"/>
              <a:gd name="connsiteX7" fmla="*/ 400050 w 485775"/>
              <a:gd name="connsiteY7" fmla="*/ 993775 h 1279525"/>
              <a:gd name="connsiteX8" fmla="*/ 400050 w 485775"/>
              <a:gd name="connsiteY8" fmla="*/ 1184275 h 1279525"/>
              <a:gd name="connsiteX9" fmla="*/ 88900 w 485775"/>
              <a:gd name="connsiteY9" fmla="*/ 1184275 h 1279525"/>
              <a:gd name="connsiteX10" fmla="*/ 88900 w 485775"/>
              <a:gd name="connsiteY10" fmla="*/ 82550 h 1279525"/>
              <a:gd name="connsiteX11" fmla="*/ 396875 w 485775"/>
              <a:gd name="connsiteY11" fmla="*/ 82550 h 1279525"/>
              <a:gd name="connsiteX12" fmla="*/ 400050 w 485775"/>
              <a:gd name="connsiteY12" fmla="*/ 282575 h 12795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Lst>
            <a:rect l="l" t="t" r="r" b="b"/>
            <a:pathLst>
              <a:path w="485775" h="1279525">
                <a:moveTo>
                  <a:pt x="400050" y="282575"/>
                </a:moveTo>
                <a:lnTo>
                  <a:pt x="482600" y="282575"/>
                </a:lnTo>
                <a:lnTo>
                  <a:pt x="482600" y="0"/>
                </a:lnTo>
                <a:lnTo>
                  <a:pt x="0" y="0"/>
                </a:lnTo>
                <a:lnTo>
                  <a:pt x="0" y="1279525"/>
                </a:lnTo>
                <a:lnTo>
                  <a:pt x="485775" y="1279525"/>
                </a:lnTo>
                <a:lnTo>
                  <a:pt x="485775" y="993775"/>
                </a:lnTo>
                <a:lnTo>
                  <a:pt x="400050" y="993775"/>
                </a:lnTo>
                <a:lnTo>
                  <a:pt x="400050" y="1184275"/>
                </a:lnTo>
                <a:lnTo>
                  <a:pt x="88900" y="1184275"/>
                </a:lnTo>
                <a:lnTo>
                  <a:pt x="88900" y="82550"/>
                </a:lnTo>
                <a:lnTo>
                  <a:pt x="396875" y="82550"/>
                </a:lnTo>
                <a:cubicBezTo>
                  <a:pt x="397933" y="149225"/>
                  <a:pt x="398992" y="215900"/>
                  <a:pt x="400050" y="282575"/>
                </a:cubicBezTo>
                <a:close/>
              </a:path>
            </a:pathLst>
          </a:cu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kern="1200"/>
          </a:p>
        </xdr:txBody>
      </xdr:sp>
      <xdr:cxnSp macro="">
        <xdr:nvCxnSpPr>
          <xdr:cNvPr id="1105" name="Straight Connector 1104">
            <a:extLst>
              <a:ext uri="{FF2B5EF4-FFF2-40B4-BE49-F238E27FC236}">
                <a16:creationId xmlns:a16="http://schemas.microsoft.com/office/drawing/2014/main" id="{D4241889-44E3-03E9-7849-E210ABCCADC6}"/>
              </a:ext>
            </a:extLst>
          </xdr:cNvPr>
          <xdr:cNvCxnSpPr/>
        </xdr:nvCxnSpPr>
        <xdr:spPr>
          <a:xfrm flipH="1">
            <a:off x="8518525" y="27908250"/>
            <a:ext cx="3333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106" name="Straight Connector 1105">
            <a:extLst>
              <a:ext uri="{FF2B5EF4-FFF2-40B4-BE49-F238E27FC236}">
                <a16:creationId xmlns:a16="http://schemas.microsoft.com/office/drawing/2014/main" id="{7DBB589B-7876-7031-B2D1-66BFB293DDFC}"/>
              </a:ext>
            </a:extLst>
          </xdr:cNvPr>
          <xdr:cNvCxnSpPr/>
        </xdr:nvCxnSpPr>
        <xdr:spPr>
          <a:xfrm>
            <a:off x="8582025" y="27854275"/>
            <a:ext cx="0" cy="140335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107" name="Straight Connector 1106">
            <a:extLst>
              <a:ext uri="{FF2B5EF4-FFF2-40B4-BE49-F238E27FC236}">
                <a16:creationId xmlns:a16="http://schemas.microsoft.com/office/drawing/2014/main" id="{2ED0556E-4300-2303-D529-145B2859C2F8}"/>
              </a:ext>
            </a:extLst>
          </xdr:cNvPr>
          <xdr:cNvCxnSpPr/>
        </xdr:nvCxnSpPr>
        <xdr:spPr>
          <a:xfrm flipH="1">
            <a:off x="8553450" y="27879675"/>
            <a:ext cx="60325" cy="603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108" name="Straight Connector 1107">
            <a:extLst>
              <a:ext uri="{FF2B5EF4-FFF2-40B4-BE49-F238E27FC236}">
                <a16:creationId xmlns:a16="http://schemas.microsoft.com/office/drawing/2014/main" id="{D81CDF95-8ECD-0A51-CF20-FA4FC605AAA7}"/>
              </a:ext>
            </a:extLst>
          </xdr:cNvPr>
          <xdr:cNvCxnSpPr/>
        </xdr:nvCxnSpPr>
        <xdr:spPr>
          <a:xfrm flipH="1">
            <a:off x="8515350" y="29197300"/>
            <a:ext cx="3333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109" name="Straight Connector 1108">
            <a:extLst>
              <a:ext uri="{FF2B5EF4-FFF2-40B4-BE49-F238E27FC236}">
                <a16:creationId xmlns:a16="http://schemas.microsoft.com/office/drawing/2014/main" id="{5D7EDC50-72FF-BD71-5BBC-CC7973F49053}"/>
              </a:ext>
            </a:extLst>
          </xdr:cNvPr>
          <xdr:cNvCxnSpPr/>
        </xdr:nvCxnSpPr>
        <xdr:spPr>
          <a:xfrm flipH="1">
            <a:off x="8550275" y="29168725"/>
            <a:ext cx="60325" cy="603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110" name="Straight Connector 1109">
            <a:extLst>
              <a:ext uri="{FF2B5EF4-FFF2-40B4-BE49-F238E27FC236}">
                <a16:creationId xmlns:a16="http://schemas.microsoft.com/office/drawing/2014/main" id="{BE992C15-5866-563A-E05B-A158D64AC49E}"/>
              </a:ext>
            </a:extLst>
          </xdr:cNvPr>
          <xdr:cNvCxnSpPr/>
        </xdr:nvCxnSpPr>
        <xdr:spPr>
          <a:xfrm flipV="1">
            <a:off x="8905875" y="27559000"/>
            <a:ext cx="0" cy="29845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111" name="Straight Connector 1110">
            <a:extLst>
              <a:ext uri="{FF2B5EF4-FFF2-40B4-BE49-F238E27FC236}">
                <a16:creationId xmlns:a16="http://schemas.microsoft.com/office/drawing/2014/main" id="{C7D78320-7A80-EF8C-F1AD-34581C6BCFFA}"/>
              </a:ext>
            </a:extLst>
          </xdr:cNvPr>
          <xdr:cNvCxnSpPr/>
        </xdr:nvCxnSpPr>
        <xdr:spPr>
          <a:xfrm>
            <a:off x="8839200" y="27625675"/>
            <a:ext cx="603250"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112" name="Straight Connector 1111">
            <a:extLst>
              <a:ext uri="{FF2B5EF4-FFF2-40B4-BE49-F238E27FC236}">
                <a16:creationId xmlns:a16="http://schemas.microsoft.com/office/drawing/2014/main" id="{9B64F820-6B52-FA13-E4EA-AEF67AC6D055}"/>
              </a:ext>
            </a:extLst>
          </xdr:cNvPr>
          <xdr:cNvCxnSpPr/>
        </xdr:nvCxnSpPr>
        <xdr:spPr>
          <a:xfrm flipH="1">
            <a:off x="8874125" y="27597100"/>
            <a:ext cx="60325" cy="603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113" name="Straight Connector 1112">
            <a:extLst>
              <a:ext uri="{FF2B5EF4-FFF2-40B4-BE49-F238E27FC236}">
                <a16:creationId xmlns:a16="http://schemas.microsoft.com/office/drawing/2014/main" id="{3792FF9C-1BC3-DFB4-B6BB-C94D8FC5E8D0}"/>
              </a:ext>
            </a:extLst>
          </xdr:cNvPr>
          <xdr:cNvCxnSpPr/>
        </xdr:nvCxnSpPr>
        <xdr:spPr>
          <a:xfrm flipV="1">
            <a:off x="9391650" y="27559000"/>
            <a:ext cx="0" cy="29845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114" name="Straight Connector 1113">
            <a:extLst>
              <a:ext uri="{FF2B5EF4-FFF2-40B4-BE49-F238E27FC236}">
                <a16:creationId xmlns:a16="http://schemas.microsoft.com/office/drawing/2014/main" id="{B6A54AC3-A2B5-591C-AB81-633E3163F2E4}"/>
              </a:ext>
            </a:extLst>
          </xdr:cNvPr>
          <xdr:cNvCxnSpPr/>
        </xdr:nvCxnSpPr>
        <xdr:spPr>
          <a:xfrm flipH="1">
            <a:off x="9359900" y="27597100"/>
            <a:ext cx="60325" cy="603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115" name="Straight Connector 1114">
            <a:extLst>
              <a:ext uri="{FF2B5EF4-FFF2-40B4-BE49-F238E27FC236}">
                <a16:creationId xmlns:a16="http://schemas.microsoft.com/office/drawing/2014/main" id="{E97B91B6-0BD7-8D5E-AF84-647D5B97C422}"/>
              </a:ext>
            </a:extLst>
          </xdr:cNvPr>
          <xdr:cNvCxnSpPr/>
        </xdr:nvCxnSpPr>
        <xdr:spPr>
          <a:xfrm flipH="1">
            <a:off x="9445625" y="27911425"/>
            <a:ext cx="3333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116" name="Straight Connector 1115">
            <a:extLst>
              <a:ext uri="{FF2B5EF4-FFF2-40B4-BE49-F238E27FC236}">
                <a16:creationId xmlns:a16="http://schemas.microsoft.com/office/drawing/2014/main" id="{F41B3D91-55A4-5D8F-3B16-9787EB0FC6D5}"/>
              </a:ext>
            </a:extLst>
          </xdr:cNvPr>
          <xdr:cNvCxnSpPr/>
        </xdr:nvCxnSpPr>
        <xdr:spPr>
          <a:xfrm>
            <a:off x="9715500" y="27857450"/>
            <a:ext cx="0" cy="40005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117" name="Straight Connector 1116">
            <a:extLst>
              <a:ext uri="{FF2B5EF4-FFF2-40B4-BE49-F238E27FC236}">
                <a16:creationId xmlns:a16="http://schemas.microsoft.com/office/drawing/2014/main" id="{77FFA237-3D64-BAD2-2D9C-065A3E61201F}"/>
              </a:ext>
            </a:extLst>
          </xdr:cNvPr>
          <xdr:cNvCxnSpPr/>
        </xdr:nvCxnSpPr>
        <xdr:spPr>
          <a:xfrm flipH="1">
            <a:off x="9686925" y="27882850"/>
            <a:ext cx="60325" cy="603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118" name="Straight Connector 1117">
            <a:extLst>
              <a:ext uri="{FF2B5EF4-FFF2-40B4-BE49-F238E27FC236}">
                <a16:creationId xmlns:a16="http://schemas.microsoft.com/office/drawing/2014/main" id="{70B07EF7-6E1B-24D8-633E-0641F1A6563D}"/>
              </a:ext>
            </a:extLst>
          </xdr:cNvPr>
          <xdr:cNvCxnSpPr/>
        </xdr:nvCxnSpPr>
        <xdr:spPr>
          <a:xfrm flipH="1">
            <a:off x="9436100" y="28194000"/>
            <a:ext cx="3333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119" name="Straight Connector 1118">
            <a:extLst>
              <a:ext uri="{FF2B5EF4-FFF2-40B4-BE49-F238E27FC236}">
                <a16:creationId xmlns:a16="http://schemas.microsoft.com/office/drawing/2014/main" id="{FFA734DB-0712-4256-8AD9-FE873095F568}"/>
              </a:ext>
            </a:extLst>
          </xdr:cNvPr>
          <xdr:cNvCxnSpPr/>
        </xdr:nvCxnSpPr>
        <xdr:spPr>
          <a:xfrm flipH="1">
            <a:off x="9683750" y="28165425"/>
            <a:ext cx="60325" cy="603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120" name="Straight Connector 1119">
            <a:extLst>
              <a:ext uri="{FF2B5EF4-FFF2-40B4-BE49-F238E27FC236}">
                <a16:creationId xmlns:a16="http://schemas.microsoft.com/office/drawing/2014/main" id="{4ABEEC4E-51E7-2860-CB52-A9497F6E7561}"/>
              </a:ext>
            </a:extLst>
          </xdr:cNvPr>
          <xdr:cNvCxnSpPr/>
        </xdr:nvCxnSpPr>
        <xdr:spPr>
          <a:xfrm flipH="1">
            <a:off x="8839200" y="28482925"/>
            <a:ext cx="203200"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121" name="Straight Connector 1120">
            <a:extLst>
              <a:ext uri="{FF2B5EF4-FFF2-40B4-BE49-F238E27FC236}">
                <a16:creationId xmlns:a16="http://schemas.microsoft.com/office/drawing/2014/main" id="{DA6A1D85-7A72-9A51-1B81-465E91A7311D}"/>
              </a:ext>
            </a:extLst>
          </xdr:cNvPr>
          <xdr:cNvCxnSpPr/>
        </xdr:nvCxnSpPr>
        <xdr:spPr>
          <a:xfrm flipH="1">
            <a:off x="8874125" y="28454350"/>
            <a:ext cx="60325" cy="603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122" name="Straight Connector 1121">
            <a:extLst>
              <a:ext uri="{FF2B5EF4-FFF2-40B4-BE49-F238E27FC236}">
                <a16:creationId xmlns:a16="http://schemas.microsoft.com/office/drawing/2014/main" id="{45DFFE05-617C-15D8-A398-34475847945D}"/>
              </a:ext>
            </a:extLst>
          </xdr:cNvPr>
          <xdr:cNvCxnSpPr/>
        </xdr:nvCxnSpPr>
        <xdr:spPr>
          <a:xfrm flipH="1">
            <a:off x="8966200" y="28454350"/>
            <a:ext cx="60325" cy="60325"/>
          </a:xfrm>
          <a:prstGeom prst="line">
            <a:avLst/>
          </a:prstGeom>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xdr:col>
      <xdr:colOff>95250</xdr:colOff>
      <xdr:row>788</xdr:row>
      <xdr:rowOff>61913</xdr:rowOff>
    </xdr:from>
    <xdr:to>
      <xdr:col>33</xdr:col>
      <xdr:colOff>28575</xdr:colOff>
      <xdr:row>828</xdr:row>
      <xdr:rowOff>61915</xdr:rowOff>
    </xdr:to>
    <xdr:grpSp>
      <xdr:nvGrpSpPr>
        <xdr:cNvPr id="1218" name="Group 1217">
          <a:extLst>
            <a:ext uri="{FF2B5EF4-FFF2-40B4-BE49-F238E27FC236}">
              <a16:creationId xmlns:a16="http://schemas.microsoft.com/office/drawing/2014/main" id="{F36388D8-AB7F-4EF6-A610-03908A268637}"/>
            </a:ext>
          </a:extLst>
        </xdr:cNvPr>
        <xdr:cNvGrpSpPr/>
      </xdr:nvGrpSpPr>
      <xdr:grpSpPr>
        <a:xfrm>
          <a:off x="419100" y="114828638"/>
          <a:ext cx="4953000" cy="5715002"/>
          <a:chOff x="419100" y="3729038"/>
          <a:chExt cx="4953000" cy="5715002"/>
        </a:xfrm>
      </xdr:grpSpPr>
      <xdr:sp macro="" textlink="">
        <xdr:nvSpPr>
          <xdr:cNvPr id="1219" name="Rectangle 1218">
            <a:extLst>
              <a:ext uri="{FF2B5EF4-FFF2-40B4-BE49-F238E27FC236}">
                <a16:creationId xmlns:a16="http://schemas.microsoft.com/office/drawing/2014/main" id="{1E3D3557-7B3B-1E71-3CC6-7C5B06ECDDEA}"/>
              </a:ext>
            </a:extLst>
          </xdr:cNvPr>
          <xdr:cNvSpPr/>
        </xdr:nvSpPr>
        <xdr:spPr>
          <a:xfrm>
            <a:off x="1133475" y="4381499"/>
            <a:ext cx="3886200" cy="5000625"/>
          </a:xfrm>
          <a:prstGeom prst="rect">
            <a:avLst/>
          </a:prstGeom>
          <a:solidFill>
            <a:schemeClr val="bg1">
              <a:lumMod val="95000"/>
            </a:schemeClr>
          </a:solidFill>
          <a:ln w="63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kern="1200"/>
          </a:p>
        </xdr:txBody>
      </xdr:sp>
      <xdr:cxnSp macro="">
        <xdr:nvCxnSpPr>
          <xdr:cNvPr id="1220" name="Straight Connector 1219">
            <a:extLst>
              <a:ext uri="{FF2B5EF4-FFF2-40B4-BE49-F238E27FC236}">
                <a16:creationId xmlns:a16="http://schemas.microsoft.com/office/drawing/2014/main" id="{AEA97F47-4E56-4A6F-79A2-64ADA1D3A28C}"/>
              </a:ext>
            </a:extLst>
          </xdr:cNvPr>
          <xdr:cNvCxnSpPr/>
        </xdr:nvCxnSpPr>
        <xdr:spPr>
          <a:xfrm>
            <a:off x="3038476" y="4381501"/>
            <a:ext cx="0" cy="500062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221" name="Straight Connector 1220">
            <a:extLst>
              <a:ext uri="{FF2B5EF4-FFF2-40B4-BE49-F238E27FC236}">
                <a16:creationId xmlns:a16="http://schemas.microsoft.com/office/drawing/2014/main" id="{E2D6A5B7-80AF-695E-F79D-667CE608B489}"/>
              </a:ext>
            </a:extLst>
          </xdr:cNvPr>
          <xdr:cNvCxnSpPr/>
        </xdr:nvCxnSpPr>
        <xdr:spPr>
          <a:xfrm>
            <a:off x="3114675" y="4381500"/>
            <a:ext cx="0" cy="50006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222" name="Straight Connector 1221">
            <a:extLst>
              <a:ext uri="{FF2B5EF4-FFF2-40B4-BE49-F238E27FC236}">
                <a16:creationId xmlns:a16="http://schemas.microsoft.com/office/drawing/2014/main" id="{FCCF7B36-8DE8-A1B4-9B50-189F992FC37D}"/>
              </a:ext>
            </a:extLst>
          </xdr:cNvPr>
          <xdr:cNvCxnSpPr/>
        </xdr:nvCxnSpPr>
        <xdr:spPr>
          <a:xfrm>
            <a:off x="1619250" y="4381500"/>
            <a:ext cx="0" cy="500062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223" name="Straight Connector 1222">
            <a:extLst>
              <a:ext uri="{FF2B5EF4-FFF2-40B4-BE49-F238E27FC236}">
                <a16:creationId xmlns:a16="http://schemas.microsoft.com/office/drawing/2014/main" id="{B2B094EA-D795-41BF-74D5-5646012DA83D}"/>
              </a:ext>
            </a:extLst>
          </xdr:cNvPr>
          <xdr:cNvCxnSpPr/>
        </xdr:nvCxnSpPr>
        <xdr:spPr>
          <a:xfrm>
            <a:off x="2105025" y="4381500"/>
            <a:ext cx="0" cy="500062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224" name="Straight Connector 1223">
            <a:extLst>
              <a:ext uri="{FF2B5EF4-FFF2-40B4-BE49-F238E27FC236}">
                <a16:creationId xmlns:a16="http://schemas.microsoft.com/office/drawing/2014/main" id="{7E00331A-9F7B-D71F-C0E9-1C77F5670D43}"/>
              </a:ext>
            </a:extLst>
          </xdr:cNvPr>
          <xdr:cNvCxnSpPr/>
        </xdr:nvCxnSpPr>
        <xdr:spPr>
          <a:xfrm>
            <a:off x="2590801" y="4386262"/>
            <a:ext cx="0" cy="500062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225" name="Straight Connector 1224">
            <a:extLst>
              <a:ext uri="{FF2B5EF4-FFF2-40B4-BE49-F238E27FC236}">
                <a16:creationId xmlns:a16="http://schemas.microsoft.com/office/drawing/2014/main" id="{4DA4BF06-8791-8474-5C70-54D15C7A5016}"/>
              </a:ext>
            </a:extLst>
          </xdr:cNvPr>
          <xdr:cNvCxnSpPr/>
        </xdr:nvCxnSpPr>
        <xdr:spPr>
          <a:xfrm>
            <a:off x="3562351" y="4381501"/>
            <a:ext cx="0" cy="500062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226" name="Straight Connector 1225">
            <a:extLst>
              <a:ext uri="{FF2B5EF4-FFF2-40B4-BE49-F238E27FC236}">
                <a16:creationId xmlns:a16="http://schemas.microsoft.com/office/drawing/2014/main" id="{0915D042-0631-4299-2DEE-95530071FC54}"/>
              </a:ext>
            </a:extLst>
          </xdr:cNvPr>
          <xdr:cNvCxnSpPr/>
        </xdr:nvCxnSpPr>
        <xdr:spPr>
          <a:xfrm>
            <a:off x="4048126" y="4381501"/>
            <a:ext cx="0" cy="500062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227" name="Straight Connector 1226">
            <a:extLst>
              <a:ext uri="{FF2B5EF4-FFF2-40B4-BE49-F238E27FC236}">
                <a16:creationId xmlns:a16="http://schemas.microsoft.com/office/drawing/2014/main" id="{3C34960B-37BB-47C2-5D98-F2FD5BF29D01}"/>
              </a:ext>
            </a:extLst>
          </xdr:cNvPr>
          <xdr:cNvCxnSpPr/>
        </xdr:nvCxnSpPr>
        <xdr:spPr>
          <a:xfrm>
            <a:off x="4533902" y="4386263"/>
            <a:ext cx="0" cy="500062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228" name="Straight Connector 1227">
            <a:extLst>
              <a:ext uri="{FF2B5EF4-FFF2-40B4-BE49-F238E27FC236}">
                <a16:creationId xmlns:a16="http://schemas.microsoft.com/office/drawing/2014/main" id="{55BA9C12-80B9-75E4-05C3-A52C2335F402}"/>
              </a:ext>
            </a:extLst>
          </xdr:cNvPr>
          <xdr:cNvCxnSpPr/>
        </xdr:nvCxnSpPr>
        <xdr:spPr>
          <a:xfrm>
            <a:off x="1133475" y="5095876"/>
            <a:ext cx="38862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229" name="Straight Connector 1228">
            <a:extLst>
              <a:ext uri="{FF2B5EF4-FFF2-40B4-BE49-F238E27FC236}">
                <a16:creationId xmlns:a16="http://schemas.microsoft.com/office/drawing/2014/main" id="{39F20AB3-F193-C98C-7C26-CF14E684E5F3}"/>
              </a:ext>
            </a:extLst>
          </xdr:cNvPr>
          <xdr:cNvCxnSpPr/>
        </xdr:nvCxnSpPr>
        <xdr:spPr>
          <a:xfrm>
            <a:off x="1133475" y="5810251"/>
            <a:ext cx="38862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230" name="Straight Connector 1229">
            <a:extLst>
              <a:ext uri="{FF2B5EF4-FFF2-40B4-BE49-F238E27FC236}">
                <a16:creationId xmlns:a16="http://schemas.microsoft.com/office/drawing/2014/main" id="{6EFF83D2-D580-282B-400F-6837189A7E60}"/>
              </a:ext>
            </a:extLst>
          </xdr:cNvPr>
          <xdr:cNvCxnSpPr/>
        </xdr:nvCxnSpPr>
        <xdr:spPr>
          <a:xfrm>
            <a:off x="1133475" y="6524626"/>
            <a:ext cx="38862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231" name="Straight Connector 1230">
            <a:extLst>
              <a:ext uri="{FF2B5EF4-FFF2-40B4-BE49-F238E27FC236}">
                <a16:creationId xmlns:a16="http://schemas.microsoft.com/office/drawing/2014/main" id="{A9540DDC-E320-474D-C180-8D14DC50DB3C}"/>
              </a:ext>
            </a:extLst>
          </xdr:cNvPr>
          <xdr:cNvCxnSpPr/>
        </xdr:nvCxnSpPr>
        <xdr:spPr>
          <a:xfrm>
            <a:off x="1133474" y="7239000"/>
            <a:ext cx="38862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232" name="Straight Connector 1231">
            <a:extLst>
              <a:ext uri="{FF2B5EF4-FFF2-40B4-BE49-F238E27FC236}">
                <a16:creationId xmlns:a16="http://schemas.microsoft.com/office/drawing/2014/main" id="{A7D51985-89CE-7F25-566D-0C59E5478395}"/>
              </a:ext>
            </a:extLst>
          </xdr:cNvPr>
          <xdr:cNvCxnSpPr/>
        </xdr:nvCxnSpPr>
        <xdr:spPr>
          <a:xfrm>
            <a:off x="1133474" y="7953375"/>
            <a:ext cx="38862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233" name="Straight Connector 1232">
            <a:extLst>
              <a:ext uri="{FF2B5EF4-FFF2-40B4-BE49-F238E27FC236}">
                <a16:creationId xmlns:a16="http://schemas.microsoft.com/office/drawing/2014/main" id="{D9CE7C93-206F-10A3-E114-79541420F8D3}"/>
              </a:ext>
            </a:extLst>
          </xdr:cNvPr>
          <xdr:cNvCxnSpPr/>
        </xdr:nvCxnSpPr>
        <xdr:spPr>
          <a:xfrm>
            <a:off x="1133474" y="8667750"/>
            <a:ext cx="38862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234" name="Straight Connector 1233">
            <a:extLst>
              <a:ext uri="{FF2B5EF4-FFF2-40B4-BE49-F238E27FC236}">
                <a16:creationId xmlns:a16="http://schemas.microsoft.com/office/drawing/2014/main" id="{0D4BAC16-1C24-D152-E1CE-45A49D935C0B}"/>
              </a:ext>
            </a:extLst>
          </xdr:cNvPr>
          <xdr:cNvCxnSpPr/>
        </xdr:nvCxnSpPr>
        <xdr:spPr>
          <a:xfrm>
            <a:off x="1138238" y="4386263"/>
            <a:ext cx="971550" cy="70961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235" name="Straight Connector 1234">
            <a:extLst>
              <a:ext uri="{FF2B5EF4-FFF2-40B4-BE49-F238E27FC236}">
                <a16:creationId xmlns:a16="http://schemas.microsoft.com/office/drawing/2014/main" id="{E714AC4E-14DF-F3BD-B893-D72C342D8A66}"/>
              </a:ext>
            </a:extLst>
          </xdr:cNvPr>
          <xdr:cNvCxnSpPr/>
        </xdr:nvCxnSpPr>
        <xdr:spPr>
          <a:xfrm flipV="1">
            <a:off x="1133475" y="4381500"/>
            <a:ext cx="971550" cy="7143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236" name="Straight Connector 1235">
            <a:extLst>
              <a:ext uri="{FF2B5EF4-FFF2-40B4-BE49-F238E27FC236}">
                <a16:creationId xmlns:a16="http://schemas.microsoft.com/office/drawing/2014/main" id="{ACA8C0C9-95B9-9F33-A87D-F68CB9D8C3EE}"/>
              </a:ext>
            </a:extLst>
          </xdr:cNvPr>
          <xdr:cNvCxnSpPr/>
        </xdr:nvCxnSpPr>
        <xdr:spPr>
          <a:xfrm>
            <a:off x="2109788" y="4386263"/>
            <a:ext cx="971550" cy="70961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237" name="Straight Connector 1236">
            <a:extLst>
              <a:ext uri="{FF2B5EF4-FFF2-40B4-BE49-F238E27FC236}">
                <a16:creationId xmlns:a16="http://schemas.microsoft.com/office/drawing/2014/main" id="{441F7948-281F-8942-FE59-2EF99FC1DA95}"/>
              </a:ext>
            </a:extLst>
          </xdr:cNvPr>
          <xdr:cNvCxnSpPr/>
        </xdr:nvCxnSpPr>
        <xdr:spPr>
          <a:xfrm flipV="1">
            <a:off x="2105025" y="4381500"/>
            <a:ext cx="971550" cy="7143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238" name="Straight Connector 1237">
            <a:extLst>
              <a:ext uri="{FF2B5EF4-FFF2-40B4-BE49-F238E27FC236}">
                <a16:creationId xmlns:a16="http://schemas.microsoft.com/office/drawing/2014/main" id="{2A83110F-9F2D-553A-0839-97310A0FC4FB}"/>
              </a:ext>
            </a:extLst>
          </xdr:cNvPr>
          <xdr:cNvCxnSpPr/>
        </xdr:nvCxnSpPr>
        <xdr:spPr>
          <a:xfrm>
            <a:off x="3081338" y="4386263"/>
            <a:ext cx="971550" cy="70961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239" name="Straight Connector 1238">
            <a:extLst>
              <a:ext uri="{FF2B5EF4-FFF2-40B4-BE49-F238E27FC236}">
                <a16:creationId xmlns:a16="http://schemas.microsoft.com/office/drawing/2014/main" id="{0C43A723-6447-3656-4CF6-BB3D41E92921}"/>
              </a:ext>
            </a:extLst>
          </xdr:cNvPr>
          <xdr:cNvCxnSpPr/>
        </xdr:nvCxnSpPr>
        <xdr:spPr>
          <a:xfrm flipV="1">
            <a:off x="3076575" y="4381500"/>
            <a:ext cx="971550" cy="7143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240" name="Straight Connector 1239">
            <a:extLst>
              <a:ext uri="{FF2B5EF4-FFF2-40B4-BE49-F238E27FC236}">
                <a16:creationId xmlns:a16="http://schemas.microsoft.com/office/drawing/2014/main" id="{7FD5AB1B-836A-E08F-CA1D-A03D541863A3}"/>
              </a:ext>
            </a:extLst>
          </xdr:cNvPr>
          <xdr:cNvCxnSpPr/>
        </xdr:nvCxnSpPr>
        <xdr:spPr>
          <a:xfrm>
            <a:off x="4052888" y="4386263"/>
            <a:ext cx="971550" cy="70961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241" name="Straight Connector 1240">
            <a:extLst>
              <a:ext uri="{FF2B5EF4-FFF2-40B4-BE49-F238E27FC236}">
                <a16:creationId xmlns:a16="http://schemas.microsoft.com/office/drawing/2014/main" id="{339699F3-8437-8F1A-8D0C-7CF4512FD3D3}"/>
              </a:ext>
            </a:extLst>
          </xdr:cNvPr>
          <xdr:cNvCxnSpPr/>
        </xdr:nvCxnSpPr>
        <xdr:spPr>
          <a:xfrm flipV="1">
            <a:off x="4048125" y="4381500"/>
            <a:ext cx="971550" cy="7143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242" name="Straight Connector 1241">
            <a:extLst>
              <a:ext uri="{FF2B5EF4-FFF2-40B4-BE49-F238E27FC236}">
                <a16:creationId xmlns:a16="http://schemas.microsoft.com/office/drawing/2014/main" id="{538CC5FA-FC70-8E45-70BC-5BB7A66B2DCF}"/>
              </a:ext>
            </a:extLst>
          </xdr:cNvPr>
          <xdr:cNvCxnSpPr/>
        </xdr:nvCxnSpPr>
        <xdr:spPr>
          <a:xfrm>
            <a:off x="1138238" y="6529397"/>
            <a:ext cx="971550" cy="70961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243" name="Straight Connector 1242">
            <a:extLst>
              <a:ext uri="{FF2B5EF4-FFF2-40B4-BE49-F238E27FC236}">
                <a16:creationId xmlns:a16="http://schemas.microsoft.com/office/drawing/2014/main" id="{7B8937E6-1AD4-FF69-A3A5-9564776260AB}"/>
              </a:ext>
            </a:extLst>
          </xdr:cNvPr>
          <xdr:cNvCxnSpPr/>
        </xdr:nvCxnSpPr>
        <xdr:spPr>
          <a:xfrm flipV="1">
            <a:off x="1133475" y="6524634"/>
            <a:ext cx="971550" cy="7143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244" name="Straight Connector 1243">
            <a:extLst>
              <a:ext uri="{FF2B5EF4-FFF2-40B4-BE49-F238E27FC236}">
                <a16:creationId xmlns:a16="http://schemas.microsoft.com/office/drawing/2014/main" id="{01AC990E-A5FE-0E16-8786-CD07E5DF1EDE}"/>
              </a:ext>
            </a:extLst>
          </xdr:cNvPr>
          <xdr:cNvCxnSpPr/>
        </xdr:nvCxnSpPr>
        <xdr:spPr>
          <a:xfrm>
            <a:off x="2109788" y="6529397"/>
            <a:ext cx="971550" cy="70961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245" name="Straight Connector 1244">
            <a:extLst>
              <a:ext uri="{FF2B5EF4-FFF2-40B4-BE49-F238E27FC236}">
                <a16:creationId xmlns:a16="http://schemas.microsoft.com/office/drawing/2014/main" id="{B6F69725-F5E0-9349-122D-3E058FFBDB82}"/>
              </a:ext>
            </a:extLst>
          </xdr:cNvPr>
          <xdr:cNvCxnSpPr/>
        </xdr:nvCxnSpPr>
        <xdr:spPr>
          <a:xfrm flipV="1">
            <a:off x="2105025" y="6524634"/>
            <a:ext cx="971550" cy="7143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246" name="Straight Connector 1245">
            <a:extLst>
              <a:ext uri="{FF2B5EF4-FFF2-40B4-BE49-F238E27FC236}">
                <a16:creationId xmlns:a16="http://schemas.microsoft.com/office/drawing/2014/main" id="{15A2FAB2-EFF5-1DF9-01BA-1B57088D6EF9}"/>
              </a:ext>
            </a:extLst>
          </xdr:cNvPr>
          <xdr:cNvCxnSpPr/>
        </xdr:nvCxnSpPr>
        <xdr:spPr>
          <a:xfrm>
            <a:off x="3081338" y="6529397"/>
            <a:ext cx="971550" cy="70961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247" name="Straight Connector 1246">
            <a:extLst>
              <a:ext uri="{FF2B5EF4-FFF2-40B4-BE49-F238E27FC236}">
                <a16:creationId xmlns:a16="http://schemas.microsoft.com/office/drawing/2014/main" id="{47C2C758-5A77-D024-4B24-84C377C0687F}"/>
              </a:ext>
            </a:extLst>
          </xdr:cNvPr>
          <xdr:cNvCxnSpPr/>
        </xdr:nvCxnSpPr>
        <xdr:spPr>
          <a:xfrm flipV="1">
            <a:off x="3076575" y="6524634"/>
            <a:ext cx="971550" cy="7143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248" name="Straight Connector 1247">
            <a:extLst>
              <a:ext uri="{FF2B5EF4-FFF2-40B4-BE49-F238E27FC236}">
                <a16:creationId xmlns:a16="http://schemas.microsoft.com/office/drawing/2014/main" id="{8E48BAA6-1287-E940-8FCF-FE818E7C215F}"/>
              </a:ext>
            </a:extLst>
          </xdr:cNvPr>
          <xdr:cNvCxnSpPr/>
        </xdr:nvCxnSpPr>
        <xdr:spPr>
          <a:xfrm>
            <a:off x="4052888" y="6529397"/>
            <a:ext cx="971550" cy="70961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249" name="Straight Connector 1248">
            <a:extLst>
              <a:ext uri="{FF2B5EF4-FFF2-40B4-BE49-F238E27FC236}">
                <a16:creationId xmlns:a16="http://schemas.microsoft.com/office/drawing/2014/main" id="{BE0A1B2E-46A9-7117-25E8-067516328440}"/>
              </a:ext>
            </a:extLst>
          </xdr:cNvPr>
          <xdr:cNvCxnSpPr/>
        </xdr:nvCxnSpPr>
        <xdr:spPr>
          <a:xfrm flipV="1">
            <a:off x="4048125" y="6524634"/>
            <a:ext cx="971550" cy="7143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250" name="Straight Connector 1249">
            <a:extLst>
              <a:ext uri="{FF2B5EF4-FFF2-40B4-BE49-F238E27FC236}">
                <a16:creationId xmlns:a16="http://schemas.microsoft.com/office/drawing/2014/main" id="{B6808359-4AFD-B0D2-CBD5-D303D9D64415}"/>
              </a:ext>
            </a:extLst>
          </xdr:cNvPr>
          <xdr:cNvCxnSpPr/>
        </xdr:nvCxnSpPr>
        <xdr:spPr>
          <a:xfrm>
            <a:off x="1133475" y="7239001"/>
            <a:ext cx="38862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251" name="Straight Connector 1250">
            <a:extLst>
              <a:ext uri="{FF2B5EF4-FFF2-40B4-BE49-F238E27FC236}">
                <a16:creationId xmlns:a16="http://schemas.microsoft.com/office/drawing/2014/main" id="{59355010-D1CE-D088-4473-0F2354AD767B}"/>
              </a:ext>
            </a:extLst>
          </xdr:cNvPr>
          <xdr:cNvCxnSpPr/>
        </xdr:nvCxnSpPr>
        <xdr:spPr>
          <a:xfrm>
            <a:off x="1133475" y="8667751"/>
            <a:ext cx="38862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252" name="Straight Connector 1251">
            <a:extLst>
              <a:ext uri="{FF2B5EF4-FFF2-40B4-BE49-F238E27FC236}">
                <a16:creationId xmlns:a16="http://schemas.microsoft.com/office/drawing/2014/main" id="{C74C286F-07B7-2A67-C427-4BC1DB7DA2F9}"/>
              </a:ext>
            </a:extLst>
          </xdr:cNvPr>
          <xdr:cNvCxnSpPr/>
        </xdr:nvCxnSpPr>
        <xdr:spPr>
          <a:xfrm>
            <a:off x="1138238" y="8672513"/>
            <a:ext cx="971550" cy="70961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253" name="Straight Connector 1252">
            <a:extLst>
              <a:ext uri="{FF2B5EF4-FFF2-40B4-BE49-F238E27FC236}">
                <a16:creationId xmlns:a16="http://schemas.microsoft.com/office/drawing/2014/main" id="{9EF1328D-EC47-1740-9AD9-0A5B7E4EED39}"/>
              </a:ext>
            </a:extLst>
          </xdr:cNvPr>
          <xdr:cNvCxnSpPr/>
        </xdr:nvCxnSpPr>
        <xdr:spPr>
          <a:xfrm flipV="1">
            <a:off x="1133475" y="8667750"/>
            <a:ext cx="971550" cy="7143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254" name="Straight Connector 1253">
            <a:extLst>
              <a:ext uri="{FF2B5EF4-FFF2-40B4-BE49-F238E27FC236}">
                <a16:creationId xmlns:a16="http://schemas.microsoft.com/office/drawing/2014/main" id="{944135AB-6E2A-BE04-BD93-7D9FF3668ECE}"/>
              </a:ext>
            </a:extLst>
          </xdr:cNvPr>
          <xdr:cNvCxnSpPr/>
        </xdr:nvCxnSpPr>
        <xdr:spPr>
          <a:xfrm>
            <a:off x="2109788" y="8672513"/>
            <a:ext cx="971550" cy="70961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255" name="Straight Connector 1254">
            <a:extLst>
              <a:ext uri="{FF2B5EF4-FFF2-40B4-BE49-F238E27FC236}">
                <a16:creationId xmlns:a16="http://schemas.microsoft.com/office/drawing/2014/main" id="{07F8654C-3306-A9D3-FAB6-9688945D2F2C}"/>
              </a:ext>
            </a:extLst>
          </xdr:cNvPr>
          <xdr:cNvCxnSpPr/>
        </xdr:nvCxnSpPr>
        <xdr:spPr>
          <a:xfrm flipV="1">
            <a:off x="2105025" y="8667750"/>
            <a:ext cx="971550" cy="7143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256" name="Straight Connector 1255">
            <a:extLst>
              <a:ext uri="{FF2B5EF4-FFF2-40B4-BE49-F238E27FC236}">
                <a16:creationId xmlns:a16="http://schemas.microsoft.com/office/drawing/2014/main" id="{0379998F-ED0C-0B47-5420-594A057DF05D}"/>
              </a:ext>
            </a:extLst>
          </xdr:cNvPr>
          <xdr:cNvCxnSpPr/>
        </xdr:nvCxnSpPr>
        <xdr:spPr>
          <a:xfrm>
            <a:off x="3081338" y="8672513"/>
            <a:ext cx="971550" cy="70961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257" name="Straight Connector 1256">
            <a:extLst>
              <a:ext uri="{FF2B5EF4-FFF2-40B4-BE49-F238E27FC236}">
                <a16:creationId xmlns:a16="http://schemas.microsoft.com/office/drawing/2014/main" id="{9D31105C-0880-1739-5A54-D3CC38213B30}"/>
              </a:ext>
            </a:extLst>
          </xdr:cNvPr>
          <xdr:cNvCxnSpPr/>
        </xdr:nvCxnSpPr>
        <xdr:spPr>
          <a:xfrm flipV="1">
            <a:off x="3076575" y="8667750"/>
            <a:ext cx="971550" cy="7143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258" name="Straight Connector 1257">
            <a:extLst>
              <a:ext uri="{FF2B5EF4-FFF2-40B4-BE49-F238E27FC236}">
                <a16:creationId xmlns:a16="http://schemas.microsoft.com/office/drawing/2014/main" id="{A8B781E8-B697-FA6B-C83B-D134A9D12402}"/>
              </a:ext>
            </a:extLst>
          </xdr:cNvPr>
          <xdr:cNvCxnSpPr/>
        </xdr:nvCxnSpPr>
        <xdr:spPr>
          <a:xfrm>
            <a:off x="4052888" y="8672513"/>
            <a:ext cx="971550" cy="70961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259" name="Straight Connector 1258">
            <a:extLst>
              <a:ext uri="{FF2B5EF4-FFF2-40B4-BE49-F238E27FC236}">
                <a16:creationId xmlns:a16="http://schemas.microsoft.com/office/drawing/2014/main" id="{589894C8-09F5-AA1C-F926-44D0B8E4E27F}"/>
              </a:ext>
            </a:extLst>
          </xdr:cNvPr>
          <xdr:cNvCxnSpPr/>
        </xdr:nvCxnSpPr>
        <xdr:spPr>
          <a:xfrm flipV="1">
            <a:off x="4048125" y="8667750"/>
            <a:ext cx="971550" cy="7143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260" name="Straight Connector 1259">
            <a:extLst>
              <a:ext uri="{FF2B5EF4-FFF2-40B4-BE49-F238E27FC236}">
                <a16:creationId xmlns:a16="http://schemas.microsoft.com/office/drawing/2014/main" id="{D0902D8A-30C3-3D47-64E8-3E2F5D1466D2}"/>
              </a:ext>
            </a:extLst>
          </xdr:cNvPr>
          <xdr:cNvCxnSpPr/>
        </xdr:nvCxnSpPr>
        <xdr:spPr>
          <a:xfrm>
            <a:off x="2386013" y="4262438"/>
            <a:ext cx="0" cy="404812"/>
          </a:xfrm>
          <a:prstGeom prst="line">
            <a:avLst/>
          </a:prstGeom>
          <a:ln w="9525">
            <a:solidFill>
              <a:schemeClr val="accent6">
                <a:lumMod val="75000"/>
              </a:schemeClr>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261" name="Straight Connector 1260">
            <a:extLst>
              <a:ext uri="{FF2B5EF4-FFF2-40B4-BE49-F238E27FC236}">
                <a16:creationId xmlns:a16="http://schemas.microsoft.com/office/drawing/2014/main" id="{B841FCD7-EFB1-B5BB-7DC2-6AD77C079F7C}"/>
              </a:ext>
            </a:extLst>
          </xdr:cNvPr>
          <xdr:cNvCxnSpPr/>
        </xdr:nvCxnSpPr>
        <xdr:spPr>
          <a:xfrm>
            <a:off x="2409826" y="4262438"/>
            <a:ext cx="0" cy="404812"/>
          </a:xfrm>
          <a:prstGeom prst="line">
            <a:avLst/>
          </a:prstGeom>
          <a:ln w="9525">
            <a:solidFill>
              <a:schemeClr val="accent6">
                <a:lumMod val="75000"/>
              </a:schemeClr>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262" name="Straight Connector 1261">
            <a:extLst>
              <a:ext uri="{FF2B5EF4-FFF2-40B4-BE49-F238E27FC236}">
                <a16:creationId xmlns:a16="http://schemas.microsoft.com/office/drawing/2014/main" id="{F2120417-B8EB-1681-C050-940425EEE1D6}"/>
              </a:ext>
            </a:extLst>
          </xdr:cNvPr>
          <xdr:cNvCxnSpPr/>
        </xdr:nvCxnSpPr>
        <xdr:spPr>
          <a:xfrm>
            <a:off x="3752847" y="4267203"/>
            <a:ext cx="0" cy="404812"/>
          </a:xfrm>
          <a:prstGeom prst="line">
            <a:avLst/>
          </a:prstGeom>
          <a:ln w="9525">
            <a:solidFill>
              <a:schemeClr val="accent6">
                <a:lumMod val="75000"/>
              </a:schemeClr>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263" name="Straight Connector 1262">
            <a:extLst>
              <a:ext uri="{FF2B5EF4-FFF2-40B4-BE49-F238E27FC236}">
                <a16:creationId xmlns:a16="http://schemas.microsoft.com/office/drawing/2014/main" id="{BA661FDE-52C6-6630-26F6-133905BD6219}"/>
              </a:ext>
            </a:extLst>
          </xdr:cNvPr>
          <xdr:cNvCxnSpPr/>
        </xdr:nvCxnSpPr>
        <xdr:spPr>
          <a:xfrm>
            <a:off x="3776660" y="4267203"/>
            <a:ext cx="0" cy="404812"/>
          </a:xfrm>
          <a:prstGeom prst="line">
            <a:avLst/>
          </a:prstGeom>
          <a:ln w="9525">
            <a:solidFill>
              <a:schemeClr val="accent6">
                <a:lumMod val="75000"/>
              </a:schemeClr>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264" name="Straight Connector 1263">
            <a:extLst>
              <a:ext uri="{FF2B5EF4-FFF2-40B4-BE49-F238E27FC236}">
                <a16:creationId xmlns:a16="http://schemas.microsoft.com/office/drawing/2014/main" id="{178F797F-45C3-2BAE-221E-F0936F56AD3B}"/>
              </a:ext>
            </a:extLst>
          </xdr:cNvPr>
          <xdr:cNvCxnSpPr/>
        </xdr:nvCxnSpPr>
        <xdr:spPr>
          <a:xfrm flipH="1">
            <a:off x="419100" y="4381501"/>
            <a:ext cx="622300"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265" name="Straight Connector 1264">
            <a:extLst>
              <a:ext uri="{FF2B5EF4-FFF2-40B4-BE49-F238E27FC236}">
                <a16:creationId xmlns:a16="http://schemas.microsoft.com/office/drawing/2014/main" id="{A705EEB3-ADBA-39C7-3199-EE6DA84702C1}"/>
              </a:ext>
            </a:extLst>
          </xdr:cNvPr>
          <xdr:cNvCxnSpPr/>
        </xdr:nvCxnSpPr>
        <xdr:spPr>
          <a:xfrm>
            <a:off x="809626" y="4314823"/>
            <a:ext cx="0" cy="512921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266" name="Straight Connector 1265">
            <a:extLst>
              <a:ext uri="{FF2B5EF4-FFF2-40B4-BE49-F238E27FC236}">
                <a16:creationId xmlns:a16="http://schemas.microsoft.com/office/drawing/2014/main" id="{A989D7F3-8132-E301-19FA-285B66DFE3C8}"/>
              </a:ext>
            </a:extLst>
          </xdr:cNvPr>
          <xdr:cNvCxnSpPr/>
        </xdr:nvCxnSpPr>
        <xdr:spPr>
          <a:xfrm flipH="1">
            <a:off x="776287" y="4348163"/>
            <a:ext cx="66675" cy="666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267" name="Straight Connector 1266">
            <a:extLst>
              <a:ext uri="{FF2B5EF4-FFF2-40B4-BE49-F238E27FC236}">
                <a16:creationId xmlns:a16="http://schemas.microsoft.com/office/drawing/2014/main" id="{071B5827-4770-C84C-3808-0D56503815BD}"/>
              </a:ext>
            </a:extLst>
          </xdr:cNvPr>
          <xdr:cNvCxnSpPr/>
        </xdr:nvCxnSpPr>
        <xdr:spPr>
          <a:xfrm flipH="1">
            <a:off x="752475" y="5095879"/>
            <a:ext cx="26352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268" name="Straight Connector 1267">
            <a:extLst>
              <a:ext uri="{FF2B5EF4-FFF2-40B4-BE49-F238E27FC236}">
                <a16:creationId xmlns:a16="http://schemas.microsoft.com/office/drawing/2014/main" id="{18860457-6F23-FC88-D59F-D80DCB590220}"/>
              </a:ext>
            </a:extLst>
          </xdr:cNvPr>
          <xdr:cNvCxnSpPr/>
        </xdr:nvCxnSpPr>
        <xdr:spPr>
          <a:xfrm flipH="1">
            <a:off x="776283" y="5062541"/>
            <a:ext cx="66675" cy="666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269" name="Straight Connector 1268">
            <a:extLst>
              <a:ext uri="{FF2B5EF4-FFF2-40B4-BE49-F238E27FC236}">
                <a16:creationId xmlns:a16="http://schemas.microsoft.com/office/drawing/2014/main" id="{E6BD009D-15F8-72B4-6EE7-AE1F2AD7E907}"/>
              </a:ext>
            </a:extLst>
          </xdr:cNvPr>
          <xdr:cNvCxnSpPr/>
        </xdr:nvCxnSpPr>
        <xdr:spPr>
          <a:xfrm flipH="1">
            <a:off x="752475" y="5810254"/>
            <a:ext cx="2825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270" name="Straight Connector 1269">
            <a:extLst>
              <a:ext uri="{FF2B5EF4-FFF2-40B4-BE49-F238E27FC236}">
                <a16:creationId xmlns:a16="http://schemas.microsoft.com/office/drawing/2014/main" id="{DCD69434-8647-2920-BF6D-EA737F8E1579}"/>
              </a:ext>
            </a:extLst>
          </xdr:cNvPr>
          <xdr:cNvCxnSpPr/>
        </xdr:nvCxnSpPr>
        <xdr:spPr>
          <a:xfrm flipH="1">
            <a:off x="776283" y="5776916"/>
            <a:ext cx="66675" cy="666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271" name="Straight Connector 1270">
            <a:extLst>
              <a:ext uri="{FF2B5EF4-FFF2-40B4-BE49-F238E27FC236}">
                <a16:creationId xmlns:a16="http://schemas.microsoft.com/office/drawing/2014/main" id="{226364EA-2C02-74BC-32C6-61D0CB4BC534}"/>
              </a:ext>
            </a:extLst>
          </xdr:cNvPr>
          <xdr:cNvCxnSpPr/>
        </xdr:nvCxnSpPr>
        <xdr:spPr>
          <a:xfrm flipH="1">
            <a:off x="752475" y="6524629"/>
            <a:ext cx="273050"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272" name="Straight Connector 1271">
            <a:extLst>
              <a:ext uri="{FF2B5EF4-FFF2-40B4-BE49-F238E27FC236}">
                <a16:creationId xmlns:a16="http://schemas.microsoft.com/office/drawing/2014/main" id="{4D3D1299-5BBC-6279-8E7C-BDC7DF0952FC}"/>
              </a:ext>
            </a:extLst>
          </xdr:cNvPr>
          <xdr:cNvCxnSpPr/>
        </xdr:nvCxnSpPr>
        <xdr:spPr>
          <a:xfrm flipH="1">
            <a:off x="776283" y="6491291"/>
            <a:ext cx="66675" cy="666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273" name="Straight Connector 1272">
            <a:extLst>
              <a:ext uri="{FF2B5EF4-FFF2-40B4-BE49-F238E27FC236}">
                <a16:creationId xmlns:a16="http://schemas.microsoft.com/office/drawing/2014/main" id="{8125736A-713B-2424-209B-7708BFB5989A}"/>
              </a:ext>
            </a:extLst>
          </xdr:cNvPr>
          <xdr:cNvCxnSpPr/>
        </xdr:nvCxnSpPr>
        <xdr:spPr>
          <a:xfrm flipH="1">
            <a:off x="752475" y="7239004"/>
            <a:ext cx="2698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274" name="Straight Connector 1273">
            <a:extLst>
              <a:ext uri="{FF2B5EF4-FFF2-40B4-BE49-F238E27FC236}">
                <a16:creationId xmlns:a16="http://schemas.microsoft.com/office/drawing/2014/main" id="{952BA62F-7B04-E74D-2B3D-C8B6B2BB7AAD}"/>
              </a:ext>
            </a:extLst>
          </xdr:cNvPr>
          <xdr:cNvCxnSpPr/>
        </xdr:nvCxnSpPr>
        <xdr:spPr>
          <a:xfrm flipH="1">
            <a:off x="776283" y="7205666"/>
            <a:ext cx="66675" cy="666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275" name="Straight Connector 1274">
            <a:extLst>
              <a:ext uri="{FF2B5EF4-FFF2-40B4-BE49-F238E27FC236}">
                <a16:creationId xmlns:a16="http://schemas.microsoft.com/office/drawing/2014/main" id="{68F7E286-4A78-AFB2-D236-C7B8530E1AF5}"/>
              </a:ext>
            </a:extLst>
          </xdr:cNvPr>
          <xdr:cNvCxnSpPr/>
        </xdr:nvCxnSpPr>
        <xdr:spPr>
          <a:xfrm flipH="1">
            <a:off x="752475" y="7953379"/>
            <a:ext cx="2698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276" name="Straight Connector 1275">
            <a:extLst>
              <a:ext uri="{FF2B5EF4-FFF2-40B4-BE49-F238E27FC236}">
                <a16:creationId xmlns:a16="http://schemas.microsoft.com/office/drawing/2014/main" id="{7D6B9AE1-133A-EAE7-20E5-EA7B7D483478}"/>
              </a:ext>
            </a:extLst>
          </xdr:cNvPr>
          <xdr:cNvCxnSpPr/>
        </xdr:nvCxnSpPr>
        <xdr:spPr>
          <a:xfrm flipH="1">
            <a:off x="776283" y="7920041"/>
            <a:ext cx="66675" cy="666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277" name="Straight Connector 1276">
            <a:extLst>
              <a:ext uri="{FF2B5EF4-FFF2-40B4-BE49-F238E27FC236}">
                <a16:creationId xmlns:a16="http://schemas.microsoft.com/office/drawing/2014/main" id="{476A6257-1819-3FE5-04C6-89E9B2E1D6A3}"/>
              </a:ext>
            </a:extLst>
          </xdr:cNvPr>
          <xdr:cNvCxnSpPr/>
        </xdr:nvCxnSpPr>
        <xdr:spPr>
          <a:xfrm flipH="1">
            <a:off x="752475" y="8667754"/>
            <a:ext cx="28892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278" name="Straight Connector 1277">
            <a:extLst>
              <a:ext uri="{FF2B5EF4-FFF2-40B4-BE49-F238E27FC236}">
                <a16:creationId xmlns:a16="http://schemas.microsoft.com/office/drawing/2014/main" id="{7997ACD2-DA1A-D06B-3038-273BC3F04555}"/>
              </a:ext>
            </a:extLst>
          </xdr:cNvPr>
          <xdr:cNvCxnSpPr/>
        </xdr:nvCxnSpPr>
        <xdr:spPr>
          <a:xfrm flipH="1">
            <a:off x="776283" y="8634416"/>
            <a:ext cx="66675" cy="666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279" name="Straight Connector 1278">
            <a:extLst>
              <a:ext uri="{FF2B5EF4-FFF2-40B4-BE49-F238E27FC236}">
                <a16:creationId xmlns:a16="http://schemas.microsoft.com/office/drawing/2014/main" id="{FC560D15-EE38-ED13-847E-D31D0D32ECD7}"/>
              </a:ext>
            </a:extLst>
          </xdr:cNvPr>
          <xdr:cNvCxnSpPr/>
        </xdr:nvCxnSpPr>
        <xdr:spPr>
          <a:xfrm>
            <a:off x="485776" y="4314825"/>
            <a:ext cx="0" cy="512921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280" name="Straight Connector 1279">
            <a:extLst>
              <a:ext uri="{FF2B5EF4-FFF2-40B4-BE49-F238E27FC236}">
                <a16:creationId xmlns:a16="http://schemas.microsoft.com/office/drawing/2014/main" id="{9C6EAC97-3A66-2692-B6F2-5724EF5E56E0}"/>
              </a:ext>
            </a:extLst>
          </xdr:cNvPr>
          <xdr:cNvCxnSpPr/>
        </xdr:nvCxnSpPr>
        <xdr:spPr>
          <a:xfrm flipH="1">
            <a:off x="452437" y="4348165"/>
            <a:ext cx="66675" cy="666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281" name="Straight Connector 1280">
            <a:extLst>
              <a:ext uri="{FF2B5EF4-FFF2-40B4-BE49-F238E27FC236}">
                <a16:creationId xmlns:a16="http://schemas.microsoft.com/office/drawing/2014/main" id="{0F7424D0-E31B-1F71-22F8-2CAA96C8F4AD}"/>
              </a:ext>
            </a:extLst>
          </xdr:cNvPr>
          <xdr:cNvCxnSpPr/>
        </xdr:nvCxnSpPr>
        <xdr:spPr>
          <a:xfrm flipH="1">
            <a:off x="419100" y="9382126"/>
            <a:ext cx="59372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282" name="Straight Connector 1281">
            <a:extLst>
              <a:ext uri="{FF2B5EF4-FFF2-40B4-BE49-F238E27FC236}">
                <a16:creationId xmlns:a16="http://schemas.microsoft.com/office/drawing/2014/main" id="{3D82263E-C52C-3005-3ECE-BE6BFA275EDB}"/>
              </a:ext>
            </a:extLst>
          </xdr:cNvPr>
          <xdr:cNvCxnSpPr/>
        </xdr:nvCxnSpPr>
        <xdr:spPr>
          <a:xfrm flipH="1">
            <a:off x="776287" y="9348788"/>
            <a:ext cx="66675" cy="666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283" name="Straight Connector 1282">
            <a:extLst>
              <a:ext uri="{FF2B5EF4-FFF2-40B4-BE49-F238E27FC236}">
                <a16:creationId xmlns:a16="http://schemas.microsoft.com/office/drawing/2014/main" id="{9C0F8D9E-F5D8-946F-7ECE-42A11BD8144E}"/>
              </a:ext>
            </a:extLst>
          </xdr:cNvPr>
          <xdr:cNvCxnSpPr/>
        </xdr:nvCxnSpPr>
        <xdr:spPr>
          <a:xfrm flipH="1">
            <a:off x="452437" y="9348790"/>
            <a:ext cx="66675" cy="666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284" name="Straight Connector 1283">
            <a:extLst>
              <a:ext uri="{FF2B5EF4-FFF2-40B4-BE49-F238E27FC236}">
                <a16:creationId xmlns:a16="http://schemas.microsoft.com/office/drawing/2014/main" id="{CCA174DC-DCFD-5B40-3F41-8E763544036C}"/>
              </a:ext>
            </a:extLst>
          </xdr:cNvPr>
          <xdr:cNvCxnSpPr/>
        </xdr:nvCxnSpPr>
        <xdr:spPr>
          <a:xfrm>
            <a:off x="1019177" y="5429248"/>
            <a:ext cx="314322" cy="0"/>
          </a:xfrm>
          <a:prstGeom prst="line">
            <a:avLst/>
          </a:prstGeom>
          <a:ln w="9525">
            <a:solidFill>
              <a:schemeClr val="accent6">
                <a:lumMod val="75000"/>
              </a:schemeClr>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285" name="Straight Connector 1284">
            <a:extLst>
              <a:ext uri="{FF2B5EF4-FFF2-40B4-BE49-F238E27FC236}">
                <a16:creationId xmlns:a16="http://schemas.microsoft.com/office/drawing/2014/main" id="{BF795FA2-EACA-5D88-238A-70FCF0712481}"/>
              </a:ext>
            </a:extLst>
          </xdr:cNvPr>
          <xdr:cNvCxnSpPr/>
        </xdr:nvCxnSpPr>
        <xdr:spPr>
          <a:xfrm>
            <a:off x="1019178" y="5453061"/>
            <a:ext cx="314322" cy="0"/>
          </a:xfrm>
          <a:prstGeom prst="line">
            <a:avLst/>
          </a:prstGeom>
          <a:ln w="9525">
            <a:solidFill>
              <a:schemeClr val="accent6">
                <a:lumMod val="75000"/>
              </a:schemeClr>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286" name="Straight Connector 1285">
            <a:extLst>
              <a:ext uri="{FF2B5EF4-FFF2-40B4-BE49-F238E27FC236}">
                <a16:creationId xmlns:a16="http://schemas.microsoft.com/office/drawing/2014/main" id="{644E56DD-FE5E-BAEF-6126-B076E09A1DE8}"/>
              </a:ext>
            </a:extLst>
          </xdr:cNvPr>
          <xdr:cNvCxnSpPr/>
        </xdr:nvCxnSpPr>
        <xdr:spPr>
          <a:xfrm>
            <a:off x="4838700" y="5434011"/>
            <a:ext cx="314322" cy="0"/>
          </a:xfrm>
          <a:prstGeom prst="line">
            <a:avLst/>
          </a:prstGeom>
          <a:ln w="9525">
            <a:solidFill>
              <a:schemeClr val="accent6">
                <a:lumMod val="75000"/>
              </a:schemeClr>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287" name="Straight Connector 1286">
            <a:extLst>
              <a:ext uri="{FF2B5EF4-FFF2-40B4-BE49-F238E27FC236}">
                <a16:creationId xmlns:a16="http://schemas.microsoft.com/office/drawing/2014/main" id="{00966E3B-C0CA-20B2-C89D-50CEE99627B3}"/>
              </a:ext>
            </a:extLst>
          </xdr:cNvPr>
          <xdr:cNvCxnSpPr/>
        </xdr:nvCxnSpPr>
        <xdr:spPr>
          <a:xfrm>
            <a:off x="4838701" y="5457824"/>
            <a:ext cx="314322" cy="0"/>
          </a:xfrm>
          <a:prstGeom prst="line">
            <a:avLst/>
          </a:prstGeom>
          <a:ln w="9525">
            <a:solidFill>
              <a:schemeClr val="accent6">
                <a:lumMod val="75000"/>
              </a:schemeClr>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288" name="Straight Connector 1287">
            <a:extLst>
              <a:ext uri="{FF2B5EF4-FFF2-40B4-BE49-F238E27FC236}">
                <a16:creationId xmlns:a16="http://schemas.microsoft.com/office/drawing/2014/main" id="{6730ECBB-9AA9-37EF-4D00-217E08305F05}"/>
              </a:ext>
            </a:extLst>
          </xdr:cNvPr>
          <xdr:cNvCxnSpPr/>
        </xdr:nvCxnSpPr>
        <xdr:spPr>
          <a:xfrm>
            <a:off x="985836" y="5305428"/>
            <a:ext cx="300038" cy="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1289" name="Isosceles Triangle 1288">
            <a:extLst>
              <a:ext uri="{FF2B5EF4-FFF2-40B4-BE49-F238E27FC236}">
                <a16:creationId xmlns:a16="http://schemas.microsoft.com/office/drawing/2014/main" id="{7E883D40-37A4-F78D-6C77-9352A42804CC}"/>
              </a:ext>
            </a:extLst>
          </xdr:cNvPr>
          <xdr:cNvSpPr/>
        </xdr:nvSpPr>
        <xdr:spPr>
          <a:xfrm>
            <a:off x="995364" y="5202457"/>
            <a:ext cx="95250" cy="82112"/>
          </a:xfrm>
          <a:prstGeom prst="triangle">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kern="1200"/>
          </a:p>
        </xdr:txBody>
      </xdr:sp>
      <xdr:cxnSp macro="">
        <xdr:nvCxnSpPr>
          <xdr:cNvPr id="1290" name="Straight Connector 1289">
            <a:extLst>
              <a:ext uri="{FF2B5EF4-FFF2-40B4-BE49-F238E27FC236}">
                <a16:creationId xmlns:a16="http://schemas.microsoft.com/office/drawing/2014/main" id="{7E12D277-26CA-B8FC-10E0-C3AE6C2CB6BC}"/>
              </a:ext>
            </a:extLst>
          </xdr:cNvPr>
          <xdr:cNvCxnSpPr/>
        </xdr:nvCxnSpPr>
        <xdr:spPr>
          <a:xfrm>
            <a:off x="4914898" y="5303621"/>
            <a:ext cx="300038" cy="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1291" name="Isosceles Triangle 1290">
            <a:extLst>
              <a:ext uri="{FF2B5EF4-FFF2-40B4-BE49-F238E27FC236}">
                <a16:creationId xmlns:a16="http://schemas.microsoft.com/office/drawing/2014/main" id="{AD73BA2D-6286-B7AD-4BCF-5737B4DC477D}"/>
              </a:ext>
            </a:extLst>
          </xdr:cNvPr>
          <xdr:cNvSpPr/>
        </xdr:nvSpPr>
        <xdr:spPr>
          <a:xfrm>
            <a:off x="5114928" y="5200650"/>
            <a:ext cx="95250" cy="82112"/>
          </a:xfrm>
          <a:prstGeom prst="triangle">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kern="1200"/>
          </a:p>
        </xdr:txBody>
      </xdr:sp>
      <xdr:cxnSp macro="">
        <xdr:nvCxnSpPr>
          <xdr:cNvPr id="1292" name="Straight Connector 1291">
            <a:extLst>
              <a:ext uri="{FF2B5EF4-FFF2-40B4-BE49-F238E27FC236}">
                <a16:creationId xmlns:a16="http://schemas.microsoft.com/office/drawing/2014/main" id="{6D960F77-AB0E-F0AD-4A53-CD721703048E}"/>
              </a:ext>
            </a:extLst>
          </xdr:cNvPr>
          <xdr:cNvCxnSpPr/>
        </xdr:nvCxnSpPr>
        <xdr:spPr>
          <a:xfrm>
            <a:off x="5051425" y="4381500"/>
            <a:ext cx="0" cy="71755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293" name="Straight Connector 1292">
            <a:extLst>
              <a:ext uri="{FF2B5EF4-FFF2-40B4-BE49-F238E27FC236}">
                <a16:creationId xmlns:a16="http://schemas.microsoft.com/office/drawing/2014/main" id="{B8E3B223-6006-01BE-DB66-223E12F2C066}"/>
              </a:ext>
            </a:extLst>
          </xdr:cNvPr>
          <xdr:cNvCxnSpPr/>
        </xdr:nvCxnSpPr>
        <xdr:spPr>
          <a:xfrm>
            <a:off x="1108075" y="4384675"/>
            <a:ext cx="0" cy="71755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294" name="Straight Connector 1293">
            <a:extLst>
              <a:ext uri="{FF2B5EF4-FFF2-40B4-BE49-F238E27FC236}">
                <a16:creationId xmlns:a16="http://schemas.microsoft.com/office/drawing/2014/main" id="{D17BDEBC-0123-6B2D-8A80-FD3AA64791B0}"/>
              </a:ext>
            </a:extLst>
          </xdr:cNvPr>
          <xdr:cNvCxnSpPr/>
        </xdr:nvCxnSpPr>
        <xdr:spPr>
          <a:xfrm>
            <a:off x="5048250" y="6524634"/>
            <a:ext cx="0" cy="71755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295" name="Straight Connector 1294">
            <a:extLst>
              <a:ext uri="{FF2B5EF4-FFF2-40B4-BE49-F238E27FC236}">
                <a16:creationId xmlns:a16="http://schemas.microsoft.com/office/drawing/2014/main" id="{A7143FD9-BACE-4EBE-2058-67703EC7DC3B}"/>
              </a:ext>
            </a:extLst>
          </xdr:cNvPr>
          <xdr:cNvCxnSpPr/>
        </xdr:nvCxnSpPr>
        <xdr:spPr>
          <a:xfrm>
            <a:off x="1104900" y="6527809"/>
            <a:ext cx="0" cy="71755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296" name="Straight Connector 1295">
            <a:extLst>
              <a:ext uri="{FF2B5EF4-FFF2-40B4-BE49-F238E27FC236}">
                <a16:creationId xmlns:a16="http://schemas.microsoft.com/office/drawing/2014/main" id="{0D0DB8FE-CFF5-C49B-9565-9EC8709D27B2}"/>
              </a:ext>
            </a:extLst>
          </xdr:cNvPr>
          <xdr:cNvCxnSpPr/>
        </xdr:nvCxnSpPr>
        <xdr:spPr>
          <a:xfrm>
            <a:off x="5048250" y="8667750"/>
            <a:ext cx="0" cy="71755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297" name="Straight Connector 1296">
            <a:extLst>
              <a:ext uri="{FF2B5EF4-FFF2-40B4-BE49-F238E27FC236}">
                <a16:creationId xmlns:a16="http://schemas.microsoft.com/office/drawing/2014/main" id="{1E6607C0-785E-8DC0-FCDA-3A2C45990656}"/>
              </a:ext>
            </a:extLst>
          </xdr:cNvPr>
          <xdr:cNvCxnSpPr/>
        </xdr:nvCxnSpPr>
        <xdr:spPr>
          <a:xfrm>
            <a:off x="1104900" y="8670925"/>
            <a:ext cx="0" cy="71755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1298" name="Freeform: Shape 1297">
            <a:extLst>
              <a:ext uri="{FF2B5EF4-FFF2-40B4-BE49-F238E27FC236}">
                <a16:creationId xmlns:a16="http://schemas.microsoft.com/office/drawing/2014/main" id="{87B15739-3E07-4B78-47D6-C61392FAF1D3}"/>
              </a:ext>
            </a:extLst>
          </xdr:cNvPr>
          <xdr:cNvSpPr/>
        </xdr:nvSpPr>
        <xdr:spPr>
          <a:xfrm>
            <a:off x="3084513" y="5840413"/>
            <a:ext cx="517525" cy="317500"/>
          </a:xfrm>
          <a:custGeom>
            <a:avLst/>
            <a:gdLst>
              <a:gd name="connsiteX0" fmla="*/ 0 w 517525"/>
              <a:gd name="connsiteY0" fmla="*/ 0 h 292100"/>
              <a:gd name="connsiteX1" fmla="*/ 53975 w 517525"/>
              <a:gd name="connsiteY1" fmla="*/ 0 h 292100"/>
              <a:gd name="connsiteX2" fmla="*/ 434975 w 517525"/>
              <a:gd name="connsiteY2" fmla="*/ 292100 h 292100"/>
              <a:gd name="connsiteX3" fmla="*/ 517525 w 517525"/>
              <a:gd name="connsiteY3" fmla="*/ 292100 h 292100"/>
            </a:gdLst>
            <a:ahLst/>
            <a:cxnLst>
              <a:cxn ang="0">
                <a:pos x="connsiteX0" y="connsiteY0"/>
              </a:cxn>
              <a:cxn ang="0">
                <a:pos x="connsiteX1" y="connsiteY1"/>
              </a:cxn>
              <a:cxn ang="0">
                <a:pos x="connsiteX2" y="connsiteY2"/>
              </a:cxn>
              <a:cxn ang="0">
                <a:pos x="connsiteX3" y="connsiteY3"/>
              </a:cxn>
            </a:cxnLst>
            <a:rect l="l" t="t" r="r" b="b"/>
            <a:pathLst>
              <a:path w="517525" h="292100">
                <a:moveTo>
                  <a:pt x="0" y="0"/>
                </a:moveTo>
                <a:lnTo>
                  <a:pt x="53975" y="0"/>
                </a:lnTo>
                <a:lnTo>
                  <a:pt x="434975" y="292100"/>
                </a:lnTo>
                <a:lnTo>
                  <a:pt x="517525" y="292100"/>
                </a:lnTo>
              </a:path>
            </a:pathLst>
          </a:custGeom>
          <a:no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kern="1200"/>
          </a:p>
        </xdr:txBody>
      </xdr:sp>
      <xdr:sp macro="" textlink="">
        <xdr:nvSpPr>
          <xdr:cNvPr id="1299" name="Freeform: Shape 1298">
            <a:extLst>
              <a:ext uri="{FF2B5EF4-FFF2-40B4-BE49-F238E27FC236}">
                <a16:creationId xmlns:a16="http://schemas.microsoft.com/office/drawing/2014/main" id="{784AF39A-CAA4-E2DD-6038-CD459D5C7D31}"/>
              </a:ext>
            </a:extLst>
          </xdr:cNvPr>
          <xdr:cNvSpPr/>
        </xdr:nvSpPr>
        <xdr:spPr>
          <a:xfrm>
            <a:off x="3074988" y="6199188"/>
            <a:ext cx="523875" cy="298450"/>
          </a:xfrm>
          <a:custGeom>
            <a:avLst/>
            <a:gdLst>
              <a:gd name="connsiteX0" fmla="*/ 0 w 523875"/>
              <a:gd name="connsiteY0" fmla="*/ 298450 h 298450"/>
              <a:gd name="connsiteX1" fmla="*/ 73025 w 523875"/>
              <a:gd name="connsiteY1" fmla="*/ 298450 h 298450"/>
              <a:gd name="connsiteX2" fmla="*/ 447675 w 523875"/>
              <a:gd name="connsiteY2" fmla="*/ 0 h 298450"/>
              <a:gd name="connsiteX3" fmla="*/ 523875 w 523875"/>
              <a:gd name="connsiteY3" fmla="*/ 0 h 298450"/>
            </a:gdLst>
            <a:ahLst/>
            <a:cxnLst>
              <a:cxn ang="0">
                <a:pos x="connsiteX0" y="connsiteY0"/>
              </a:cxn>
              <a:cxn ang="0">
                <a:pos x="connsiteX1" y="connsiteY1"/>
              </a:cxn>
              <a:cxn ang="0">
                <a:pos x="connsiteX2" y="connsiteY2"/>
              </a:cxn>
              <a:cxn ang="0">
                <a:pos x="connsiteX3" y="connsiteY3"/>
              </a:cxn>
            </a:cxnLst>
            <a:rect l="l" t="t" r="r" b="b"/>
            <a:pathLst>
              <a:path w="523875" h="298450">
                <a:moveTo>
                  <a:pt x="0" y="298450"/>
                </a:moveTo>
                <a:lnTo>
                  <a:pt x="73025" y="298450"/>
                </a:lnTo>
                <a:lnTo>
                  <a:pt x="447675" y="0"/>
                </a:lnTo>
                <a:lnTo>
                  <a:pt x="523875" y="0"/>
                </a:lnTo>
              </a:path>
            </a:pathLst>
          </a:custGeom>
          <a:no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kern="1200"/>
          </a:p>
        </xdr:txBody>
      </xdr:sp>
      <xdr:cxnSp macro="">
        <xdr:nvCxnSpPr>
          <xdr:cNvPr id="1300" name="Straight Connector 1299">
            <a:extLst>
              <a:ext uri="{FF2B5EF4-FFF2-40B4-BE49-F238E27FC236}">
                <a16:creationId xmlns:a16="http://schemas.microsoft.com/office/drawing/2014/main" id="{360884BB-890B-42CB-78B7-25D252750114}"/>
              </a:ext>
            </a:extLst>
          </xdr:cNvPr>
          <xdr:cNvCxnSpPr/>
        </xdr:nvCxnSpPr>
        <xdr:spPr>
          <a:xfrm>
            <a:off x="3516313" y="6176963"/>
            <a:ext cx="5746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01" name="Straight Connector 1300">
            <a:extLst>
              <a:ext uri="{FF2B5EF4-FFF2-40B4-BE49-F238E27FC236}">
                <a16:creationId xmlns:a16="http://schemas.microsoft.com/office/drawing/2014/main" id="{36B8FE59-79FF-C32F-4CE7-53CD1FAA6E3A}"/>
              </a:ext>
            </a:extLst>
          </xdr:cNvPr>
          <xdr:cNvCxnSpPr/>
        </xdr:nvCxnSpPr>
        <xdr:spPr>
          <a:xfrm>
            <a:off x="4002088" y="6196013"/>
            <a:ext cx="5746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02" name="Straight Connector 1301">
            <a:extLst>
              <a:ext uri="{FF2B5EF4-FFF2-40B4-BE49-F238E27FC236}">
                <a16:creationId xmlns:a16="http://schemas.microsoft.com/office/drawing/2014/main" id="{38A9C617-E93F-8D5C-D450-7B782FCC5E62}"/>
              </a:ext>
            </a:extLst>
          </xdr:cNvPr>
          <xdr:cNvCxnSpPr/>
        </xdr:nvCxnSpPr>
        <xdr:spPr>
          <a:xfrm>
            <a:off x="4487863" y="6173788"/>
            <a:ext cx="5746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03" name="Straight Connector 1302">
            <a:extLst>
              <a:ext uri="{FF2B5EF4-FFF2-40B4-BE49-F238E27FC236}">
                <a16:creationId xmlns:a16="http://schemas.microsoft.com/office/drawing/2014/main" id="{961D437A-417C-5642-7B78-0867FD8102B9}"/>
              </a:ext>
            </a:extLst>
          </xdr:cNvPr>
          <xdr:cNvCxnSpPr/>
        </xdr:nvCxnSpPr>
        <xdr:spPr>
          <a:xfrm flipV="1">
            <a:off x="4767262" y="5795963"/>
            <a:ext cx="590551" cy="371474"/>
          </a:xfrm>
          <a:prstGeom prst="line">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304" name="Straight Connector 1303">
            <a:extLst>
              <a:ext uri="{FF2B5EF4-FFF2-40B4-BE49-F238E27FC236}">
                <a16:creationId xmlns:a16="http://schemas.microsoft.com/office/drawing/2014/main" id="{6989B9F2-8AE5-58E9-13C5-8A617F247D92}"/>
              </a:ext>
            </a:extLst>
          </xdr:cNvPr>
          <xdr:cNvCxnSpPr/>
        </xdr:nvCxnSpPr>
        <xdr:spPr>
          <a:xfrm flipV="1">
            <a:off x="1133475" y="3729038"/>
            <a:ext cx="0" cy="6096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305" name="Straight Connector 1304">
            <a:extLst>
              <a:ext uri="{FF2B5EF4-FFF2-40B4-BE49-F238E27FC236}">
                <a16:creationId xmlns:a16="http://schemas.microsoft.com/office/drawing/2014/main" id="{0F974660-BC17-07A2-4DFC-8D998D6996CF}"/>
              </a:ext>
            </a:extLst>
          </xdr:cNvPr>
          <xdr:cNvCxnSpPr/>
        </xdr:nvCxnSpPr>
        <xdr:spPr>
          <a:xfrm>
            <a:off x="1071564" y="4095751"/>
            <a:ext cx="4005261"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306" name="Straight Connector 1305">
            <a:extLst>
              <a:ext uri="{FF2B5EF4-FFF2-40B4-BE49-F238E27FC236}">
                <a16:creationId xmlns:a16="http://schemas.microsoft.com/office/drawing/2014/main" id="{BBAF4BCA-5AC2-0C56-2DC2-C2C3ADB6F609}"/>
              </a:ext>
            </a:extLst>
          </xdr:cNvPr>
          <xdr:cNvCxnSpPr/>
        </xdr:nvCxnSpPr>
        <xdr:spPr>
          <a:xfrm flipH="1">
            <a:off x="1100135" y="4062415"/>
            <a:ext cx="66675" cy="666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307" name="Straight Connector 1306">
            <a:extLst>
              <a:ext uri="{FF2B5EF4-FFF2-40B4-BE49-F238E27FC236}">
                <a16:creationId xmlns:a16="http://schemas.microsoft.com/office/drawing/2014/main" id="{7BC16F3F-395E-D6AE-A1D3-8586786C09CD}"/>
              </a:ext>
            </a:extLst>
          </xdr:cNvPr>
          <xdr:cNvCxnSpPr/>
        </xdr:nvCxnSpPr>
        <xdr:spPr>
          <a:xfrm>
            <a:off x="1071562" y="3809998"/>
            <a:ext cx="4010026"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308" name="Straight Connector 1307">
            <a:extLst>
              <a:ext uri="{FF2B5EF4-FFF2-40B4-BE49-F238E27FC236}">
                <a16:creationId xmlns:a16="http://schemas.microsoft.com/office/drawing/2014/main" id="{6572C6C9-DA98-8186-1EC1-D88A96FC9DCC}"/>
              </a:ext>
            </a:extLst>
          </xdr:cNvPr>
          <xdr:cNvCxnSpPr/>
        </xdr:nvCxnSpPr>
        <xdr:spPr>
          <a:xfrm flipH="1">
            <a:off x="1100133" y="3776662"/>
            <a:ext cx="66675" cy="666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309" name="Straight Connector 1308">
            <a:extLst>
              <a:ext uri="{FF2B5EF4-FFF2-40B4-BE49-F238E27FC236}">
                <a16:creationId xmlns:a16="http://schemas.microsoft.com/office/drawing/2014/main" id="{D6A53766-5B87-D145-4554-67E23312E419}"/>
              </a:ext>
            </a:extLst>
          </xdr:cNvPr>
          <xdr:cNvCxnSpPr/>
        </xdr:nvCxnSpPr>
        <xdr:spPr>
          <a:xfrm flipV="1">
            <a:off x="1619250" y="4033838"/>
            <a:ext cx="0" cy="3048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310" name="Straight Connector 1309">
            <a:extLst>
              <a:ext uri="{FF2B5EF4-FFF2-40B4-BE49-F238E27FC236}">
                <a16:creationId xmlns:a16="http://schemas.microsoft.com/office/drawing/2014/main" id="{E6BC804A-C129-B6D1-63DD-03C480F67F4A}"/>
              </a:ext>
            </a:extLst>
          </xdr:cNvPr>
          <xdr:cNvCxnSpPr/>
        </xdr:nvCxnSpPr>
        <xdr:spPr>
          <a:xfrm flipH="1">
            <a:off x="1585910" y="4062415"/>
            <a:ext cx="66675" cy="666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311" name="Straight Connector 1310">
            <a:extLst>
              <a:ext uri="{FF2B5EF4-FFF2-40B4-BE49-F238E27FC236}">
                <a16:creationId xmlns:a16="http://schemas.microsoft.com/office/drawing/2014/main" id="{891BF252-CB0C-40AF-4C40-03CCC1E56D50}"/>
              </a:ext>
            </a:extLst>
          </xdr:cNvPr>
          <xdr:cNvCxnSpPr/>
        </xdr:nvCxnSpPr>
        <xdr:spPr>
          <a:xfrm flipV="1">
            <a:off x="2105025" y="4029075"/>
            <a:ext cx="0" cy="30956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312" name="Straight Connector 1311">
            <a:extLst>
              <a:ext uri="{FF2B5EF4-FFF2-40B4-BE49-F238E27FC236}">
                <a16:creationId xmlns:a16="http://schemas.microsoft.com/office/drawing/2014/main" id="{77BDAB06-8111-0667-4CC7-DC54BD2FBD36}"/>
              </a:ext>
            </a:extLst>
          </xdr:cNvPr>
          <xdr:cNvCxnSpPr/>
        </xdr:nvCxnSpPr>
        <xdr:spPr>
          <a:xfrm flipH="1">
            <a:off x="2071685" y="4062415"/>
            <a:ext cx="66675" cy="666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313" name="Straight Connector 1312">
            <a:extLst>
              <a:ext uri="{FF2B5EF4-FFF2-40B4-BE49-F238E27FC236}">
                <a16:creationId xmlns:a16="http://schemas.microsoft.com/office/drawing/2014/main" id="{93F309B0-31D1-29A0-CBE1-36D7E187480D}"/>
              </a:ext>
            </a:extLst>
          </xdr:cNvPr>
          <xdr:cNvCxnSpPr/>
        </xdr:nvCxnSpPr>
        <xdr:spPr>
          <a:xfrm flipV="1">
            <a:off x="2590800" y="4024313"/>
            <a:ext cx="0" cy="3143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314" name="Straight Connector 1313">
            <a:extLst>
              <a:ext uri="{FF2B5EF4-FFF2-40B4-BE49-F238E27FC236}">
                <a16:creationId xmlns:a16="http://schemas.microsoft.com/office/drawing/2014/main" id="{FA6FD938-2D56-38DF-20F4-81BD079AAD58}"/>
              </a:ext>
            </a:extLst>
          </xdr:cNvPr>
          <xdr:cNvCxnSpPr/>
        </xdr:nvCxnSpPr>
        <xdr:spPr>
          <a:xfrm flipH="1">
            <a:off x="2557460" y="4062415"/>
            <a:ext cx="66675" cy="666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315" name="Straight Connector 1314">
            <a:extLst>
              <a:ext uri="{FF2B5EF4-FFF2-40B4-BE49-F238E27FC236}">
                <a16:creationId xmlns:a16="http://schemas.microsoft.com/office/drawing/2014/main" id="{9D158E46-96DD-B19C-7533-9A2929A6C7AB}"/>
              </a:ext>
            </a:extLst>
          </xdr:cNvPr>
          <xdr:cNvCxnSpPr/>
        </xdr:nvCxnSpPr>
        <xdr:spPr>
          <a:xfrm flipV="1">
            <a:off x="3076575" y="4024313"/>
            <a:ext cx="0" cy="3143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316" name="Straight Connector 1315">
            <a:extLst>
              <a:ext uri="{FF2B5EF4-FFF2-40B4-BE49-F238E27FC236}">
                <a16:creationId xmlns:a16="http://schemas.microsoft.com/office/drawing/2014/main" id="{334009AA-96B5-483B-B6E5-64B7842D2150}"/>
              </a:ext>
            </a:extLst>
          </xdr:cNvPr>
          <xdr:cNvCxnSpPr/>
        </xdr:nvCxnSpPr>
        <xdr:spPr>
          <a:xfrm flipH="1">
            <a:off x="3043235" y="4062415"/>
            <a:ext cx="66675" cy="666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317" name="Straight Connector 1316">
            <a:extLst>
              <a:ext uri="{FF2B5EF4-FFF2-40B4-BE49-F238E27FC236}">
                <a16:creationId xmlns:a16="http://schemas.microsoft.com/office/drawing/2014/main" id="{C2FEEF1C-2EA1-1DC2-7D16-4614E2F3E5A4}"/>
              </a:ext>
            </a:extLst>
          </xdr:cNvPr>
          <xdr:cNvCxnSpPr/>
        </xdr:nvCxnSpPr>
        <xdr:spPr>
          <a:xfrm flipV="1">
            <a:off x="3562350" y="4024313"/>
            <a:ext cx="0" cy="3143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318" name="Straight Connector 1317">
            <a:extLst>
              <a:ext uri="{FF2B5EF4-FFF2-40B4-BE49-F238E27FC236}">
                <a16:creationId xmlns:a16="http://schemas.microsoft.com/office/drawing/2014/main" id="{A14B5E09-7017-CCB1-6F7C-753F7C09709A}"/>
              </a:ext>
            </a:extLst>
          </xdr:cNvPr>
          <xdr:cNvCxnSpPr/>
        </xdr:nvCxnSpPr>
        <xdr:spPr>
          <a:xfrm flipH="1">
            <a:off x="3529010" y="4062415"/>
            <a:ext cx="66675" cy="666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319" name="Straight Connector 1318">
            <a:extLst>
              <a:ext uri="{FF2B5EF4-FFF2-40B4-BE49-F238E27FC236}">
                <a16:creationId xmlns:a16="http://schemas.microsoft.com/office/drawing/2014/main" id="{FC736322-61C5-3526-9776-1C6BBDEF7E25}"/>
              </a:ext>
            </a:extLst>
          </xdr:cNvPr>
          <xdr:cNvCxnSpPr/>
        </xdr:nvCxnSpPr>
        <xdr:spPr>
          <a:xfrm flipV="1">
            <a:off x="4048125" y="4024313"/>
            <a:ext cx="0" cy="3143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320" name="Straight Connector 1319">
            <a:extLst>
              <a:ext uri="{FF2B5EF4-FFF2-40B4-BE49-F238E27FC236}">
                <a16:creationId xmlns:a16="http://schemas.microsoft.com/office/drawing/2014/main" id="{52D9585A-A8E8-2CD5-4B87-D948FF0C07B9}"/>
              </a:ext>
            </a:extLst>
          </xdr:cNvPr>
          <xdr:cNvCxnSpPr/>
        </xdr:nvCxnSpPr>
        <xdr:spPr>
          <a:xfrm flipH="1">
            <a:off x="4014785" y="4062415"/>
            <a:ext cx="66675" cy="666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321" name="Straight Connector 1320">
            <a:extLst>
              <a:ext uri="{FF2B5EF4-FFF2-40B4-BE49-F238E27FC236}">
                <a16:creationId xmlns:a16="http://schemas.microsoft.com/office/drawing/2014/main" id="{96FD9DE2-2543-40B7-AF98-536D4D040187}"/>
              </a:ext>
            </a:extLst>
          </xdr:cNvPr>
          <xdr:cNvCxnSpPr/>
        </xdr:nvCxnSpPr>
        <xdr:spPr>
          <a:xfrm flipV="1">
            <a:off x="4533900" y="4024313"/>
            <a:ext cx="0" cy="3143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322" name="Straight Connector 1321">
            <a:extLst>
              <a:ext uri="{FF2B5EF4-FFF2-40B4-BE49-F238E27FC236}">
                <a16:creationId xmlns:a16="http://schemas.microsoft.com/office/drawing/2014/main" id="{850A9C3F-72F2-BC65-2EDA-586D85170B8D}"/>
              </a:ext>
            </a:extLst>
          </xdr:cNvPr>
          <xdr:cNvCxnSpPr/>
        </xdr:nvCxnSpPr>
        <xdr:spPr>
          <a:xfrm flipH="1">
            <a:off x="4500560" y="4062415"/>
            <a:ext cx="66675" cy="666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323" name="Straight Connector 1322">
            <a:extLst>
              <a:ext uri="{FF2B5EF4-FFF2-40B4-BE49-F238E27FC236}">
                <a16:creationId xmlns:a16="http://schemas.microsoft.com/office/drawing/2014/main" id="{F36A7A03-DC9B-8142-3F44-A51313D7BEF4}"/>
              </a:ext>
            </a:extLst>
          </xdr:cNvPr>
          <xdr:cNvCxnSpPr/>
        </xdr:nvCxnSpPr>
        <xdr:spPr>
          <a:xfrm flipV="1">
            <a:off x="5019675" y="3748088"/>
            <a:ext cx="0" cy="59055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324" name="Straight Connector 1323">
            <a:extLst>
              <a:ext uri="{FF2B5EF4-FFF2-40B4-BE49-F238E27FC236}">
                <a16:creationId xmlns:a16="http://schemas.microsoft.com/office/drawing/2014/main" id="{4F9AB0A8-D2E7-83CF-A72C-CEA65819BFC2}"/>
              </a:ext>
            </a:extLst>
          </xdr:cNvPr>
          <xdr:cNvCxnSpPr/>
        </xdr:nvCxnSpPr>
        <xdr:spPr>
          <a:xfrm flipH="1">
            <a:off x="4986335" y="4062415"/>
            <a:ext cx="66675" cy="666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325" name="Straight Connector 1324">
            <a:extLst>
              <a:ext uri="{FF2B5EF4-FFF2-40B4-BE49-F238E27FC236}">
                <a16:creationId xmlns:a16="http://schemas.microsoft.com/office/drawing/2014/main" id="{19A2E3C1-E983-7186-C9C0-4779C907266C}"/>
              </a:ext>
            </a:extLst>
          </xdr:cNvPr>
          <xdr:cNvCxnSpPr/>
        </xdr:nvCxnSpPr>
        <xdr:spPr>
          <a:xfrm flipH="1">
            <a:off x="4986335" y="3776665"/>
            <a:ext cx="66675" cy="666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326" name="Straight Connector 1325">
            <a:extLst>
              <a:ext uri="{FF2B5EF4-FFF2-40B4-BE49-F238E27FC236}">
                <a16:creationId xmlns:a16="http://schemas.microsoft.com/office/drawing/2014/main" id="{CE5EA545-FDBE-7A55-6329-863833A973A0}"/>
              </a:ext>
            </a:extLst>
          </xdr:cNvPr>
          <xdr:cNvCxnSpPr/>
        </xdr:nvCxnSpPr>
        <xdr:spPr>
          <a:xfrm>
            <a:off x="5053013" y="7019925"/>
            <a:ext cx="319087" cy="323850"/>
          </a:xfrm>
          <a:prstGeom prst="line">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327" name="Straight Connector 1326">
            <a:extLst>
              <a:ext uri="{FF2B5EF4-FFF2-40B4-BE49-F238E27FC236}">
                <a16:creationId xmlns:a16="http://schemas.microsoft.com/office/drawing/2014/main" id="{0308E834-B0AD-6AFE-BEAA-2C9888A17721}"/>
              </a:ext>
            </a:extLst>
          </xdr:cNvPr>
          <xdr:cNvCxnSpPr/>
        </xdr:nvCxnSpPr>
        <xdr:spPr>
          <a:xfrm flipV="1">
            <a:off x="4705350" y="6591309"/>
            <a:ext cx="638175" cy="161925"/>
          </a:xfrm>
          <a:prstGeom prst="line">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328" name="Straight Connector 1327">
            <a:extLst>
              <a:ext uri="{FF2B5EF4-FFF2-40B4-BE49-F238E27FC236}">
                <a16:creationId xmlns:a16="http://schemas.microsoft.com/office/drawing/2014/main" id="{E56D681A-75C8-1FCA-B394-EFB46D008E5F}"/>
              </a:ext>
            </a:extLst>
          </xdr:cNvPr>
          <xdr:cNvCxnSpPr/>
        </xdr:nvCxnSpPr>
        <xdr:spPr>
          <a:xfrm flipV="1">
            <a:off x="4724400" y="6591309"/>
            <a:ext cx="619125" cy="428625"/>
          </a:xfrm>
          <a:prstGeom prst="line">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329" name="Straight Connector 1328">
            <a:extLst>
              <a:ext uri="{FF2B5EF4-FFF2-40B4-BE49-F238E27FC236}">
                <a16:creationId xmlns:a16="http://schemas.microsoft.com/office/drawing/2014/main" id="{E8115807-14EB-6EE9-03AA-483151CC6E81}"/>
              </a:ext>
            </a:extLst>
          </xdr:cNvPr>
          <xdr:cNvCxnSpPr/>
        </xdr:nvCxnSpPr>
        <xdr:spPr>
          <a:xfrm flipV="1">
            <a:off x="4038600" y="5048250"/>
            <a:ext cx="1300163" cy="509589"/>
          </a:xfrm>
          <a:prstGeom prst="line">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330" name="Straight Connector 1329">
            <a:extLst>
              <a:ext uri="{FF2B5EF4-FFF2-40B4-BE49-F238E27FC236}">
                <a16:creationId xmlns:a16="http://schemas.microsoft.com/office/drawing/2014/main" id="{A0762AAA-CA6C-7270-F103-B0EB0028A527}"/>
              </a:ext>
            </a:extLst>
          </xdr:cNvPr>
          <xdr:cNvCxnSpPr/>
        </xdr:nvCxnSpPr>
        <xdr:spPr>
          <a:xfrm flipV="1">
            <a:off x="4524375" y="5048250"/>
            <a:ext cx="819150" cy="585789"/>
          </a:xfrm>
          <a:prstGeom prst="line">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331" name="Straight Connector 1330">
            <a:extLst>
              <a:ext uri="{FF2B5EF4-FFF2-40B4-BE49-F238E27FC236}">
                <a16:creationId xmlns:a16="http://schemas.microsoft.com/office/drawing/2014/main" id="{30D0F30C-A826-022F-9B1E-F92AE61A54B8}"/>
              </a:ext>
            </a:extLst>
          </xdr:cNvPr>
          <xdr:cNvCxnSpPr/>
        </xdr:nvCxnSpPr>
        <xdr:spPr>
          <a:xfrm flipV="1">
            <a:off x="4781550" y="3867150"/>
            <a:ext cx="581025" cy="114300"/>
          </a:xfrm>
          <a:prstGeom prst="line">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332" name="Straight Connector 1331">
            <a:extLst>
              <a:ext uri="{FF2B5EF4-FFF2-40B4-BE49-F238E27FC236}">
                <a16:creationId xmlns:a16="http://schemas.microsoft.com/office/drawing/2014/main" id="{EB59B90A-B21B-C08E-2E43-A62DD72B2D4C}"/>
              </a:ext>
            </a:extLst>
          </xdr:cNvPr>
          <xdr:cNvCxnSpPr/>
        </xdr:nvCxnSpPr>
        <xdr:spPr>
          <a:xfrm>
            <a:off x="1138238" y="5100639"/>
            <a:ext cx="971550" cy="70961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33" name="Straight Connector 1332">
            <a:extLst>
              <a:ext uri="{FF2B5EF4-FFF2-40B4-BE49-F238E27FC236}">
                <a16:creationId xmlns:a16="http://schemas.microsoft.com/office/drawing/2014/main" id="{F7964714-EECE-C1C4-0022-7A42B9119979}"/>
              </a:ext>
            </a:extLst>
          </xdr:cNvPr>
          <xdr:cNvCxnSpPr/>
        </xdr:nvCxnSpPr>
        <xdr:spPr>
          <a:xfrm flipV="1">
            <a:off x="1133475" y="5095876"/>
            <a:ext cx="971550" cy="7143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34" name="Straight Connector 1333">
            <a:extLst>
              <a:ext uri="{FF2B5EF4-FFF2-40B4-BE49-F238E27FC236}">
                <a16:creationId xmlns:a16="http://schemas.microsoft.com/office/drawing/2014/main" id="{F58D5959-7B9A-9515-7057-B3D0A3C44095}"/>
              </a:ext>
            </a:extLst>
          </xdr:cNvPr>
          <xdr:cNvCxnSpPr/>
        </xdr:nvCxnSpPr>
        <xdr:spPr>
          <a:xfrm>
            <a:off x="4048126" y="5100639"/>
            <a:ext cx="971550" cy="70961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35" name="Straight Connector 1334">
            <a:extLst>
              <a:ext uri="{FF2B5EF4-FFF2-40B4-BE49-F238E27FC236}">
                <a16:creationId xmlns:a16="http://schemas.microsoft.com/office/drawing/2014/main" id="{5253B4F6-931C-40B8-536E-25C0C6950385}"/>
              </a:ext>
            </a:extLst>
          </xdr:cNvPr>
          <xdr:cNvCxnSpPr/>
        </xdr:nvCxnSpPr>
        <xdr:spPr>
          <a:xfrm flipV="1">
            <a:off x="4043363" y="5095876"/>
            <a:ext cx="971550" cy="7143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36" name="Straight Connector 1335">
            <a:extLst>
              <a:ext uri="{FF2B5EF4-FFF2-40B4-BE49-F238E27FC236}">
                <a16:creationId xmlns:a16="http://schemas.microsoft.com/office/drawing/2014/main" id="{520A4193-A921-E764-D0DF-E5EEEAABEEE4}"/>
              </a:ext>
            </a:extLst>
          </xdr:cNvPr>
          <xdr:cNvCxnSpPr/>
        </xdr:nvCxnSpPr>
        <xdr:spPr>
          <a:xfrm>
            <a:off x="1138239" y="5815014"/>
            <a:ext cx="971550" cy="70961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37" name="Straight Connector 1336">
            <a:extLst>
              <a:ext uri="{FF2B5EF4-FFF2-40B4-BE49-F238E27FC236}">
                <a16:creationId xmlns:a16="http://schemas.microsoft.com/office/drawing/2014/main" id="{A603853B-5835-8A51-3250-5C98F9350F81}"/>
              </a:ext>
            </a:extLst>
          </xdr:cNvPr>
          <xdr:cNvCxnSpPr/>
        </xdr:nvCxnSpPr>
        <xdr:spPr>
          <a:xfrm flipV="1">
            <a:off x="1133476" y="5810251"/>
            <a:ext cx="971550" cy="7143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38" name="Straight Connector 1337">
            <a:extLst>
              <a:ext uri="{FF2B5EF4-FFF2-40B4-BE49-F238E27FC236}">
                <a16:creationId xmlns:a16="http://schemas.microsoft.com/office/drawing/2014/main" id="{8E446F5D-41E9-A1ED-0D5A-B1649A79050C}"/>
              </a:ext>
            </a:extLst>
          </xdr:cNvPr>
          <xdr:cNvCxnSpPr/>
        </xdr:nvCxnSpPr>
        <xdr:spPr>
          <a:xfrm>
            <a:off x="4048127" y="5815014"/>
            <a:ext cx="971550" cy="70961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39" name="Straight Connector 1338">
            <a:extLst>
              <a:ext uri="{FF2B5EF4-FFF2-40B4-BE49-F238E27FC236}">
                <a16:creationId xmlns:a16="http://schemas.microsoft.com/office/drawing/2014/main" id="{DF141D61-30FA-D2BC-A11F-571B988B6744}"/>
              </a:ext>
            </a:extLst>
          </xdr:cNvPr>
          <xdr:cNvCxnSpPr/>
        </xdr:nvCxnSpPr>
        <xdr:spPr>
          <a:xfrm flipV="1">
            <a:off x="4043364" y="5810251"/>
            <a:ext cx="971550" cy="7143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40" name="Straight Connector 1339">
            <a:extLst>
              <a:ext uri="{FF2B5EF4-FFF2-40B4-BE49-F238E27FC236}">
                <a16:creationId xmlns:a16="http://schemas.microsoft.com/office/drawing/2014/main" id="{BC20EC08-99F1-1B70-9724-49E9A6C37219}"/>
              </a:ext>
            </a:extLst>
          </xdr:cNvPr>
          <xdr:cNvCxnSpPr/>
        </xdr:nvCxnSpPr>
        <xdr:spPr>
          <a:xfrm>
            <a:off x="1133475" y="7243764"/>
            <a:ext cx="971550" cy="70961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41" name="Straight Connector 1340">
            <a:extLst>
              <a:ext uri="{FF2B5EF4-FFF2-40B4-BE49-F238E27FC236}">
                <a16:creationId xmlns:a16="http://schemas.microsoft.com/office/drawing/2014/main" id="{AFAD90DC-E2B1-D3BE-92D1-E0E994C1DB8A}"/>
              </a:ext>
            </a:extLst>
          </xdr:cNvPr>
          <xdr:cNvCxnSpPr/>
        </xdr:nvCxnSpPr>
        <xdr:spPr>
          <a:xfrm flipV="1">
            <a:off x="1128712" y="7239001"/>
            <a:ext cx="971550" cy="7143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42" name="Straight Connector 1341">
            <a:extLst>
              <a:ext uri="{FF2B5EF4-FFF2-40B4-BE49-F238E27FC236}">
                <a16:creationId xmlns:a16="http://schemas.microsoft.com/office/drawing/2014/main" id="{38B235CC-DE26-453A-E707-C0FD7EB4EDC5}"/>
              </a:ext>
            </a:extLst>
          </xdr:cNvPr>
          <xdr:cNvCxnSpPr/>
        </xdr:nvCxnSpPr>
        <xdr:spPr>
          <a:xfrm>
            <a:off x="4043363" y="7243764"/>
            <a:ext cx="971550" cy="70961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43" name="Straight Connector 1342">
            <a:extLst>
              <a:ext uri="{FF2B5EF4-FFF2-40B4-BE49-F238E27FC236}">
                <a16:creationId xmlns:a16="http://schemas.microsoft.com/office/drawing/2014/main" id="{AB2A7582-A521-B992-EC1B-D5DA5C5F3BEC}"/>
              </a:ext>
            </a:extLst>
          </xdr:cNvPr>
          <xdr:cNvCxnSpPr/>
        </xdr:nvCxnSpPr>
        <xdr:spPr>
          <a:xfrm flipV="1">
            <a:off x="4038600" y="7239001"/>
            <a:ext cx="971550" cy="7143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44" name="Straight Connector 1343">
            <a:extLst>
              <a:ext uri="{FF2B5EF4-FFF2-40B4-BE49-F238E27FC236}">
                <a16:creationId xmlns:a16="http://schemas.microsoft.com/office/drawing/2014/main" id="{A1C46B50-4F07-5C9B-1AAE-95AC844E5EAC}"/>
              </a:ext>
            </a:extLst>
          </xdr:cNvPr>
          <xdr:cNvCxnSpPr/>
        </xdr:nvCxnSpPr>
        <xdr:spPr>
          <a:xfrm>
            <a:off x="1138238" y="7958140"/>
            <a:ext cx="971550" cy="70961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45" name="Straight Connector 1344">
            <a:extLst>
              <a:ext uri="{FF2B5EF4-FFF2-40B4-BE49-F238E27FC236}">
                <a16:creationId xmlns:a16="http://schemas.microsoft.com/office/drawing/2014/main" id="{CF5279BF-60F5-5E08-5413-E323D114CA4A}"/>
              </a:ext>
            </a:extLst>
          </xdr:cNvPr>
          <xdr:cNvCxnSpPr/>
        </xdr:nvCxnSpPr>
        <xdr:spPr>
          <a:xfrm flipV="1">
            <a:off x="1133475" y="7953377"/>
            <a:ext cx="971550" cy="7143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46" name="Straight Connector 1345">
            <a:extLst>
              <a:ext uri="{FF2B5EF4-FFF2-40B4-BE49-F238E27FC236}">
                <a16:creationId xmlns:a16="http://schemas.microsoft.com/office/drawing/2014/main" id="{0C4E72A4-71E6-8F92-8967-2D405A5CF4AC}"/>
              </a:ext>
            </a:extLst>
          </xdr:cNvPr>
          <xdr:cNvCxnSpPr/>
        </xdr:nvCxnSpPr>
        <xdr:spPr>
          <a:xfrm>
            <a:off x="4048126" y="7958140"/>
            <a:ext cx="971550" cy="70961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47" name="Straight Connector 1346">
            <a:extLst>
              <a:ext uri="{FF2B5EF4-FFF2-40B4-BE49-F238E27FC236}">
                <a16:creationId xmlns:a16="http://schemas.microsoft.com/office/drawing/2014/main" id="{99A36141-5ACA-A62A-88D5-673DB66CD247}"/>
              </a:ext>
            </a:extLst>
          </xdr:cNvPr>
          <xdr:cNvCxnSpPr/>
        </xdr:nvCxnSpPr>
        <xdr:spPr>
          <a:xfrm flipV="1">
            <a:off x="4043363" y="7953377"/>
            <a:ext cx="971550" cy="7143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xdr:col>
      <xdr:colOff>95250</xdr:colOff>
      <xdr:row>767</xdr:row>
      <xdr:rowOff>69510</xdr:rowOff>
    </xdr:from>
    <xdr:to>
      <xdr:col>33</xdr:col>
      <xdr:colOff>57152</xdr:colOff>
      <xdr:row>786</xdr:row>
      <xdr:rowOff>61913</xdr:rowOff>
    </xdr:to>
    <xdr:grpSp>
      <xdr:nvGrpSpPr>
        <xdr:cNvPr id="1348" name="Group 1347">
          <a:extLst>
            <a:ext uri="{FF2B5EF4-FFF2-40B4-BE49-F238E27FC236}">
              <a16:creationId xmlns:a16="http://schemas.microsoft.com/office/drawing/2014/main" id="{1A483E70-7DB8-4CF0-BC26-73750F1EBC51}"/>
            </a:ext>
          </a:extLst>
        </xdr:cNvPr>
        <xdr:cNvGrpSpPr/>
      </xdr:nvGrpSpPr>
      <xdr:grpSpPr>
        <a:xfrm>
          <a:off x="419100" y="111835860"/>
          <a:ext cx="4981577" cy="2707028"/>
          <a:chOff x="419100" y="736260"/>
          <a:chExt cx="4981577" cy="2707028"/>
        </a:xfrm>
      </xdr:grpSpPr>
      <xdr:sp macro="" textlink="">
        <xdr:nvSpPr>
          <xdr:cNvPr id="1349" name="Rectangle 1348">
            <a:extLst>
              <a:ext uri="{FF2B5EF4-FFF2-40B4-BE49-F238E27FC236}">
                <a16:creationId xmlns:a16="http://schemas.microsoft.com/office/drawing/2014/main" id="{9C6DA020-C9C7-D571-DD99-C9DE2D41FB01}"/>
              </a:ext>
            </a:extLst>
          </xdr:cNvPr>
          <xdr:cNvSpPr/>
        </xdr:nvSpPr>
        <xdr:spPr>
          <a:xfrm>
            <a:off x="971551" y="2819401"/>
            <a:ext cx="323849" cy="95250"/>
          </a:xfrm>
          <a:prstGeom prst="rect">
            <a:avLst/>
          </a:prstGeom>
          <a:pattFill prst="ltUpDiag">
            <a:fgClr>
              <a:schemeClr val="tx1"/>
            </a:fgClr>
            <a:bgClr>
              <a:schemeClr val="bg1"/>
            </a:bgClr>
          </a:patt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kern="1200"/>
          </a:p>
        </xdr:txBody>
      </xdr:sp>
      <xdr:sp macro="" textlink="">
        <xdr:nvSpPr>
          <xdr:cNvPr id="1350" name="Freeform: Shape 1349">
            <a:extLst>
              <a:ext uri="{FF2B5EF4-FFF2-40B4-BE49-F238E27FC236}">
                <a16:creationId xmlns:a16="http://schemas.microsoft.com/office/drawing/2014/main" id="{E4310605-B66E-1B8F-1C4E-71B1E9AB8584}"/>
              </a:ext>
            </a:extLst>
          </xdr:cNvPr>
          <xdr:cNvSpPr/>
        </xdr:nvSpPr>
        <xdr:spPr>
          <a:xfrm>
            <a:off x="1133475" y="1095375"/>
            <a:ext cx="3890963" cy="1724025"/>
          </a:xfrm>
          <a:custGeom>
            <a:avLst/>
            <a:gdLst>
              <a:gd name="connsiteX0" fmla="*/ 0 w 3890963"/>
              <a:gd name="connsiteY0" fmla="*/ 1709738 h 1724025"/>
              <a:gd name="connsiteX1" fmla="*/ 0 w 3890963"/>
              <a:gd name="connsiteY1" fmla="*/ 571500 h 1724025"/>
              <a:gd name="connsiteX2" fmla="*/ 1947863 w 3890963"/>
              <a:gd name="connsiteY2" fmla="*/ 0 h 1724025"/>
              <a:gd name="connsiteX3" fmla="*/ 3890963 w 3890963"/>
              <a:gd name="connsiteY3" fmla="*/ 576263 h 1724025"/>
              <a:gd name="connsiteX4" fmla="*/ 3890963 w 3890963"/>
              <a:gd name="connsiteY4" fmla="*/ 1724025 h 172402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890963" h="1724025">
                <a:moveTo>
                  <a:pt x="0" y="1709738"/>
                </a:moveTo>
                <a:lnTo>
                  <a:pt x="0" y="571500"/>
                </a:lnTo>
                <a:lnTo>
                  <a:pt x="1947863" y="0"/>
                </a:lnTo>
                <a:lnTo>
                  <a:pt x="3890963" y="576263"/>
                </a:lnTo>
                <a:lnTo>
                  <a:pt x="3890963" y="1724025"/>
                </a:lnTo>
              </a:path>
            </a:pathLst>
          </a:custGeom>
          <a:no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kern="1200"/>
          </a:p>
        </xdr:txBody>
      </xdr:sp>
      <xdr:cxnSp macro="">
        <xdr:nvCxnSpPr>
          <xdr:cNvPr id="1351" name="Straight Connector 1350">
            <a:extLst>
              <a:ext uri="{FF2B5EF4-FFF2-40B4-BE49-F238E27FC236}">
                <a16:creationId xmlns:a16="http://schemas.microsoft.com/office/drawing/2014/main" id="{12366F35-1821-60FC-2F13-2009B80EC826}"/>
              </a:ext>
            </a:extLst>
          </xdr:cNvPr>
          <xdr:cNvCxnSpPr/>
        </xdr:nvCxnSpPr>
        <xdr:spPr>
          <a:xfrm>
            <a:off x="966788" y="2809875"/>
            <a:ext cx="328612"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352" name="Rectangle 1351">
            <a:extLst>
              <a:ext uri="{FF2B5EF4-FFF2-40B4-BE49-F238E27FC236}">
                <a16:creationId xmlns:a16="http://schemas.microsoft.com/office/drawing/2014/main" id="{54104297-CAB3-C69E-7A9B-A726893C5D1B}"/>
              </a:ext>
            </a:extLst>
          </xdr:cNvPr>
          <xdr:cNvSpPr/>
        </xdr:nvSpPr>
        <xdr:spPr>
          <a:xfrm>
            <a:off x="4857751" y="2819401"/>
            <a:ext cx="323849" cy="95250"/>
          </a:xfrm>
          <a:prstGeom prst="rect">
            <a:avLst/>
          </a:prstGeom>
          <a:pattFill prst="ltUpDiag">
            <a:fgClr>
              <a:schemeClr val="tx1"/>
            </a:fgClr>
            <a:bgClr>
              <a:schemeClr val="bg1"/>
            </a:bgClr>
          </a:patt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kern="1200"/>
          </a:p>
        </xdr:txBody>
      </xdr:sp>
      <xdr:cxnSp macro="">
        <xdr:nvCxnSpPr>
          <xdr:cNvPr id="1353" name="Straight Connector 1352">
            <a:extLst>
              <a:ext uri="{FF2B5EF4-FFF2-40B4-BE49-F238E27FC236}">
                <a16:creationId xmlns:a16="http://schemas.microsoft.com/office/drawing/2014/main" id="{D8F8A0DF-0284-406A-3F85-F463A8C80E72}"/>
              </a:ext>
            </a:extLst>
          </xdr:cNvPr>
          <xdr:cNvCxnSpPr/>
        </xdr:nvCxnSpPr>
        <xdr:spPr>
          <a:xfrm>
            <a:off x="4852988" y="2809875"/>
            <a:ext cx="328612"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54" name="Straight Connector 1353">
            <a:extLst>
              <a:ext uri="{FF2B5EF4-FFF2-40B4-BE49-F238E27FC236}">
                <a16:creationId xmlns:a16="http://schemas.microsoft.com/office/drawing/2014/main" id="{ED5B765E-6421-F4CE-EEE9-74B0BB646309}"/>
              </a:ext>
            </a:extLst>
          </xdr:cNvPr>
          <xdr:cNvCxnSpPr/>
        </xdr:nvCxnSpPr>
        <xdr:spPr>
          <a:xfrm flipH="1">
            <a:off x="419101" y="2809875"/>
            <a:ext cx="495300"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355" name="Straight Connector 1354">
            <a:extLst>
              <a:ext uri="{FF2B5EF4-FFF2-40B4-BE49-F238E27FC236}">
                <a16:creationId xmlns:a16="http://schemas.microsoft.com/office/drawing/2014/main" id="{DD489861-F2BD-BBA7-4F39-DFA45D848AD4}"/>
              </a:ext>
            </a:extLst>
          </xdr:cNvPr>
          <xdr:cNvCxnSpPr/>
        </xdr:nvCxnSpPr>
        <xdr:spPr>
          <a:xfrm flipV="1">
            <a:off x="809625" y="1028701"/>
            <a:ext cx="0" cy="183356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356" name="Straight Connector 1355">
            <a:extLst>
              <a:ext uri="{FF2B5EF4-FFF2-40B4-BE49-F238E27FC236}">
                <a16:creationId xmlns:a16="http://schemas.microsoft.com/office/drawing/2014/main" id="{F39494FE-0019-7697-AD09-61B4A70EA029}"/>
              </a:ext>
            </a:extLst>
          </xdr:cNvPr>
          <xdr:cNvCxnSpPr/>
        </xdr:nvCxnSpPr>
        <xdr:spPr>
          <a:xfrm>
            <a:off x="419100" y="1095375"/>
            <a:ext cx="2533652"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357" name="Straight Connector 1356">
            <a:extLst>
              <a:ext uri="{FF2B5EF4-FFF2-40B4-BE49-F238E27FC236}">
                <a16:creationId xmlns:a16="http://schemas.microsoft.com/office/drawing/2014/main" id="{762FFDA6-98D1-5215-9F93-6E6F8FEE15CF}"/>
              </a:ext>
            </a:extLst>
          </xdr:cNvPr>
          <xdr:cNvCxnSpPr/>
        </xdr:nvCxnSpPr>
        <xdr:spPr>
          <a:xfrm flipH="1">
            <a:off x="776288" y="1062036"/>
            <a:ext cx="66675" cy="666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358" name="Straight Connector 1357">
            <a:extLst>
              <a:ext uri="{FF2B5EF4-FFF2-40B4-BE49-F238E27FC236}">
                <a16:creationId xmlns:a16="http://schemas.microsoft.com/office/drawing/2014/main" id="{78874E3B-77C6-9C82-6A58-70AA3BDE04E5}"/>
              </a:ext>
            </a:extLst>
          </xdr:cNvPr>
          <xdr:cNvCxnSpPr/>
        </xdr:nvCxnSpPr>
        <xdr:spPr>
          <a:xfrm flipH="1">
            <a:off x="776289" y="2776541"/>
            <a:ext cx="66675" cy="666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359" name="Straight Connector 1358">
            <a:extLst>
              <a:ext uri="{FF2B5EF4-FFF2-40B4-BE49-F238E27FC236}">
                <a16:creationId xmlns:a16="http://schemas.microsoft.com/office/drawing/2014/main" id="{F81E2274-63AA-0030-FFD8-9292B9C1F592}"/>
              </a:ext>
            </a:extLst>
          </xdr:cNvPr>
          <xdr:cNvCxnSpPr/>
        </xdr:nvCxnSpPr>
        <xdr:spPr>
          <a:xfrm>
            <a:off x="742951" y="1666876"/>
            <a:ext cx="328613"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360" name="Straight Connector 1359">
            <a:extLst>
              <a:ext uri="{FF2B5EF4-FFF2-40B4-BE49-F238E27FC236}">
                <a16:creationId xmlns:a16="http://schemas.microsoft.com/office/drawing/2014/main" id="{FC97C65B-873B-9464-00B7-8E20B4CD6F92}"/>
              </a:ext>
            </a:extLst>
          </xdr:cNvPr>
          <xdr:cNvCxnSpPr/>
        </xdr:nvCxnSpPr>
        <xdr:spPr>
          <a:xfrm flipH="1">
            <a:off x="776288" y="1633536"/>
            <a:ext cx="66675" cy="666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361" name="Straight Connector 1360">
            <a:extLst>
              <a:ext uri="{FF2B5EF4-FFF2-40B4-BE49-F238E27FC236}">
                <a16:creationId xmlns:a16="http://schemas.microsoft.com/office/drawing/2014/main" id="{9E60ABF6-9CAF-C7E5-FE40-60F94FC470C9}"/>
              </a:ext>
            </a:extLst>
          </xdr:cNvPr>
          <xdr:cNvCxnSpPr/>
        </xdr:nvCxnSpPr>
        <xdr:spPr>
          <a:xfrm flipV="1">
            <a:off x="485771" y="1028702"/>
            <a:ext cx="0" cy="183356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362" name="Straight Connector 1361">
            <a:extLst>
              <a:ext uri="{FF2B5EF4-FFF2-40B4-BE49-F238E27FC236}">
                <a16:creationId xmlns:a16="http://schemas.microsoft.com/office/drawing/2014/main" id="{4648E0F8-DDBD-302C-45F3-0433847DA8C7}"/>
              </a:ext>
            </a:extLst>
          </xdr:cNvPr>
          <xdr:cNvCxnSpPr/>
        </xdr:nvCxnSpPr>
        <xdr:spPr>
          <a:xfrm flipH="1">
            <a:off x="452434" y="1062037"/>
            <a:ext cx="66675" cy="666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363" name="Straight Connector 1362">
            <a:extLst>
              <a:ext uri="{FF2B5EF4-FFF2-40B4-BE49-F238E27FC236}">
                <a16:creationId xmlns:a16="http://schemas.microsoft.com/office/drawing/2014/main" id="{C46B4A95-FA05-D4FA-1E33-EC46056D18E9}"/>
              </a:ext>
            </a:extLst>
          </xdr:cNvPr>
          <xdr:cNvCxnSpPr/>
        </xdr:nvCxnSpPr>
        <xdr:spPr>
          <a:xfrm flipH="1">
            <a:off x="452435" y="2776542"/>
            <a:ext cx="66675" cy="666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364" name="Straight Connector 1363">
            <a:extLst>
              <a:ext uri="{FF2B5EF4-FFF2-40B4-BE49-F238E27FC236}">
                <a16:creationId xmlns:a16="http://schemas.microsoft.com/office/drawing/2014/main" id="{5A480E4A-19FE-3A7C-3170-B3D789763A14}"/>
              </a:ext>
            </a:extLst>
          </xdr:cNvPr>
          <xdr:cNvCxnSpPr/>
        </xdr:nvCxnSpPr>
        <xdr:spPr>
          <a:xfrm>
            <a:off x="1133476" y="2971800"/>
            <a:ext cx="0" cy="47148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365" name="Straight Connector 1364">
            <a:extLst>
              <a:ext uri="{FF2B5EF4-FFF2-40B4-BE49-F238E27FC236}">
                <a16:creationId xmlns:a16="http://schemas.microsoft.com/office/drawing/2014/main" id="{1FC9863E-320A-CC0C-C0F7-970446CAD863}"/>
              </a:ext>
            </a:extLst>
          </xdr:cNvPr>
          <xdr:cNvCxnSpPr/>
        </xdr:nvCxnSpPr>
        <xdr:spPr>
          <a:xfrm>
            <a:off x="1066803" y="3095625"/>
            <a:ext cx="4010022"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366" name="Straight Connector 1365">
            <a:extLst>
              <a:ext uri="{FF2B5EF4-FFF2-40B4-BE49-F238E27FC236}">
                <a16:creationId xmlns:a16="http://schemas.microsoft.com/office/drawing/2014/main" id="{AD3AB826-3B43-2B47-114A-88F21A075A41}"/>
              </a:ext>
            </a:extLst>
          </xdr:cNvPr>
          <xdr:cNvCxnSpPr/>
        </xdr:nvCxnSpPr>
        <xdr:spPr>
          <a:xfrm flipH="1">
            <a:off x="1100133" y="3062289"/>
            <a:ext cx="66675" cy="666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367" name="Straight Connector 1366">
            <a:extLst>
              <a:ext uri="{FF2B5EF4-FFF2-40B4-BE49-F238E27FC236}">
                <a16:creationId xmlns:a16="http://schemas.microsoft.com/office/drawing/2014/main" id="{58F3C871-07AB-E017-7926-E350EE76BA60}"/>
              </a:ext>
            </a:extLst>
          </xdr:cNvPr>
          <xdr:cNvCxnSpPr/>
        </xdr:nvCxnSpPr>
        <xdr:spPr>
          <a:xfrm>
            <a:off x="1066803" y="3381375"/>
            <a:ext cx="4000497"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368" name="Straight Connector 1367">
            <a:extLst>
              <a:ext uri="{FF2B5EF4-FFF2-40B4-BE49-F238E27FC236}">
                <a16:creationId xmlns:a16="http://schemas.microsoft.com/office/drawing/2014/main" id="{7CE0EAB3-E89D-042A-0CA7-3F6EFE7634CE}"/>
              </a:ext>
            </a:extLst>
          </xdr:cNvPr>
          <xdr:cNvCxnSpPr/>
        </xdr:nvCxnSpPr>
        <xdr:spPr>
          <a:xfrm flipH="1">
            <a:off x="1100133" y="3348039"/>
            <a:ext cx="66675" cy="666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369" name="Straight Connector 1368">
            <a:extLst>
              <a:ext uri="{FF2B5EF4-FFF2-40B4-BE49-F238E27FC236}">
                <a16:creationId xmlns:a16="http://schemas.microsoft.com/office/drawing/2014/main" id="{BFC0496C-947D-0637-DDFB-1129AAFB1C66}"/>
              </a:ext>
            </a:extLst>
          </xdr:cNvPr>
          <xdr:cNvCxnSpPr/>
        </xdr:nvCxnSpPr>
        <xdr:spPr>
          <a:xfrm>
            <a:off x="5019676" y="2971800"/>
            <a:ext cx="0" cy="47148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370" name="Straight Connector 1369">
            <a:extLst>
              <a:ext uri="{FF2B5EF4-FFF2-40B4-BE49-F238E27FC236}">
                <a16:creationId xmlns:a16="http://schemas.microsoft.com/office/drawing/2014/main" id="{D611976C-DE69-5D1E-C1E9-FA19F011B37B}"/>
              </a:ext>
            </a:extLst>
          </xdr:cNvPr>
          <xdr:cNvCxnSpPr/>
        </xdr:nvCxnSpPr>
        <xdr:spPr>
          <a:xfrm flipH="1">
            <a:off x="4986333" y="3062289"/>
            <a:ext cx="66675" cy="666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371" name="Straight Connector 1370">
            <a:extLst>
              <a:ext uri="{FF2B5EF4-FFF2-40B4-BE49-F238E27FC236}">
                <a16:creationId xmlns:a16="http://schemas.microsoft.com/office/drawing/2014/main" id="{C0FEED76-F3B6-B7F4-AC09-F579DF49E054}"/>
              </a:ext>
            </a:extLst>
          </xdr:cNvPr>
          <xdr:cNvCxnSpPr/>
        </xdr:nvCxnSpPr>
        <xdr:spPr>
          <a:xfrm flipH="1">
            <a:off x="4986333" y="3348039"/>
            <a:ext cx="66675" cy="666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372" name="Straight Connector 1371">
            <a:extLst>
              <a:ext uri="{FF2B5EF4-FFF2-40B4-BE49-F238E27FC236}">
                <a16:creationId xmlns:a16="http://schemas.microsoft.com/office/drawing/2014/main" id="{4397D0DC-AE2E-851F-DED5-C38193A44AF4}"/>
              </a:ext>
            </a:extLst>
          </xdr:cNvPr>
          <xdr:cNvCxnSpPr/>
        </xdr:nvCxnSpPr>
        <xdr:spPr>
          <a:xfrm>
            <a:off x="3076586" y="2686047"/>
            <a:ext cx="0" cy="47148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373" name="Straight Connector 1372">
            <a:extLst>
              <a:ext uri="{FF2B5EF4-FFF2-40B4-BE49-F238E27FC236}">
                <a16:creationId xmlns:a16="http://schemas.microsoft.com/office/drawing/2014/main" id="{8AD43063-C47C-A07F-B493-780441E90B86}"/>
              </a:ext>
            </a:extLst>
          </xdr:cNvPr>
          <xdr:cNvCxnSpPr/>
        </xdr:nvCxnSpPr>
        <xdr:spPr>
          <a:xfrm flipH="1">
            <a:off x="3043243" y="3062286"/>
            <a:ext cx="66675" cy="666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374" name="Straight Connector 1373">
            <a:extLst>
              <a:ext uri="{FF2B5EF4-FFF2-40B4-BE49-F238E27FC236}">
                <a16:creationId xmlns:a16="http://schemas.microsoft.com/office/drawing/2014/main" id="{36AB2971-15C4-53DD-0D84-182D2E408482}"/>
              </a:ext>
            </a:extLst>
          </xdr:cNvPr>
          <xdr:cNvCxnSpPr/>
        </xdr:nvCxnSpPr>
        <xdr:spPr>
          <a:xfrm>
            <a:off x="4681539" y="1666876"/>
            <a:ext cx="280988" cy="0"/>
          </a:xfrm>
          <a:prstGeom prst="line">
            <a:avLst/>
          </a:prstGeom>
        </xdr:spPr>
        <xdr:style>
          <a:lnRef idx="1">
            <a:schemeClr val="accent1"/>
          </a:lnRef>
          <a:fillRef idx="0">
            <a:schemeClr val="accent1"/>
          </a:fillRef>
          <a:effectRef idx="0">
            <a:schemeClr val="accent1"/>
          </a:effectRef>
          <a:fontRef idx="minor">
            <a:schemeClr val="tx1"/>
          </a:fontRef>
        </xdr:style>
      </xdr:cxnSp>
      <xdr:sp macro="" textlink="">
        <xdr:nvSpPr>
          <xdr:cNvPr id="1375" name="Arc 1374">
            <a:extLst>
              <a:ext uri="{FF2B5EF4-FFF2-40B4-BE49-F238E27FC236}">
                <a16:creationId xmlns:a16="http://schemas.microsoft.com/office/drawing/2014/main" id="{3CD2D8B3-A47E-A2C5-8C4A-D6CE8F6C3AF7}"/>
              </a:ext>
            </a:extLst>
          </xdr:cNvPr>
          <xdr:cNvSpPr/>
        </xdr:nvSpPr>
        <xdr:spPr>
          <a:xfrm rot="13320143">
            <a:off x="4724399" y="1547812"/>
            <a:ext cx="161926" cy="161926"/>
          </a:xfrm>
          <a:prstGeom prst="arc">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tr-TR" sz="1100" kern="1200"/>
          </a:p>
        </xdr:txBody>
      </xdr:sp>
      <xdr:cxnSp macro="">
        <xdr:nvCxnSpPr>
          <xdr:cNvPr id="1376" name="Straight Connector 1375">
            <a:extLst>
              <a:ext uri="{FF2B5EF4-FFF2-40B4-BE49-F238E27FC236}">
                <a16:creationId xmlns:a16="http://schemas.microsoft.com/office/drawing/2014/main" id="{FA161470-119B-474F-9D26-5F29BFDCFC44}"/>
              </a:ext>
            </a:extLst>
          </xdr:cNvPr>
          <xdr:cNvCxnSpPr/>
        </xdr:nvCxnSpPr>
        <xdr:spPr>
          <a:xfrm>
            <a:off x="1133474" y="1952626"/>
            <a:ext cx="3890964" cy="0"/>
          </a:xfrm>
          <a:prstGeom prst="line">
            <a:avLst/>
          </a:prstGeom>
          <a:no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1377" name="Straight Connector 1376">
            <a:extLst>
              <a:ext uri="{FF2B5EF4-FFF2-40B4-BE49-F238E27FC236}">
                <a16:creationId xmlns:a16="http://schemas.microsoft.com/office/drawing/2014/main" id="{A65C026A-26C4-A7FE-6C84-7D48039FF1E9}"/>
              </a:ext>
            </a:extLst>
          </xdr:cNvPr>
          <xdr:cNvCxnSpPr/>
        </xdr:nvCxnSpPr>
        <xdr:spPr>
          <a:xfrm>
            <a:off x="3076575" y="1100138"/>
            <a:ext cx="0" cy="857250"/>
          </a:xfrm>
          <a:prstGeom prst="line">
            <a:avLst/>
          </a:prstGeom>
          <a:no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1378" name="Straight Connector 1377">
            <a:extLst>
              <a:ext uri="{FF2B5EF4-FFF2-40B4-BE49-F238E27FC236}">
                <a16:creationId xmlns:a16="http://schemas.microsoft.com/office/drawing/2014/main" id="{7940B9DA-A6F1-2D0E-0CEE-F71DB13A253A}"/>
              </a:ext>
            </a:extLst>
          </xdr:cNvPr>
          <xdr:cNvCxnSpPr/>
        </xdr:nvCxnSpPr>
        <xdr:spPr>
          <a:xfrm>
            <a:off x="2752725" y="1190625"/>
            <a:ext cx="0" cy="761999"/>
          </a:xfrm>
          <a:prstGeom prst="line">
            <a:avLst/>
          </a:prstGeom>
          <a:no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1379" name="Straight Connector 1378">
            <a:extLst>
              <a:ext uri="{FF2B5EF4-FFF2-40B4-BE49-F238E27FC236}">
                <a16:creationId xmlns:a16="http://schemas.microsoft.com/office/drawing/2014/main" id="{3A6BC17B-FF23-3A78-364A-8B4E90B9D5AB}"/>
              </a:ext>
            </a:extLst>
          </xdr:cNvPr>
          <xdr:cNvCxnSpPr/>
        </xdr:nvCxnSpPr>
        <xdr:spPr>
          <a:xfrm>
            <a:off x="2428874" y="1281113"/>
            <a:ext cx="0" cy="671511"/>
          </a:xfrm>
          <a:prstGeom prst="line">
            <a:avLst/>
          </a:prstGeom>
          <a:no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1380" name="Straight Connector 1379">
            <a:extLst>
              <a:ext uri="{FF2B5EF4-FFF2-40B4-BE49-F238E27FC236}">
                <a16:creationId xmlns:a16="http://schemas.microsoft.com/office/drawing/2014/main" id="{D796AD87-E1A7-E6DC-3B6D-92CE5E3A8D0C}"/>
              </a:ext>
            </a:extLst>
          </xdr:cNvPr>
          <xdr:cNvCxnSpPr/>
        </xdr:nvCxnSpPr>
        <xdr:spPr>
          <a:xfrm>
            <a:off x="2105023" y="1381125"/>
            <a:ext cx="0" cy="576263"/>
          </a:xfrm>
          <a:prstGeom prst="line">
            <a:avLst/>
          </a:prstGeom>
          <a:no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1381" name="Straight Connector 1380">
            <a:extLst>
              <a:ext uri="{FF2B5EF4-FFF2-40B4-BE49-F238E27FC236}">
                <a16:creationId xmlns:a16="http://schemas.microsoft.com/office/drawing/2014/main" id="{2942A4DF-64D4-E17E-455A-B83C1557EFDC}"/>
              </a:ext>
            </a:extLst>
          </xdr:cNvPr>
          <xdr:cNvCxnSpPr/>
        </xdr:nvCxnSpPr>
        <xdr:spPr>
          <a:xfrm>
            <a:off x="1781167" y="1471613"/>
            <a:ext cx="0" cy="481006"/>
          </a:xfrm>
          <a:prstGeom prst="line">
            <a:avLst/>
          </a:prstGeom>
          <a:no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1382" name="Straight Connector 1381">
            <a:extLst>
              <a:ext uri="{FF2B5EF4-FFF2-40B4-BE49-F238E27FC236}">
                <a16:creationId xmlns:a16="http://schemas.microsoft.com/office/drawing/2014/main" id="{9181A922-F1BF-7D30-07D2-3E5579ED433E}"/>
              </a:ext>
            </a:extLst>
          </xdr:cNvPr>
          <xdr:cNvCxnSpPr/>
        </xdr:nvCxnSpPr>
        <xdr:spPr>
          <a:xfrm>
            <a:off x="1457311" y="1566863"/>
            <a:ext cx="0" cy="385752"/>
          </a:xfrm>
          <a:prstGeom prst="line">
            <a:avLst/>
          </a:prstGeom>
          <a:no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1383" name="Straight Connector 1382">
            <a:extLst>
              <a:ext uri="{FF2B5EF4-FFF2-40B4-BE49-F238E27FC236}">
                <a16:creationId xmlns:a16="http://schemas.microsoft.com/office/drawing/2014/main" id="{108FE3F4-FCCE-3752-7FD8-DB82002EF602}"/>
              </a:ext>
            </a:extLst>
          </xdr:cNvPr>
          <xdr:cNvCxnSpPr/>
        </xdr:nvCxnSpPr>
        <xdr:spPr>
          <a:xfrm>
            <a:off x="2752725" y="1195388"/>
            <a:ext cx="328613" cy="762000"/>
          </a:xfrm>
          <a:prstGeom prst="line">
            <a:avLst/>
          </a:prstGeom>
          <a:no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1384" name="Straight Connector 1383">
            <a:extLst>
              <a:ext uri="{FF2B5EF4-FFF2-40B4-BE49-F238E27FC236}">
                <a16:creationId xmlns:a16="http://schemas.microsoft.com/office/drawing/2014/main" id="{47BCFC6F-5AC2-6557-6197-4A499DAD8DD8}"/>
              </a:ext>
            </a:extLst>
          </xdr:cNvPr>
          <xdr:cNvCxnSpPr/>
        </xdr:nvCxnSpPr>
        <xdr:spPr>
          <a:xfrm>
            <a:off x="2428875" y="1290638"/>
            <a:ext cx="323850" cy="661987"/>
          </a:xfrm>
          <a:prstGeom prst="line">
            <a:avLst/>
          </a:prstGeom>
          <a:no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1385" name="Straight Connector 1384">
            <a:extLst>
              <a:ext uri="{FF2B5EF4-FFF2-40B4-BE49-F238E27FC236}">
                <a16:creationId xmlns:a16="http://schemas.microsoft.com/office/drawing/2014/main" id="{0862F4DB-9108-71AA-3811-433F7C24AAEF}"/>
              </a:ext>
            </a:extLst>
          </xdr:cNvPr>
          <xdr:cNvCxnSpPr/>
        </xdr:nvCxnSpPr>
        <xdr:spPr>
          <a:xfrm>
            <a:off x="2105025" y="1381125"/>
            <a:ext cx="323850" cy="571500"/>
          </a:xfrm>
          <a:prstGeom prst="line">
            <a:avLst/>
          </a:prstGeom>
          <a:no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1386" name="Straight Connector 1385">
            <a:extLst>
              <a:ext uri="{FF2B5EF4-FFF2-40B4-BE49-F238E27FC236}">
                <a16:creationId xmlns:a16="http://schemas.microsoft.com/office/drawing/2014/main" id="{035E6739-1FE6-9996-5A7F-15723579E255}"/>
              </a:ext>
            </a:extLst>
          </xdr:cNvPr>
          <xdr:cNvCxnSpPr/>
        </xdr:nvCxnSpPr>
        <xdr:spPr>
          <a:xfrm flipH="1">
            <a:off x="3103901" y="736260"/>
            <a:ext cx="88337" cy="28893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387" name="Straight Connector 1386">
            <a:extLst>
              <a:ext uri="{FF2B5EF4-FFF2-40B4-BE49-F238E27FC236}">
                <a16:creationId xmlns:a16="http://schemas.microsoft.com/office/drawing/2014/main" id="{F55746C3-2A46-57A0-EE59-398263A9E4D8}"/>
              </a:ext>
            </a:extLst>
          </xdr:cNvPr>
          <xdr:cNvCxnSpPr/>
        </xdr:nvCxnSpPr>
        <xdr:spPr>
          <a:xfrm>
            <a:off x="3109913" y="771525"/>
            <a:ext cx="2066925" cy="612986"/>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388" name="Straight Connector 1387">
            <a:extLst>
              <a:ext uri="{FF2B5EF4-FFF2-40B4-BE49-F238E27FC236}">
                <a16:creationId xmlns:a16="http://schemas.microsoft.com/office/drawing/2014/main" id="{69509A55-6089-7216-9E11-9316CBC9928E}"/>
              </a:ext>
            </a:extLst>
          </xdr:cNvPr>
          <xdr:cNvCxnSpPr/>
        </xdr:nvCxnSpPr>
        <xdr:spPr>
          <a:xfrm>
            <a:off x="3157538" y="742950"/>
            <a:ext cx="33338" cy="9525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389" name="Straight Connector 1388">
            <a:extLst>
              <a:ext uri="{FF2B5EF4-FFF2-40B4-BE49-F238E27FC236}">
                <a16:creationId xmlns:a16="http://schemas.microsoft.com/office/drawing/2014/main" id="{CE5BAC0D-4CE6-CD77-0A9A-B6A43B4BA015}"/>
              </a:ext>
            </a:extLst>
          </xdr:cNvPr>
          <xdr:cNvCxnSpPr/>
        </xdr:nvCxnSpPr>
        <xdr:spPr>
          <a:xfrm flipH="1">
            <a:off x="5051764" y="1312522"/>
            <a:ext cx="88337" cy="28893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390" name="Straight Connector 1389">
            <a:extLst>
              <a:ext uri="{FF2B5EF4-FFF2-40B4-BE49-F238E27FC236}">
                <a16:creationId xmlns:a16="http://schemas.microsoft.com/office/drawing/2014/main" id="{D8F033F6-B602-E830-E199-D6C65E6503E9}"/>
              </a:ext>
            </a:extLst>
          </xdr:cNvPr>
          <xdr:cNvCxnSpPr/>
        </xdr:nvCxnSpPr>
        <xdr:spPr>
          <a:xfrm>
            <a:off x="5105401" y="1319212"/>
            <a:ext cx="33338" cy="9525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391" name="Straight Connector 1390">
            <a:extLst>
              <a:ext uri="{FF2B5EF4-FFF2-40B4-BE49-F238E27FC236}">
                <a16:creationId xmlns:a16="http://schemas.microsoft.com/office/drawing/2014/main" id="{26A500A6-C1C1-C0D2-D295-4B1F7D4CBCB8}"/>
              </a:ext>
            </a:extLst>
          </xdr:cNvPr>
          <xdr:cNvCxnSpPr/>
        </xdr:nvCxnSpPr>
        <xdr:spPr>
          <a:xfrm>
            <a:off x="1781175" y="1481138"/>
            <a:ext cx="323850" cy="471487"/>
          </a:xfrm>
          <a:prstGeom prst="line">
            <a:avLst/>
          </a:prstGeom>
          <a:no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1392" name="Straight Connector 1391">
            <a:extLst>
              <a:ext uri="{FF2B5EF4-FFF2-40B4-BE49-F238E27FC236}">
                <a16:creationId xmlns:a16="http://schemas.microsoft.com/office/drawing/2014/main" id="{F190CBC1-7ACA-29AF-FAD2-023A1CA6902A}"/>
              </a:ext>
            </a:extLst>
          </xdr:cNvPr>
          <xdr:cNvCxnSpPr/>
        </xdr:nvCxnSpPr>
        <xdr:spPr>
          <a:xfrm>
            <a:off x="1457325" y="1576388"/>
            <a:ext cx="323851" cy="380999"/>
          </a:xfrm>
          <a:prstGeom prst="line">
            <a:avLst/>
          </a:prstGeom>
          <a:no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1393" name="Straight Connector 1392">
            <a:extLst>
              <a:ext uri="{FF2B5EF4-FFF2-40B4-BE49-F238E27FC236}">
                <a16:creationId xmlns:a16="http://schemas.microsoft.com/office/drawing/2014/main" id="{BBA3461D-2F97-AB91-E7FB-CB9132F7B603}"/>
              </a:ext>
            </a:extLst>
          </xdr:cNvPr>
          <xdr:cNvCxnSpPr>
            <a:stCxn id="1350" idx="1"/>
          </xdr:cNvCxnSpPr>
        </xdr:nvCxnSpPr>
        <xdr:spPr>
          <a:xfrm>
            <a:off x="1133475" y="1666875"/>
            <a:ext cx="323851" cy="285749"/>
          </a:xfrm>
          <a:prstGeom prst="line">
            <a:avLst/>
          </a:prstGeom>
          <a:no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1394" name="Straight Connector 1393">
            <a:extLst>
              <a:ext uri="{FF2B5EF4-FFF2-40B4-BE49-F238E27FC236}">
                <a16:creationId xmlns:a16="http://schemas.microsoft.com/office/drawing/2014/main" id="{CCAD9986-30C0-D13B-B892-286D2FB38F7E}"/>
              </a:ext>
            </a:extLst>
          </xdr:cNvPr>
          <xdr:cNvCxnSpPr/>
        </xdr:nvCxnSpPr>
        <xdr:spPr>
          <a:xfrm>
            <a:off x="3400439" y="1190625"/>
            <a:ext cx="0" cy="761999"/>
          </a:xfrm>
          <a:prstGeom prst="line">
            <a:avLst/>
          </a:prstGeom>
          <a:no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1395" name="Straight Connector 1394">
            <a:extLst>
              <a:ext uri="{FF2B5EF4-FFF2-40B4-BE49-F238E27FC236}">
                <a16:creationId xmlns:a16="http://schemas.microsoft.com/office/drawing/2014/main" id="{86D71F6D-DE12-C417-1CF0-483C70C3B1BA}"/>
              </a:ext>
            </a:extLst>
          </xdr:cNvPr>
          <xdr:cNvCxnSpPr/>
        </xdr:nvCxnSpPr>
        <xdr:spPr>
          <a:xfrm>
            <a:off x="3724289" y="1281113"/>
            <a:ext cx="0" cy="671511"/>
          </a:xfrm>
          <a:prstGeom prst="line">
            <a:avLst/>
          </a:prstGeom>
          <a:no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1396" name="Straight Connector 1395">
            <a:extLst>
              <a:ext uri="{FF2B5EF4-FFF2-40B4-BE49-F238E27FC236}">
                <a16:creationId xmlns:a16="http://schemas.microsoft.com/office/drawing/2014/main" id="{1DDABE20-17FE-0E04-438D-C2423298C642}"/>
              </a:ext>
            </a:extLst>
          </xdr:cNvPr>
          <xdr:cNvCxnSpPr/>
        </xdr:nvCxnSpPr>
        <xdr:spPr>
          <a:xfrm>
            <a:off x="4048139" y="1381125"/>
            <a:ext cx="0" cy="576263"/>
          </a:xfrm>
          <a:prstGeom prst="line">
            <a:avLst/>
          </a:prstGeom>
          <a:no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1397" name="Straight Connector 1396">
            <a:extLst>
              <a:ext uri="{FF2B5EF4-FFF2-40B4-BE49-F238E27FC236}">
                <a16:creationId xmlns:a16="http://schemas.microsoft.com/office/drawing/2014/main" id="{61626895-1C20-2541-6C7B-070B0E624E67}"/>
              </a:ext>
            </a:extLst>
          </xdr:cNvPr>
          <xdr:cNvCxnSpPr/>
        </xdr:nvCxnSpPr>
        <xdr:spPr>
          <a:xfrm>
            <a:off x="4371981" y="1476375"/>
            <a:ext cx="0" cy="481006"/>
          </a:xfrm>
          <a:prstGeom prst="line">
            <a:avLst/>
          </a:prstGeom>
          <a:no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1398" name="Straight Connector 1397">
            <a:extLst>
              <a:ext uri="{FF2B5EF4-FFF2-40B4-BE49-F238E27FC236}">
                <a16:creationId xmlns:a16="http://schemas.microsoft.com/office/drawing/2014/main" id="{21E6DC32-3552-4CC6-41DD-A28B6A3B8322}"/>
              </a:ext>
            </a:extLst>
          </xdr:cNvPr>
          <xdr:cNvCxnSpPr/>
        </xdr:nvCxnSpPr>
        <xdr:spPr>
          <a:xfrm>
            <a:off x="4695826" y="1566863"/>
            <a:ext cx="0" cy="385752"/>
          </a:xfrm>
          <a:prstGeom prst="line">
            <a:avLst/>
          </a:prstGeom>
          <a:no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1399" name="Straight Connector 1398">
            <a:extLst>
              <a:ext uri="{FF2B5EF4-FFF2-40B4-BE49-F238E27FC236}">
                <a16:creationId xmlns:a16="http://schemas.microsoft.com/office/drawing/2014/main" id="{17087FC2-4729-7380-3414-B0563EF51EA8}"/>
              </a:ext>
            </a:extLst>
          </xdr:cNvPr>
          <xdr:cNvCxnSpPr/>
        </xdr:nvCxnSpPr>
        <xdr:spPr>
          <a:xfrm flipH="1">
            <a:off x="3076575" y="1195388"/>
            <a:ext cx="328613" cy="752474"/>
          </a:xfrm>
          <a:prstGeom prst="line">
            <a:avLst/>
          </a:prstGeom>
          <a:no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1400" name="Straight Connector 1399">
            <a:extLst>
              <a:ext uri="{FF2B5EF4-FFF2-40B4-BE49-F238E27FC236}">
                <a16:creationId xmlns:a16="http://schemas.microsoft.com/office/drawing/2014/main" id="{426BF48F-D8DD-CC4E-F4F5-5DF8FB3D9F41}"/>
              </a:ext>
            </a:extLst>
          </xdr:cNvPr>
          <xdr:cNvCxnSpPr/>
        </xdr:nvCxnSpPr>
        <xdr:spPr>
          <a:xfrm flipH="1">
            <a:off x="3400425" y="1290638"/>
            <a:ext cx="323850" cy="661986"/>
          </a:xfrm>
          <a:prstGeom prst="line">
            <a:avLst/>
          </a:prstGeom>
          <a:no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1401" name="Straight Connector 1400">
            <a:extLst>
              <a:ext uri="{FF2B5EF4-FFF2-40B4-BE49-F238E27FC236}">
                <a16:creationId xmlns:a16="http://schemas.microsoft.com/office/drawing/2014/main" id="{CEB5318F-8239-EB4B-E3F7-63F26A8D86AB}"/>
              </a:ext>
            </a:extLst>
          </xdr:cNvPr>
          <xdr:cNvCxnSpPr/>
        </xdr:nvCxnSpPr>
        <xdr:spPr>
          <a:xfrm flipH="1">
            <a:off x="3724275" y="1385888"/>
            <a:ext cx="328613" cy="566736"/>
          </a:xfrm>
          <a:prstGeom prst="line">
            <a:avLst/>
          </a:prstGeom>
          <a:no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1402" name="Straight Connector 1401">
            <a:extLst>
              <a:ext uri="{FF2B5EF4-FFF2-40B4-BE49-F238E27FC236}">
                <a16:creationId xmlns:a16="http://schemas.microsoft.com/office/drawing/2014/main" id="{7ECD1729-78A7-5310-6B48-F0567EE9DA47}"/>
              </a:ext>
            </a:extLst>
          </xdr:cNvPr>
          <xdr:cNvCxnSpPr/>
        </xdr:nvCxnSpPr>
        <xdr:spPr>
          <a:xfrm flipH="1">
            <a:off x="4048125" y="1476375"/>
            <a:ext cx="328613" cy="481011"/>
          </a:xfrm>
          <a:prstGeom prst="line">
            <a:avLst/>
          </a:prstGeom>
          <a:no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1403" name="Straight Connector 1402">
            <a:extLst>
              <a:ext uri="{FF2B5EF4-FFF2-40B4-BE49-F238E27FC236}">
                <a16:creationId xmlns:a16="http://schemas.microsoft.com/office/drawing/2014/main" id="{C6324E02-52D8-E145-6C13-0BC1BD56C96A}"/>
              </a:ext>
            </a:extLst>
          </xdr:cNvPr>
          <xdr:cNvCxnSpPr/>
        </xdr:nvCxnSpPr>
        <xdr:spPr>
          <a:xfrm flipH="1">
            <a:off x="4371975" y="1571625"/>
            <a:ext cx="323850" cy="380999"/>
          </a:xfrm>
          <a:prstGeom prst="line">
            <a:avLst/>
          </a:prstGeom>
          <a:no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1404" name="Straight Connector 1403">
            <a:extLst>
              <a:ext uri="{FF2B5EF4-FFF2-40B4-BE49-F238E27FC236}">
                <a16:creationId xmlns:a16="http://schemas.microsoft.com/office/drawing/2014/main" id="{BC68969C-3E90-7925-22BB-E97CED208E8E}"/>
              </a:ext>
            </a:extLst>
          </xdr:cNvPr>
          <xdr:cNvCxnSpPr>
            <a:stCxn id="1350" idx="3"/>
          </xdr:cNvCxnSpPr>
        </xdr:nvCxnSpPr>
        <xdr:spPr>
          <a:xfrm flipH="1">
            <a:off x="4695824" y="1671638"/>
            <a:ext cx="328614" cy="280986"/>
          </a:xfrm>
          <a:prstGeom prst="line">
            <a:avLst/>
          </a:prstGeom>
          <a:no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1405" name="Straight Connector 1404">
            <a:extLst>
              <a:ext uri="{FF2B5EF4-FFF2-40B4-BE49-F238E27FC236}">
                <a16:creationId xmlns:a16="http://schemas.microsoft.com/office/drawing/2014/main" id="{2A211B96-63D1-65EB-6A67-9B2EE8F008FF}"/>
              </a:ext>
            </a:extLst>
          </xdr:cNvPr>
          <xdr:cNvCxnSpPr/>
        </xdr:nvCxnSpPr>
        <xdr:spPr>
          <a:xfrm>
            <a:off x="1928810" y="1323976"/>
            <a:ext cx="0" cy="733425"/>
          </a:xfrm>
          <a:prstGeom prst="line">
            <a:avLst/>
          </a:prstGeom>
          <a:ln w="9525">
            <a:solidFill>
              <a:schemeClr val="accent6">
                <a:lumMod val="75000"/>
              </a:schemeClr>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406" name="Straight Connector 1405">
            <a:extLst>
              <a:ext uri="{FF2B5EF4-FFF2-40B4-BE49-F238E27FC236}">
                <a16:creationId xmlns:a16="http://schemas.microsoft.com/office/drawing/2014/main" id="{833E33CF-F8DE-CD39-52F5-7E6E992914BF}"/>
              </a:ext>
            </a:extLst>
          </xdr:cNvPr>
          <xdr:cNvCxnSpPr/>
        </xdr:nvCxnSpPr>
        <xdr:spPr>
          <a:xfrm>
            <a:off x="1962148" y="1323976"/>
            <a:ext cx="0" cy="733425"/>
          </a:xfrm>
          <a:prstGeom prst="line">
            <a:avLst/>
          </a:prstGeom>
          <a:ln w="9525">
            <a:solidFill>
              <a:schemeClr val="accent6">
                <a:lumMod val="75000"/>
              </a:schemeClr>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407" name="Straight Connector 1406">
            <a:extLst>
              <a:ext uri="{FF2B5EF4-FFF2-40B4-BE49-F238E27FC236}">
                <a16:creationId xmlns:a16="http://schemas.microsoft.com/office/drawing/2014/main" id="{EF50A4B0-5AFC-AF09-3A53-DF2B50453700}"/>
              </a:ext>
            </a:extLst>
          </xdr:cNvPr>
          <xdr:cNvCxnSpPr/>
        </xdr:nvCxnSpPr>
        <xdr:spPr>
          <a:xfrm>
            <a:off x="1781175" y="2014538"/>
            <a:ext cx="0" cy="3048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408" name="Straight Connector 1407">
            <a:extLst>
              <a:ext uri="{FF2B5EF4-FFF2-40B4-BE49-F238E27FC236}">
                <a16:creationId xmlns:a16="http://schemas.microsoft.com/office/drawing/2014/main" id="{89045AFB-39A0-AF65-7DE5-2F1B14B619F5}"/>
              </a:ext>
            </a:extLst>
          </xdr:cNvPr>
          <xdr:cNvCxnSpPr/>
        </xdr:nvCxnSpPr>
        <xdr:spPr>
          <a:xfrm>
            <a:off x="1719264" y="2238376"/>
            <a:ext cx="442911"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409" name="Straight Connector 1408">
            <a:extLst>
              <a:ext uri="{FF2B5EF4-FFF2-40B4-BE49-F238E27FC236}">
                <a16:creationId xmlns:a16="http://schemas.microsoft.com/office/drawing/2014/main" id="{180F3A61-ECDC-BDFE-5609-E24C23A1B5B8}"/>
              </a:ext>
            </a:extLst>
          </xdr:cNvPr>
          <xdr:cNvCxnSpPr/>
        </xdr:nvCxnSpPr>
        <xdr:spPr>
          <a:xfrm flipH="1">
            <a:off x="1743075" y="2205039"/>
            <a:ext cx="71437" cy="7143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410" name="Straight Connector 1409">
            <a:extLst>
              <a:ext uri="{FF2B5EF4-FFF2-40B4-BE49-F238E27FC236}">
                <a16:creationId xmlns:a16="http://schemas.microsoft.com/office/drawing/2014/main" id="{7AEDA114-5FE8-8599-72FE-F52F772BD5CB}"/>
              </a:ext>
            </a:extLst>
          </xdr:cNvPr>
          <xdr:cNvCxnSpPr/>
        </xdr:nvCxnSpPr>
        <xdr:spPr>
          <a:xfrm>
            <a:off x="2105026" y="2014538"/>
            <a:ext cx="0" cy="3048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411" name="Straight Connector 1410">
            <a:extLst>
              <a:ext uri="{FF2B5EF4-FFF2-40B4-BE49-F238E27FC236}">
                <a16:creationId xmlns:a16="http://schemas.microsoft.com/office/drawing/2014/main" id="{48F6F27A-3CDC-DB8D-37BC-D61C42D89BEC}"/>
              </a:ext>
            </a:extLst>
          </xdr:cNvPr>
          <xdr:cNvCxnSpPr/>
        </xdr:nvCxnSpPr>
        <xdr:spPr>
          <a:xfrm flipH="1">
            <a:off x="2066926" y="2205039"/>
            <a:ext cx="71437" cy="7143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412" name="Straight Connector 1411">
            <a:extLst>
              <a:ext uri="{FF2B5EF4-FFF2-40B4-BE49-F238E27FC236}">
                <a16:creationId xmlns:a16="http://schemas.microsoft.com/office/drawing/2014/main" id="{E13B6521-895B-B4AA-08ED-48519022CBF7}"/>
              </a:ext>
            </a:extLst>
          </xdr:cNvPr>
          <xdr:cNvCxnSpPr/>
        </xdr:nvCxnSpPr>
        <xdr:spPr>
          <a:xfrm flipH="1" flipV="1">
            <a:off x="3590925" y="1852613"/>
            <a:ext cx="333375" cy="357187"/>
          </a:xfrm>
          <a:prstGeom prst="line">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413" name="Straight Connector 1412">
            <a:extLst>
              <a:ext uri="{FF2B5EF4-FFF2-40B4-BE49-F238E27FC236}">
                <a16:creationId xmlns:a16="http://schemas.microsoft.com/office/drawing/2014/main" id="{603F348F-FE0A-6008-5A74-AFF00C3BEC96}"/>
              </a:ext>
            </a:extLst>
          </xdr:cNvPr>
          <xdr:cNvCxnSpPr/>
        </xdr:nvCxnSpPr>
        <xdr:spPr>
          <a:xfrm>
            <a:off x="5081583" y="1666876"/>
            <a:ext cx="319092"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414" name="Straight Connector 1413">
            <a:extLst>
              <a:ext uri="{FF2B5EF4-FFF2-40B4-BE49-F238E27FC236}">
                <a16:creationId xmlns:a16="http://schemas.microsoft.com/office/drawing/2014/main" id="{358477DB-D5F9-2534-8549-573A78641CB4}"/>
              </a:ext>
            </a:extLst>
          </xdr:cNvPr>
          <xdr:cNvCxnSpPr/>
        </xdr:nvCxnSpPr>
        <xdr:spPr>
          <a:xfrm flipH="1">
            <a:off x="5310184" y="1633538"/>
            <a:ext cx="66675" cy="666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415" name="Straight Connector 1414">
            <a:extLst>
              <a:ext uri="{FF2B5EF4-FFF2-40B4-BE49-F238E27FC236}">
                <a16:creationId xmlns:a16="http://schemas.microsoft.com/office/drawing/2014/main" id="{0348A876-08AC-928D-6C68-A6DDE8BF94AA}"/>
              </a:ext>
            </a:extLst>
          </xdr:cNvPr>
          <xdr:cNvCxnSpPr/>
        </xdr:nvCxnSpPr>
        <xdr:spPr>
          <a:xfrm>
            <a:off x="5081585" y="1952626"/>
            <a:ext cx="319092"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416" name="Straight Connector 1415">
            <a:extLst>
              <a:ext uri="{FF2B5EF4-FFF2-40B4-BE49-F238E27FC236}">
                <a16:creationId xmlns:a16="http://schemas.microsoft.com/office/drawing/2014/main" id="{BF1B1044-0682-5179-8400-78A8FF9B28B9}"/>
              </a:ext>
            </a:extLst>
          </xdr:cNvPr>
          <xdr:cNvCxnSpPr/>
        </xdr:nvCxnSpPr>
        <xdr:spPr>
          <a:xfrm flipH="1">
            <a:off x="5310186" y="1919288"/>
            <a:ext cx="66675" cy="666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417" name="Straight Connector 1416">
            <a:extLst>
              <a:ext uri="{FF2B5EF4-FFF2-40B4-BE49-F238E27FC236}">
                <a16:creationId xmlns:a16="http://schemas.microsoft.com/office/drawing/2014/main" id="{96CEDF18-8961-8419-7228-04035D12D82E}"/>
              </a:ext>
            </a:extLst>
          </xdr:cNvPr>
          <xdr:cNvCxnSpPr/>
        </xdr:nvCxnSpPr>
        <xdr:spPr>
          <a:xfrm>
            <a:off x="5343525" y="1604964"/>
            <a:ext cx="0" cy="409575"/>
          </a:xfrm>
          <a:prstGeom prst="line">
            <a:avLst/>
          </a:prstGeom>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43</xdr:col>
      <xdr:colOff>80960</xdr:colOff>
      <xdr:row>815</xdr:row>
      <xdr:rowOff>80963</xdr:rowOff>
    </xdr:from>
    <xdr:to>
      <xdr:col>50</xdr:col>
      <xdr:colOff>61913</xdr:colOff>
      <xdr:row>823</xdr:row>
      <xdr:rowOff>66676</xdr:rowOff>
    </xdr:to>
    <xdr:grpSp>
      <xdr:nvGrpSpPr>
        <xdr:cNvPr id="1418" name="Group 1417">
          <a:extLst>
            <a:ext uri="{FF2B5EF4-FFF2-40B4-BE49-F238E27FC236}">
              <a16:creationId xmlns:a16="http://schemas.microsoft.com/office/drawing/2014/main" id="{35043D8E-711E-4407-9256-55CEE65205A9}"/>
            </a:ext>
          </a:extLst>
        </xdr:cNvPr>
        <xdr:cNvGrpSpPr/>
      </xdr:nvGrpSpPr>
      <xdr:grpSpPr>
        <a:xfrm>
          <a:off x="7043735" y="118705313"/>
          <a:ext cx="1114428" cy="1128713"/>
          <a:chOff x="7853360" y="25703213"/>
          <a:chExt cx="1114428" cy="1128713"/>
        </a:xfrm>
      </xdr:grpSpPr>
      <xdr:grpSp>
        <xdr:nvGrpSpPr>
          <xdr:cNvPr id="1419" name="Group 1418">
            <a:extLst>
              <a:ext uri="{FF2B5EF4-FFF2-40B4-BE49-F238E27FC236}">
                <a16:creationId xmlns:a16="http://schemas.microsoft.com/office/drawing/2014/main" id="{90E0FFD5-D2CB-7788-45E9-15647BDFF1A8}"/>
              </a:ext>
            </a:extLst>
          </xdr:cNvPr>
          <xdr:cNvGrpSpPr/>
        </xdr:nvGrpSpPr>
        <xdr:grpSpPr>
          <a:xfrm>
            <a:off x="8253413" y="25765125"/>
            <a:ext cx="647700" cy="709613"/>
            <a:chOff x="8253413" y="25765125"/>
            <a:chExt cx="647700" cy="709613"/>
          </a:xfrm>
        </xdr:grpSpPr>
        <xdr:sp macro="" textlink="">
          <xdr:nvSpPr>
            <xdr:cNvPr id="1433" name="Rectangle: Rounded Corners 1432">
              <a:extLst>
                <a:ext uri="{FF2B5EF4-FFF2-40B4-BE49-F238E27FC236}">
                  <a16:creationId xmlns:a16="http://schemas.microsoft.com/office/drawing/2014/main" id="{92E48BA4-1B20-511B-D22C-1030E528B274}"/>
                </a:ext>
              </a:extLst>
            </xdr:cNvPr>
            <xdr:cNvSpPr/>
          </xdr:nvSpPr>
          <xdr:spPr>
            <a:xfrm>
              <a:off x="8253413" y="25765125"/>
              <a:ext cx="647700" cy="709613"/>
            </a:xfrm>
            <a:prstGeom prst="round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kern="1200"/>
            </a:p>
          </xdr:txBody>
        </xdr:sp>
        <xdr:sp macro="" textlink="">
          <xdr:nvSpPr>
            <xdr:cNvPr id="1434" name="Rectangle: Rounded Corners 1433">
              <a:extLst>
                <a:ext uri="{FF2B5EF4-FFF2-40B4-BE49-F238E27FC236}">
                  <a16:creationId xmlns:a16="http://schemas.microsoft.com/office/drawing/2014/main" id="{C5E8530C-8B52-3A73-C613-43CB6011C3FE}"/>
                </a:ext>
              </a:extLst>
            </xdr:cNvPr>
            <xdr:cNvSpPr/>
          </xdr:nvSpPr>
          <xdr:spPr>
            <a:xfrm>
              <a:off x="8323381" y="25841327"/>
              <a:ext cx="517288" cy="566736"/>
            </a:xfrm>
            <a:prstGeom prst="roundRect">
              <a:avLst/>
            </a:prstGeom>
            <a:solidFill>
              <a:schemeClr val="bg1"/>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kern="1200"/>
            </a:p>
          </xdr:txBody>
        </xdr:sp>
      </xdr:grpSp>
      <xdr:cxnSp macro="">
        <xdr:nvCxnSpPr>
          <xdr:cNvPr id="1420" name="Straight Connector 1419">
            <a:extLst>
              <a:ext uri="{FF2B5EF4-FFF2-40B4-BE49-F238E27FC236}">
                <a16:creationId xmlns:a16="http://schemas.microsoft.com/office/drawing/2014/main" id="{102F9757-8226-90EB-2517-4873FDBD0FF7}"/>
              </a:ext>
            </a:extLst>
          </xdr:cNvPr>
          <xdr:cNvCxnSpPr/>
        </xdr:nvCxnSpPr>
        <xdr:spPr>
          <a:xfrm>
            <a:off x="7853363" y="25765127"/>
            <a:ext cx="428624"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421" name="Straight Connector 1420">
            <a:extLst>
              <a:ext uri="{FF2B5EF4-FFF2-40B4-BE49-F238E27FC236}">
                <a16:creationId xmlns:a16="http://schemas.microsoft.com/office/drawing/2014/main" id="{5194D6C9-F7A3-6759-F61D-D7409D9001AB}"/>
              </a:ext>
            </a:extLst>
          </xdr:cNvPr>
          <xdr:cNvCxnSpPr/>
        </xdr:nvCxnSpPr>
        <xdr:spPr>
          <a:xfrm>
            <a:off x="7934325" y="25703213"/>
            <a:ext cx="0" cy="83343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422" name="Straight Connector 1421">
            <a:extLst>
              <a:ext uri="{FF2B5EF4-FFF2-40B4-BE49-F238E27FC236}">
                <a16:creationId xmlns:a16="http://schemas.microsoft.com/office/drawing/2014/main" id="{286B2A3B-EBAD-DDAE-5634-82D81E578A85}"/>
              </a:ext>
            </a:extLst>
          </xdr:cNvPr>
          <xdr:cNvCxnSpPr/>
        </xdr:nvCxnSpPr>
        <xdr:spPr>
          <a:xfrm flipH="1">
            <a:off x="7896225" y="25731787"/>
            <a:ext cx="71438" cy="7143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423" name="Straight Connector 1422">
            <a:extLst>
              <a:ext uri="{FF2B5EF4-FFF2-40B4-BE49-F238E27FC236}">
                <a16:creationId xmlns:a16="http://schemas.microsoft.com/office/drawing/2014/main" id="{8FCC1BB7-4705-2577-90C2-A72B735114F7}"/>
              </a:ext>
            </a:extLst>
          </xdr:cNvPr>
          <xdr:cNvCxnSpPr/>
        </xdr:nvCxnSpPr>
        <xdr:spPr>
          <a:xfrm>
            <a:off x="7853360" y="26479506"/>
            <a:ext cx="428624"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424" name="Straight Connector 1423">
            <a:extLst>
              <a:ext uri="{FF2B5EF4-FFF2-40B4-BE49-F238E27FC236}">
                <a16:creationId xmlns:a16="http://schemas.microsoft.com/office/drawing/2014/main" id="{964113DF-20C8-780A-BCAB-EE45B1D7315A}"/>
              </a:ext>
            </a:extLst>
          </xdr:cNvPr>
          <xdr:cNvCxnSpPr/>
        </xdr:nvCxnSpPr>
        <xdr:spPr>
          <a:xfrm flipH="1">
            <a:off x="7896222" y="26446166"/>
            <a:ext cx="71438" cy="7143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425" name="Straight Connector 1424">
            <a:extLst>
              <a:ext uri="{FF2B5EF4-FFF2-40B4-BE49-F238E27FC236}">
                <a16:creationId xmlns:a16="http://schemas.microsoft.com/office/drawing/2014/main" id="{D4CCD7CF-6BB7-20AE-DC96-33E3F94847DA}"/>
              </a:ext>
            </a:extLst>
          </xdr:cNvPr>
          <xdr:cNvCxnSpPr/>
        </xdr:nvCxnSpPr>
        <xdr:spPr>
          <a:xfrm>
            <a:off x="8258175" y="26441400"/>
            <a:ext cx="0" cy="3905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426" name="Straight Connector 1425">
            <a:extLst>
              <a:ext uri="{FF2B5EF4-FFF2-40B4-BE49-F238E27FC236}">
                <a16:creationId xmlns:a16="http://schemas.microsoft.com/office/drawing/2014/main" id="{ADF9F584-09E5-8E32-7C6D-6283A246FED3}"/>
              </a:ext>
            </a:extLst>
          </xdr:cNvPr>
          <xdr:cNvCxnSpPr/>
        </xdr:nvCxnSpPr>
        <xdr:spPr>
          <a:xfrm>
            <a:off x="8191501" y="26765250"/>
            <a:ext cx="776287"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427" name="Straight Connector 1426">
            <a:extLst>
              <a:ext uri="{FF2B5EF4-FFF2-40B4-BE49-F238E27FC236}">
                <a16:creationId xmlns:a16="http://schemas.microsoft.com/office/drawing/2014/main" id="{9168322A-0F5B-7B14-767E-8CC36230EB5C}"/>
              </a:ext>
            </a:extLst>
          </xdr:cNvPr>
          <xdr:cNvCxnSpPr/>
        </xdr:nvCxnSpPr>
        <xdr:spPr>
          <a:xfrm flipH="1">
            <a:off x="8220075" y="26731912"/>
            <a:ext cx="71438" cy="7143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428" name="Straight Connector 1427">
            <a:extLst>
              <a:ext uri="{FF2B5EF4-FFF2-40B4-BE49-F238E27FC236}">
                <a16:creationId xmlns:a16="http://schemas.microsoft.com/office/drawing/2014/main" id="{BA77B53B-4985-92AF-9321-70237185EEE0}"/>
              </a:ext>
            </a:extLst>
          </xdr:cNvPr>
          <xdr:cNvCxnSpPr/>
        </xdr:nvCxnSpPr>
        <xdr:spPr>
          <a:xfrm>
            <a:off x="8905875" y="26441401"/>
            <a:ext cx="0" cy="3905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429" name="Straight Connector 1428">
            <a:extLst>
              <a:ext uri="{FF2B5EF4-FFF2-40B4-BE49-F238E27FC236}">
                <a16:creationId xmlns:a16="http://schemas.microsoft.com/office/drawing/2014/main" id="{317BE00B-18AA-7285-8406-07C765FA3782}"/>
              </a:ext>
            </a:extLst>
          </xdr:cNvPr>
          <xdr:cNvCxnSpPr/>
        </xdr:nvCxnSpPr>
        <xdr:spPr>
          <a:xfrm flipH="1">
            <a:off x="8867775" y="26731913"/>
            <a:ext cx="71438" cy="7143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430" name="Straight Connector 1429">
            <a:extLst>
              <a:ext uri="{FF2B5EF4-FFF2-40B4-BE49-F238E27FC236}">
                <a16:creationId xmlns:a16="http://schemas.microsoft.com/office/drawing/2014/main" id="{E5ED5B96-8365-82E1-FFA8-BA9591D06C0C}"/>
              </a:ext>
            </a:extLst>
          </xdr:cNvPr>
          <xdr:cNvCxnSpPr/>
        </xdr:nvCxnSpPr>
        <xdr:spPr>
          <a:xfrm>
            <a:off x="8791576" y="26098501"/>
            <a:ext cx="152400"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431" name="Straight Connector 1430">
            <a:extLst>
              <a:ext uri="{FF2B5EF4-FFF2-40B4-BE49-F238E27FC236}">
                <a16:creationId xmlns:a16="http://schemas.microsoft.com/office/drawing/2014/main" id="{1701FD1B-161A-D0B6-1E49-7734178C06E4}"/>
              </a:ext>
            </a:extLst>
          </xdr:cNvPr>
          <xdr:cNvCxnSpPr/>
        </xdr:nvCxnSpPr>
        <xdr:spPr>
          <a:xfrm flipH="1">
            <a:off x="8801101" y="26065163"/>
            <a:ext cx="71438" cy="7143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432" name="Straight Connector 1431">
            <a:extLst>
              <a:ext uri="{FF2B5EF4-FFF2-40B4-BE49-F238E27FC236}">
                <a16:creationId xmlns:a16="http://schemas.microsoft.com/office/drawing/2014/main" id="{4B81CB85-1CA9-A3EB-5038-4DBA6C9856F8}"/>
              </a:ext>
            </a:extLst>
          </xdr:cNvPr>
          <xdr:cNvCxnSpPr/>
        </xdr:nvCxnSpPr>
        <xdr:spPr>
          <a:xfrm flipH="1">
            <a:off x="8863013" y="26065162"/>
            <a:ext cx="71438" cy="71438"/>
          </a:xfrm>
          <a:prstGeom prst="line">
            <a:avLst/>
          </a:prstGeom>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54</xdr:col>
      <xdr:colOff>80965</xdr:colOff>
      <xdr:row>815</xdr:row>
      <xdr:rowOff>80965</xdr:rowOff>
    </xdr:from>
    <xdr:to>
      <xdr:col>60</xdr:col>
      <xdr:colOff>114301</xdr:colOff>
      <xdr:row>821</xdr:row>
      <xdr:rowOff>57152</xdr:rowOff>
    </xdr:to>
    <xdr:grpSp>
      <xdr:nvGrpSpPr>
        <xdr:cNvPr id="1435" name="Group 1434">
          <a:extLst>
            <a:ext uri="{FF2B5EF4-FFF2-40B4-BE49-F238E27FC236}">
              <a16:creationId xmlns:a16="http://schemas.microsoft.com/office/drawing/2014/main" id="{35818919-9F06-4EFD-AAAD-3DC46AB1B03F}"/>
            </a:ext>
          </a:extLst>
        </xdr:cNvPr>
        <xdr:cNvGrpSpPr/>
      </xdr:nvGrpSpPr>
      <xdr:grpSpPr>
        <a:xfrm>
          <a:off x="8824915" y="118705315"/>
          <a:ext cx="1004886" cy="833437"/>
          <a:chOff x="9634540" y="25703215"/>
          <a:chExt cx="1004886" cy="833437"/>
        </a:xfrm>
      </xdr:grpSpPr>
      <xdr:grpSp>
        <xdr:nvGrpSpPr>
          <xdr:cNvPr id="1436" name="Group 1435">
            <a:extLst>
              <a:ext uri="{FF2B5EF4-FFF2-40B4-BE49-F238E27FC236}">
                <a16:creationId xmlns:a16="http://schemas.microsoft.com/office/drawing/2014/main" id="{5E331B22-5524-EC9A-0F64-F331F9FF4F4E}"/>
              </a:ext>
            </a:extLst>
          </xdr:cNvPr>
          <xdr:cNvGrpSpPr/>
        </xdr:nvGrpSpPr>
        <xdr:grpSpPr>
          <a:xfrm>
            <a:off x="9891722" y="25769890"/>
            <a:ext cx="704850" cy="704850"/>
            <a:chOff x="9667876" y="25741312"/>
            <a:chExt cx="704850" cy="704850"/>
          </a:xfrm>
        </xdr:grpSpPr>
        <xdr:sp macro="" textlink="">
          <xdr:nvSpPr>
            <xdr:cNvPr id="1445" name="Oval 1444">
              <a:extLst>
                <a:ext uri="{FF2B5EF4-FFF2-40B4-BE49-F238E27FC236}">
                  <a16:creationId xmlns:a16="http://schemas.microsoft.com/office/drawing/2014/main" id="{E7753B98-77DC-4D83-39EA-AAC9FE31A5DB}"/>
                </a:ext>
              </a:extLst>
            </xdr:cNvPr>
            <xdr:cNvSpPr/>
          </xdr:nvSpPr>
          <xdr:spPr>
            <a:xfrm>
              <a:off x="9667876" y="25741312"/>
              <a:ext cx="704850" cy="704850"/>
            </a:xfrm>
            <a:prstGeom prst="ellipse">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kern="1200"/>
            </a:p>
          </xdr:txBody>
        </xdr:sp>
        <xdr:sp macro="" textlink="">
          <xdr:nvSpPr>
            <xdr:cNvPr id="1446" name="Oval 1445">
              <a:extLst>
                <a:ext uri="{FF2B5EF4-FFF2-40B4-BE49-F238E27FC236}">
                  <a16:creationId xmlns:a16="http://schemas.microsoft.com/office/drawing/2014/main" id="{49AA7568-608B-D9FC-AD35-30E99AC420A5}"/>
                </a:ext>
              </a:extLst>
            </xdr:cNvPr>
            <xdr:cNvSpPr/>
          </xdr:nvSpPr>
          <xdr:spPr>
            <a:xfrm>
              <a:off x="9725023" y="25803223"/>
              <a:ext cx="590552" cy="590552"/>
            </a:xfrm>
            <a:prstGeom prst="ellipse">
              <a:avLst/>
            </a:prstGeom>
            <a:solidFill>
              <a:schemeClr val="bg1"/>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kern="1200"/>
            </a:p>
          </xdr:txBody>
        </xdr:sp>
      </xdr:grpSp>
      <xdr:cxnSp macro="">
        <xdr:nvCxnSpPr>
          <xdr:cNvPr id="1437" name="Straight Connector 1436">
            <a:extLst>
              <a:ext uri="{FF2B5EF4-FFF2-40B4-BE49-F238E27FC236}">
                <a16:creationId xmlns:a16="http://schemas.microsoft.com/office/drawing/2014/main" id="{BAE377FE-CA15-79E1-E723-744A99839D98}"/>
              </a:ext>
            </a:extLst>
          </xdr:cNvPr>
          <xdr:cNvCxnSpPr/>
        </xdr:nvCxnSpPr>
        <xdr:spPr>
          <a:xfrm>
            <a:off x="10487026" y="26122322"/>
            <a:ext cx="152400"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438" name="Straight Connector 1437">
            <a:extLst>
              <a:ext uri="{FF2B5EF4-FFF2-40B4-BE49-F238E27FC236}">
                <a16:creationId xmlns:a16="http://schemas.microsoft.com/office/drawing/2014/main" id="{A967A0EA-7569-5C99-7AD9-4CFA66D2CEAE}"/>
              </a:ext>
            </a:extLst>
          </xdr:cNvPr>
          <xdr:cNvCxnSpPr/>
        </xdr:nvCxnSpPr>
        <xdr:spPr>
          <a:xfrm flipH="1">
            <a:off x="10496551" y="26088984"/>
            <a:ext cx="71438" cy="7143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439" name="Straight Connector 1438">
            <a:extLst>
              <a:ext uri="{FF2B5EF4-FFF2-40B4-BE49-F238E27FC236}">
                <a16:creationId xmlns:a16="http://schemas.microsoft.com/office/drawing/2014/main" id="{9DE239E9-94FD-A26B-F020-1453260A7106}"/>
              </a:ext>
            </a:extLst>
          </xdr:cNvPr>
          <xdr:cNvCxnSpPr/>
        </xdr:nvCxnSpPr>
        <xdr:spPr>
          <a:xfrm flipH="1">
            <a:off x="10558463" y="26088983"/>
            <a:ext cx="71438" cy="7143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440" name="Straight Connector 1439">
            <a:extLst>
              <a:ext uri="{FF2B5EF4-FFF2-40B4-BE49-F238E27FC236}">
                <a16:creationId xmlns:a16="http://schemas.microsoft.com/office/drawing/2014/main" id="{0414E2A0-5E62-4E59-20AC-4F1DB9C5AA9D}"/>
              </a:ext>
            </a:extLst>
          </xdr:cNvPr>
          <xdr:cNvCxnSpPr/>
        </xdr:nvCxnSpPr>
        <xdr:spPr>
          <a:xfrm>
            <a:off x="9634543" y="25765129"/>
            <a:ext cx="428624"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441" name="Straight Connector 1440">
            <a:extLst>
              <a:ext uri="{FF2B5EF4-FFF2-40B4-BE49-F238E27FC236}">
                <a16:creationId xmlns:a16="http://schemas.microsoft.com/office/drawing/2014/main" id="{6F667E9E-FA17-FE19-E521-D3D21B55AF32}"/>
              </a:ext>
            </a:extLst>
          </xdr:cNvPr>
          <xdr:cNvCxnSpPr/>
        </xdr:nvCxnSpPr>
        <xdr:spPr>
          <a:xfrm>
            <a:off x="9715505" y="25703215"/>
            <a:ext cx="0" cy="83343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442" name="Straight Connector 1441">
            <a:extLst>
              <a:ext uri="{FF2B5EF4-FFF2-40B4-BE49-F238E27FC236}">
                <a16:creationId xmlns:a16="http://schemas.microsoft.com/office/drawing/2014/main" id="{203BFA29-0DE2-5019-EB7C-36E8AC5DB19C}"/>
              </a:ext>
            </a:extLst>
          </xdr:cNvPr>
          <xdr:cNvCxnSpPr/>
        </xdr:nvCxnSpPr>
        <xdr:spPr>
          <a:xfrm flipH="1">
            <a:off x="9677405" y="25731789"/>
            <a:ext cx="71438" cy="7143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443" name="Straight Connector 1442">
            <a:extLst>
              <a:ext uri="{FF2B5EF4-FFF2-40B4-BE49-F238E27FC236}">
                <a16:creationId xmlns:a16="http://schemas.microsoft.com/office/drawing/2014/main" id="{C0C55A0C-7324-8183-966C-54638369EFB4}"/>
              </a:ext>
            </a:extLst>
          </xdr:cNvPr>
          <xdr:cNvCxnSpPr/>
        </xdr:nvCxnSpPr>
        <xdr:spPr>
          <a:xfrm>
            <a:off x="9634540" y="26479508"/>
            <a:ext cx="428624"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444" name="Straight Connector 1443">
            <a:extLst>
              <a:ext uri="{FF2B5EF4-FFF2-40B4-BE49-F238E27FC236}">
                <a16:creationId xmlns:a16="http://schemas.microsoft.com/office/drawing/2014/main" id="{ADBFADCE-2582-0699-5649-8EB7B7CAAA30}"/>
              </a:ext>
            </a:extLst>
          </xdr:cNvPr>
          <xdr:cNvCxnSpPr/>
        </xdr:nvCxnSpPr>
        <xdr:spPr>
          <a:xfrm flipH="1">
            <a:off x="9677402" y="26446168"/>
            <a:ext cx="71438" cy="71438"/>
          </a:xfrm>
          <a:prstGeom prst="line">
            <a:avLst/>
          </a:prstGeom>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40</xdr:col>
      <xdr:colOff>80960</xdr:colOff>
      <xdr:row>621</xdr:row>
      <xdr:rowOff>80963</xdr:rowOff>
    </xdr:from>
    <xdr:to>
      <xdr:col>47</xdr:col>
      <xdr:colOff>61913</xdr:colOff>
      <xdr:row>629</xdr:row>
      <xdr:rowOff>66676</xdr:rowOff>
    </xdr:to>
    <xdr:grpSp>
      <xdr:nvGrpSpPr>
        <xdr:cNvPr id="1447" name="Group 1446">
          <a:extLst>
            <a:ext uri="{FF2B5EF4-FFF2-40B4-BE49-F238E27FC236}">
              <a16:creationId xmlns:a16="http://schemas.microsoft.com/office/drawing/2014/main" id="{D4A6950E-F1B2-45B1-8740-DCAFD88BCF77}"/>
            </a:ext>
          </a:extLst>
        </xdr:cNvPr>
        <xdr:cNvGrpSpPr/>
      </xdr:nvGrpSpPr>
      <xdr:grpSpPr>
        <a:xfrm>
          <a:off x="6557960" y="90549413"/>
          <a:ext cx="1114428" cy="1128713"/>
          <a:chOff x="7853360" y="25703213"/>
          <a:chExt cx="1114428" cy="1128713"/>
        </a:xfrm>
      </xdr:grpSpPr>
      <xdr:grpSp>
        <xdr:nvGrpSpPr>
          <xdr:cNvPr id="1448" name="Group 1447">
            <a:extLst>
              <a:ext uri="{FF2B5EF4-FFF2-40B4-BE49-F238E27FC236}">
                <a16:creationId xmlns:a16="http://schemas.microsoft.com/office/drawing/2014/main" id="{48BA53E8-B829-1DFA-2662-F0575C0667E3}"/>
              </a:ext>
            </a:extLst>
          </xdr:cNvPr>
          <xdr:cNvGrpSpPr/>
        </xdr:nvGrpSpPr>
        <xdr:grpSpPr>
          <a:xfrm>
            <a:off x="8253413" y="25765125"/>
            <a:ext cx="647700" cy="709613"/>
            <a:chOff x="8253413" y="25765125"/>
            <a:chExt cx="647700" cy="709613"/>
          </a:xfrm>
        </xdr:grpSpPr>
        <xdr:sp macro="" textlink="">
          <xdr:nvSpPr>
            <xdr:cNvPr id="1462" name="Rectangle: Rounded Corners 1461">
              <a:extLst>
                <a:ext uri="{FF2B5EF4-FFF2-40B4-BE49-F238E27FC236}">
                  <a16:creationId xmlns:a16="http://schemas.microsoft.com/office/drawing/2014/main" id="{4839B2E2-6BEF-5B0B-2079-E341D7281E41}"/>
                </a:ext>
              </a:extLst>
            </xdr:cNvPr>
            <xdr:cNvSpPr/>
          </xdr:nvSpPr>
          <xdr:spPr>
            <a:xfrm>
              <a:off x="8253413" y="25765125"/>
              <a:ext cx="647700" cy="709613"/>
            </a:xfrm>
            <a:prstGeom prst="round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kern="1200"/>
            </a:p>
          </xdr:txBody>
        </xdr:sp>
        <xdr:sp macro="" textlink="">
          <xdr:nvSpPr>
            <xdr:cNvPr id="1463" name="Rectangle: Rounded Corners 1462">
              <a:extLst>
                <a:ext uri="{FF2B5EF4-FFF2-40B4-BE49-F238E27FC236}">
                  <a16:creationId xmlns:a16="http://schemas.microsoft.com/office/drawing/2014/main" id="{48AF0ECC-9243-7BDC-D851-5D53A0C3BBA4}"/>
                </a:ext>
              </a:extLst>
            </xdr:cNvPr>
            <xdr:cNvSpPr/>
          </xdr:nvSpPr>
          <xdr:spPr>
            <a:xfrm>
              <a:off x="8323381" y="25841327"/>
              <a:ext cx="517288" cy="566736"/>
            </a:xfrm>
            <a:prstGeom prst="roundRect">
              <a:avLst/>
            </a:prstGeom>
            <a:solidFill>
              <a:schemeClr val="bg1"/>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kern="1200"/>
            </a:p>
          </xdr:txBody>
        </xdr:sp>
      </xdr:grpSp>
      <xdr:cxnSp macro="">
        <xdr:nvCxnSpPr>
          <xdr:cNvPr id="1449" name="Straight Connector 1448">
            <a:extLst>
              <a:ext uri="{FF2B5EF4-FFF2-40B4-BE49-F238E27FC236}">
                <a16:creationId xmlns:a16="http://schemas.microsoft.com/office/drawing/2014/main" id="{21A4FF85-BA27-78AC-45CE-55FD2F9549C1}"/>
              </a:ext>
            </a:extLst>
          </xdr:cNvPr>
          <xdr:cNvCxnSpPr/>
        </xdr:nvCxnSpPr>
        <xdr:spPr>
          <a:xfrm>
            <a:off x="7853363" y="25765127"/>
            <a:ext cx="428624"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450" name="Straight Connector 1449">
            <a:extLst>
              <a:ext uri="{FF2B5EF4-FFF2-40B4-BE49-F238E27FC236}">
                <a16:creationId xmlns:a16="http://schemas.microsoft.com/office/drawing/2014/main" id="{0132DF7B-CCCA-86D1-160B-102C5038BF23}"/>
              </a:ext>
            </a:extLst>
          </xdr:cNvPr>
          <xdr:cNvCxnSpPr/>
        </xdr:nvCxnSpPr>
        <xdr:spPr>
          <a:xfrm>
            <a:off x="7934325" y="25703213"/>
            <a:ext cx="0" cy="83343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451" name="Straight Connector 1450">
            <a:extLst>
              <a:ext uri="{FF2B5EF4-FFF2-40B4-BE49-F238E27FC236}">
                <a16:creationId xmlns:a16="http://schemas.microsoft.com/office/drawing/2014/main" id="{D035FF91-9164-C16D-196E-59D0EC098249}"/>
              </a:ext>
            </a:extLst>
          </xdr:cNvPr>
          <xdr:cNvCxnSpPr/>
        </xdr:nvCxnSpPr>
        <xdr:spPr>
          <a:xfrm flipH="1">
            <a:off x="7896225" y="25731787"/>
            <a:ext cx="71438" cy="7143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452" name="Straight Connector 1451">
            <a:extLst>
              <a:ext uri="{FF2B5EF4-FFF2-40B4-BE49-F238E27FC236}">
                <a16:creationId xmlns:a16="http://schemas.microsoft.com/office/drawing/2014/main" id="{3F7C8739-E5A7-6C69-EC8D-15333BFDDEAD}"/>
              </a:ext>
            </a:extLst>
          </xdr:cNvPr>
          <xdr:cNvCxnSpPr/>
        </xdr:nvCxnSpPr>
        <xdr:spPr>
          <a:xfrm>
            <a:off x="7853360" y="26479506"/>
            <a:ext cx="428624"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453" name="Straight Connector 1452">
            <a:extLst>
              <a:ext uri="{FF2B5EF4-FFF2-40B4-BE49-F238E27FC236}">
                <a16:creationId xmlns:a16="http://schemas.microsoft.com/office/drawing/2014/main" id="{7BAB968F-E7D7-29E0-E70C-63C52DEEA9DA}"/>
              </a:ext>
            </a:extLst>
          </xdr:cNvPr>
          <xdr:cNvCxnSpPr/>
        </xdr:nvCxnSpPr>
        <xdr:spPr>
          <a:xfrm flipH="1">
            <a:off x="7896222" y="26446166"/>
            <a:ext cx="71438" cy="7143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454" name="Straight Connector 1453">
            <a:extLst>
              <a:ext uri="{FF2B5EF4-FFF2-40B4-BE49-F238E27FC236}">
                <a16:creationId xmlns:a16="http://schemas.microsoft.com/office/drawing/2014/main" id="{0BA4D1CB-31C5-7E37-57EA-3B9D987A6394}"/>
              </a:ext>
            </a:extLst>
          </xdr:cNvPr>
          <xdr:cNvCxnSpPr/>
        </xdr:nvCxnSpPr>
        <xdr:spPr>
          <a:xfrm>
            <a:off x="8258175" y="26441400"/>
            <a:ext cx="0" cy="3905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455" name="Straight Connector 1454">
            <a:extLst>
              <a:ext uri="{FF2B5EF4-FFF2-40B4-BE49-F238E27FC236}">
                <a16:creationId xmlns:a16="http://schemas.microsoft.com/office/drawing/2014/main" id="{516F9768-12E1-EF69-0B9D-26D18289D1A1}"/>
              </a:ext>
            </a:extLst>
          </xdr:cNvPr>
          <xdr:cNvCxnSpPr/>
        </xdr:nvCxnSpPr>
        <xdr:spPr>
          <a:xfrm>
            <a:off x="8191501" y="26765250"/>
            <a:ext cx="776287"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456" name="Straight Connector 1455">
            <a:extLst>
              <a:ext uri="{FF2B5EF4-FFF2-40B4-BE49-F238E27FC236}">
                <a16:creationId xmlns:a16="http://schemas.microsoft.com/office/drawing/2014/main" id="{E0F7AA6E-D7A1-3FF8-C25D-D17BA06C1837}"/>
              </a:ext>
            </a:extLst>
          </xdr:cNvPr>
          <xdr:cNvCxnSpPr/>
        </xdr:nvCxnSpPr>
        <xdr:spPr>
          <a:xfrm flipH="1">
            <a:off x="8220075" y="26731912"/>
            <a:ext cx="71438" cy="7143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457" name="Straight Connector 1456">
            <a:extLst>
              <a:ext uri="{FF2B5EF4-FFF2-40B4-BE49-F238E27FC236}">
                <a16:creationId xmlns:a16="http://schemas.microsoft.com/office/drawing/2014/main" id="{638F05DE-9B3A-DA58-B2C4-CCEF2B7658B5}"/>
              </a:ext>
            </a:extLst>
          </xdr:cNvPr>
          <xdr:cNvCxnSpPr/>
        </xdr:nvCxnSpPr>
        <xdr:spPr>
          <a:xfrm>
            <a:off x="8905875" y="26441401"/>
            <a:ext cx="0" cy="3905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458" name="Straight Connector 1457">
            <a:extLst>
              <a:ext uri="{FF2B5EF4-FFF2-40B4-BE49-F238E27FC236}">
                <a16:creationId xmlns:a16="http://schemas.microsoft.com/office/drawing/2014/main" id="{AE3CB9F3-6BD5-FE1A-F5D8-51248A2BF297}"/>
              </a:ext>
            </a:extLst>
          </xdr:cNvPr>
          <xdr:cNvCxnSpPr/>
        </xdr:nvCxnSpPr>
        <xdr:spPr>
          <a:xfrm flipH="1">
            <a:off x="8867775" y="26731913"/>
            <a:ext cx="71438" cy="7143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459" name="Straight Connector 1458">
            <a:extLst>
              <a:ext uri="{FF2B5EF4-FFF2-40B4-BE49-F238E27FC236}">
                <a16:creationId xmlns:a16="http://schemas.microsoft.com/office/drawing/2014/main" id="{8FBDAAAD-CFC3-A85E-FB6A-D1D03666F55E}"/>
              </a:ext>
            </a:extLst>
          </xdr:cNvPr>
          <xdr:cNvCxnSpPr/>
        </xdr:nvCxnSpPr>
        <xdr:spPr>
          <a:xfrm>
            <a:off x="8791576" y="26098501"/>
            <a:ext cx="152400"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460" name="Straight Connector 1459">
            <a:extLst>
              <a:ext uri="{FF2B5EF4-FFF2-40B4-BE49-F238E27FC236}">
                <a16:creationId xmlns:a16="http://schemas.microsoft.com/office/drawing/2014/main" id="{EE5DFCCC-9FED-DB42-2ABE-18057C5C0025}"/>
              </a:ext>
            </a:extLst>
          </xdr:cNvPr>
          <xdr:cNvCxnSpPr/>
        </xdr:nvCxnSpPr>
        <xdr:spPr>
          <a:xfrm flipH="1">
            <a:off x="8801101" y="26065163"/>
            <a:ext cx="71438" cy="7143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461" name="Straight Connector 1460">
            <a:extLst>
              <a:ext uri="{FF2B5EF4-FFF2-40B4-BE49-F238E27FC236}">
                <a16:creationId xmlns:a16="http://schemas.microsoft.com/office/drawing/2014/main" id="{275183E1-6546-60C0-42DF-F04CBF311A95}"/>
              </a:ext>
            </a:extLst>
          </xdr:cNvPr>
          <xdr:cNvCxnSpPr/>
        </xdr:nvCxnSpPr>
        <xdr:spPr>
          <a:xfrm flipH="1">
            <a:off x="8863013" y="26065162"/>
            <a:ext cx="71438" cy="71438"/>
          </a:xfrm>
          <a:prstGeom prst="line">
            <a:avLst/>
          </a:prstGeom>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51</xdr:col>
      <xdr:colOff>80965</xdr:colOff>
      <xdr:row>621</xdr:row>
      <xdr:rowOff>80965</xdr:rowOff>
    </xdr:from>
    <xdr:to>
      <xdr:col>57</xdr:col>
      <xdr:colOff>114301</xdr:colOff>
      <xdr:row>627</xdr:row>
      <xdr:rowOff>57152</xdr:rowOff>
    </xdr:to>
    <xdr:grpSp>
      <xdr:nvGrpSpPr>
        <xdr:cNvPr id="1464" name="Group 1463">
          <a:extLst>
            <a:ext uri="{FF2B5EF4-FFF2-40B4-BE49-F238E27FC236}">
              <a16:creationId xmlns:a16="http://schemas.microsoft.com/office/drawing/2014/main" id="{74D53DAC-6670-482A-ACE8-75AECB6E7460}"/>
            </a:ext>
          </a:extLst>
        </xdr:cNvPr>
        <xdr:cNvGrpSpPr/>
      </xdr:nvGrpSpPr>
      <xdr:grpSpPr>
        <a:xfrm>
          <a:off x="8339140" y="90549415"/>
          <a:ext cx="1004886" cy="833437"/>
          <a:chOff x="9634540" y="25703215"/>
          <a:chExt cx="1004886" cy="833437"/>
        </a:xfrm>
      </xdr:grpSpPr>
      <xdr:grpSp>
        <xdr:nvGrpSpPr>
          <xdr:cNvPr id="1465" name="Group 1464">
            <a:extLst>
              <a:ext uri="{FF2B5EF4-FFF2-40B4-BE49-F238E27FC236}">
                <a16:creationId xmlns:a16="http://schemas.microsoft.com/office/drawing/2014/main" id="{E81AC050-1A74-5FB8-5E77-EEF60A630AD3}"/>
              </a:ext>
            </a:extLst>
          </xdr:cNvPr>
          <xdr:cNvGrpSpPr/>
        </xdr:nvGrpSpPr>
        <xdr:grpSpPr>
          <a:xfrm>
            <a:off x="9891722" y="25769890"/>
            <a:ext cx="704850" cy="704850"/>
            <a:chOff x="9667876" y="25741312"/>
            <a:chExt cx="704850" cy="704850"/>
          </a:xfrm>
        </xdr:grpSpPr>
        <xdr:sp macro="" textlink="">
          <xdr:nvSpPr>
            <xdr:cNvPr id="1474" name="Oval 1473">
              <a:extLst>
                <a:ext uri="{FF2B5EF4-FFF2-40B4-BE49-F238E27FC236}">
                  <a16:creationId xmlns:a16="http://schemas.microsoft.com/office/drawing/2014/main" id="{A5EC08D8-9D26-09E9-41A1-D49C422605D0}"/>
                </a:ext>
              </a:extLst>
            </xdr:cNvPr>
            <xdr:cNvSpPr/>
          </xdr:nvSpPr>
          <xdr:spPr>
            <a:xfrm>
              <a:off x="9667876" y="25741312"/>
              <a:ext cx="704850" cy="704850"/>
            </a:xfrm>
            <a:prstGeom prst="ellipse">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kern="1200"/>
            </a:p>
          </xdr:txBody>
        </xdr:sp>
        <xdr:sp macro="" textlink="">
          <xdr:nvSpPr>
            <xdr:cNvPr id="1475" name="Oval 1474">
              <a:extLst>
                <a:ext uri="{FF2B5EF4-FFF2-40B4-BE49-F238E27FC236}">
                  <a16:creationId xmlns:a16="http://schemas.microsoft.com/office/drawing/2014/main" id="{8266BFCE-973F-F248-5851-78D97BB033E5}"/>
                </a:ext>
              </a:extLst>
            </xdr:cNvPr>
            <xdr:cNvSpPr/>
          </xdr:nvSpPr>
          <xdr:spPr>
            <a:xfrm>
              <a:off x="9725023" y="25803223"/>
              <a:ext cx="590552" cy="590552"/>
            </a:xfrm>
            <a:prstGeom prst="ellipse">
              <a:avLst/>
            </a:prstGeom>
            <a:solidFill>
              <a:schemeClr val="bg1"/>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kern="1200"/>
            </a:p>
          </xdr:txBody>
        </xdr:sp>
      </xdr:grpSp>
      <xdr:cxnSp macro="">
        <xdr:nvCxnSpPr>
          <xdr:cNvPr id="1466" name="Straight Connector 1465">
            <a:extLst>
              <a:ext uri="{FF2B5EF4-FFF2-40B4-BE49-F238E27FC236}">
                <a16:creationId xmlns:a16="http://schemas.microsoft.com/office/drawing/2014/main" id="{011895A3-D486-E648-D52F-5BDEC07B7846}"/>
              </a:ext>
            </a:extLst>
          </xdr:cNvPr>
          <xdr:cNvCxnSpPr/>
        </xdr:nvCxnSpPr>
        <xdr:spPr>
          <a:xfrm>
            <a:off x="10487026" y="26122322"/>
            <a:ext cx="152400"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467" name="Straight Connector 1466">
            <a:extLst>
              <a:ext uri="{FF2B5EF4-FFF2-40B4-BE49-F238E27FC236}">
                <a16:creationId xmlns:a16="http://schemas.microsoft.com/office/drawing/2014/main" id="{1F4823CA-81EB-B2B2-D812-83FCA1A5E693}"/>
              </a:ext>
            </a:extLst>
          </xdr:cNvPr>
          <xdr:cNvCxnSpPr/>
        </xdr:nvCxnSpPr>
        <xdr:spPr>
          <a:xfrm flipH="1">
            <a:off x="10496551" y="26088984"/>
            <a:ext cx="71438" cy="7143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468" name="Straight Connector 1467">
            <a:extLst>
              <a:ext uri="{FF2B5EF4-FFF2-40B4-BE49-F238E27FC236}">
                <a16:creationId xmlns:a16="http://schemas.microsoft.com/office/drawing/2014/main" id="{867D37EE-C58B-676C-61D7-D68CCE377881}"/>
              </a:ext>
            </a:extLst>
          </xdr:cNvPr>
          <xdr:cNvCxnSpPr/>
        </xdr:nvCxnSpPr>
        <xdr:spPr>
          <a:xfrm flipH="1">
            <a:off x="10558463" y="26088983"/>
            <a:ext cx="71438" cy="7143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469" name="Straight Connector 1468">
            <a:extLst>
              <a:ext uri="{FF2B5EF4-FFF2-40B4-BE49-F238E27FC236}">
                <a16:creationId xmlns:a16="http://schemas.microsoft.com/office/drawing/2014/main" id="{6FEB3382-9E55-98AC-2B08-D5A48E47B29D}"/>
              </a:ext>
            </a:extLst>
          </xdr:cNvPr>
          <xdr:cNvCxnSpPr/>
        </xdr:nvCxnSpPr>
        <xdr:spPr>
          <a:xfrm>
            <a:off x="9634543" y="25765129"/>
            <a:ext cx="428624"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470" name="Straight Connector 1469">
            <a:extLst>
              <a:ext uri="{FF2B5EF4-FFF2-40B4-BE49-F238E27FC236}">
                <a16:creationId xmlns:a16="http://schemas.microsoft.com/office/drawing/2014/main" id="{50AD6997-A1D2-2C28-FF8B-3C622ACE8C6D}"/>
              </a:ext>
            </a:extLst>
          </xdr:cNvPr>
          <xdr:cNvCxnSpPr/>
        </xdr:nvCxnSpPr>
        <xdr:spPr>
          <a:xfrm>
            <a:off x="9715505" y="25703215"/>
            <a:ext cx="0" cy="83343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471" name="Straight Connector 1470">
            <a:extLst>
              <a:ext uri="{FF2B5EF4-FFF2-40B4-BE49-F238E27FC236}">
                <a16:creationId xmlns:a16="http://schemas.microsoft.com/office/drawing/2014/main" id="{A70F15A0-2C81-8EF8-0353-54D48568AFB8}"/>
              </a:ext>
            </a:extLst>
          </xdr:cNvPr>
          <xdr:cNvCxnSpPr/>
        </xdr:nvCxnSpPr>
        <xdr:spPr>
          <a:xfrm flipH="1">
            <a:off x="9677405" y="25731789"/>
            <a:ext cx="71438" cy="7143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472" name="Straight Connector 1471">
            <a:extLst>
              <a:ext uri="{FF2B5EF4-FFF2-40B4-BE49-F238E27FC236}">
                <a16:creationId xmlns:a16="http://schemas.microsoft.com/office/drawing/2014/main" id="{6CD58610-C741-B6C0-1A31-81745EB919A7}"/>
              </a:ext>
            </a:extLst>
          </xdr:cNvPr>
          <xdr:cNvCxnSpPr/>
        </xdr:nvCxnSpPr>
        <xdr:spPr>
          <a:xfrm>
            <a:off x="9634540" y="26479508"/>
            <a:ext cx="428624"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473" name="Straight Connector 1472">
            <a:extLst>
              <a:ext uri="{FF2B5EF4-FFF2-40B4-BE49-F238E27FC236}">
                <a16:creationId xmlns:a16="http://schemas.microsoft.com/office/drawing/2014/main" id="{03208530-FB05-D32C-21E6-0ED3000829D1}"/>
              </a:ext>
            </a:extLst>
          </xdr:cNvPr>
          <xdr:cNvCxnSpPr/>
        </xdr:nvCxnSpPr>
        <xdr:spPr>
          <a:xfrm flipH="1">
            <a:off x="9677402" y="26446168"/>
            <a:ext cx="71438" cy="71438"/>
          </a:xfrm>
          <a:prstGeom prst="line">
            <a:avLst/>
          </a:prstGeom>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38</xdr:col>
      <xdr:colOff>0</xdr:colOff>
      <xdr:row>639</xdr:row>
      <xdr:rowOff>139700</xdr:rowOff>
    </xdr:from>
    <xdr:to>
      <xdr:col>66</xdr:col>
      <xdr:colOff>71438</xdr:colOff>
      <xdr:row>648</xdr:row>
      <xdr:rowOff>80963</xdr:rowOff>
    </xdr:to>
    <xdr:grpSp>
      <xdr:nvGrpSpPr>
        <xdr:cNvPr id="1476" name="Group 1475">
          <a:extLst>
            <a:ext uri="{FF2B5EF4-FFF2-40B4-BE49-F238E27FC236}">
              <a16:creationId xmlns:a16="http://schemas.microsoft.com/office/drawing/2014/main" id="{90E7648F-7D39-4049-85F1-3B4788CA7459}"/>
            </a:ext>
          </a:extLst>
        </xdr:cNvPr>
        <xdr:cNvGrpSpPr/>
      </xdr:nvGrpSpPr>
      <xdr:grpSpPr>
        <a:xfrm>
          <a:off x="6153150" y="93179900"/>
          <a:ext cx="4605338" cy="1227138"/>
          <a:chOff x="6153150" y="10379075"/>
          <a:chExt cx="4605338" cy="1227138"/>
        </a:xfrm>
      </xdr:grpSpPr>
      <xdr:cxnSp macro="">
        <xdr:nvCxnSpPr>
          <xdr:cNvPr id="1477" name="Straight Connector 1476">
            <a:extLst>
              <a:ext uri="{FF2B5EF4-FFF2-40B4-BE49-F238E27FC236}">
                <a16:creationId xmlns:a16="http://schemas.microsoft.com/office/drawing/2014/main" id="{27F234F3-FDFF-49C5-C104-5B9122D33DCC}"/>
              </a:ext>
            </a:extLst>
          </xdr:cNvPr>
          <xdr:cNvCxnSpPr/>
        </xdr:nvCxnSpPr>
        <xdr:spPr>
          <a:xfrm>
            <a:off x="6272213" y="11096625"/>
            <a:ext cx="3981450" cy="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478" name="Straight Connector 1477">
            <a:extLst>
              <a:ext uri="{FF2B5EF4-FFF2-40B4-BE49-F238E27FC236}">
                <a16:creationId xmlns:a16="http://schemas.microsoft.com/office/drawing/2014/main" id="{2F8A2BA1-5B02-CDB3-6713-60AC2D6077DC}"/>
              </a:ext>
            </a:extLst>
          </xdr:cNvPr>
          <xdr:cNvCxnSpPr/>
        </xdr:nvCxnSpPr>
        <xdr:spPr>
          <a:xfrm flipV="1">
            <a:off x="7610486" y="10668000"/>
            <a:ext cx="0" cy="428625"/>
          </a:xfrm>
          <a:prstGeom prst="line">
            <a:avLst/>
          </a:prstGeom>
          <a:noFill/>
          <a:ln w="6350">
            <a:prstDash val="dash"/>
          </a:ln>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1479" name="Straight Connector 1478">
            <a:extLst>
              <a:ext uri="{FF2B5EF4-FFF2-40B4-BE49-F238E27FC236}">
                <a16:creationId xmlns:a16="http://schemas.microsoft.com/office/drawing/2014/main" id="{A756F75F-DC73-6E69-A9B7-93FFE9CA55F6}"/>
              </a:ext>
            </a:extLst>
          </xdr:cNvPr>
          <xdr:cNvCxnSpPr/>
        </xdr:nvCxnSpPr>
        <xdr:spPr>
          <a:xfrm flipV="1">
            <a:off x="8905885" y="10668000"/>
            <a:ext cx="0" cy="423862"/>
          </a:xfrm>
          <a:prstGeom prst="line">
            <a:avLst/>
          </a:prstGeom>
          <a:noFill/>
          <a:ln w="6350">
            <a:prstDash val="dash"/>
          </a:ln>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1480" name="Straight Connector 1479">
            <a:extLst>
              <a:ext uri="{FF2B5EF4-FFF2-40B4-BE49-F238E27FC236}">
                <a16:creationId xmlns:a16="http://schemas.microsoft.com/office/drawing/2014/main" id="{EA5C0129-810C-98C2-5543-E3E03E2B79F5}"/>
              </a:ext>
            </a:extLst>
          </xdr:cNvPr>
          <xdr:cNvCxnSpPr/>
        </xdr:nvCxnSpPr>
        <xdr:spPr>
          <a:xfrm flipV="1">
            <a:off x="6724650" y="10663238"/>
            <a:ext cx="0" cy="428627"/>
          </a:xfrm>
          <a:prstGeom prst="line">
            <a:avLst/>
          </a:prstGeom>
          <a:noFill/>
          <a:ln w="6350">
            <a:prstDash val="dash"/>
          </a:ln>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1481" name="Straight Connector 1480">
            <a:extLst>
              <a:ext uri="{FF2B5EF4-FFF2-40B4-BE49-F238E27FC236}">
                <a16:creationId xmlns:a16="http://schemas.microsoft.com/office/drawing/2014/main" id="{BFE992F4-A296-1516-95E0-DF936D52204B}"/>
              </a:ext>
            </a:extLst>
          </xdr:cNvPr>
          <xdr:cNvCxnSpPr/>
        </xdr:nvCxnSpPr>
        <xdr:spPr>
          <a:xfrm flipV="1">
            <a:off x="7196145" y="10672763"/>
            <a:ext cx="0" cy="419102"/>
          </a:xfrm>
          <a:prstGeom prst="line">
            <a:avLst/>
          </a:prstGeom>
          <a:noFill/>
          <a:ln w="6350">
            <a:prstDash val="dash"/>
          </a:ln>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1482" name="Straight Connector 1481">
            <a:extLst>
              <a:ext uri="{FF2B5EF4-FFF2-40B4-BE49-F238E27FC236}">
                <a16:creationId xmlns:a16="http://schemas.microsoft.com/office/drawing/2014/main" id="{D9FA34A4-53DC-61E6-9CEB-3293C233DEE3}"/>
              </a:ext>
            </a:extLst>
          </xdr:cNvPr>
          <xdr:cNvCxnSpPr/>
        </xdr:nvCxnSpPr>
        <xdr:spPr>
          <a:xfrm flipV="1">
            <a:off x="9791710" y="10663238"/>
            <a:ext cx="0" cy="428626"/>
          </a:xfrm>
          <a:prstGeom prst="line">
            <a:avLst/>
          </a:prstGeom>
          <a:noFill/>
          <a:ln w="6350">
            <a:prstDash val="dash"/>
          </a:ln>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1483" name="Straight Connector 1482">
            <a:extLst>
              <a:ext uri="{FF2B5EF4-FFF2-40B4-BE49-F238E27FC236}">
                <a16:creationId xmlns:a16="http://schemas.microsoft.com/office/drawing/2014/main" id="{2B753490-B582-2D1B-3D6E-7BCF78109A33}"/>
              </a:ext>
            </a:extLst>
          </xdr:cNvPr>
          <xdr:cNvCxnSpPr/>
        </xdr:nvCxnSpPr>
        <xdr:spPr>
          <a:xfrm flipV="1">
            <a:off x="9334518" y="10668000"/>
            <a:ext cx="0" cy="423865"/>
          </a:xfrm>
          <a:prstGeom prst="line">
            <a:avLst/>
          </a:prstGeom>
          <a:noFill/>
          <a:ln w="6350">
            <a:prstDash val="dash"/>
          </a:ln>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1484" name="Straight Connector 1483">
            <a:extLst>
              <a:ext uri="{FF2B5EF4-FFF2-40B4-BE49-F238E27FC236}">
                <a16:creationId xmlns:a16="http://schemas.microsoft.com/office/drawing/2014/main" id="{06EE9E96-2528-1A04-A4DB-1EEEAF5F84BD}"/>
              </a:ext>
            </a:extLst>
          </xdr:cNvPr>
          <xdr:cNvCxnSpPr/>
        </xdr:nvCxnSpPr>
        <xdr:spPr>
          <a:xfrm flipV="1">
            <a:off x="8258185" y="10672763"/>
            <a:ext cx="0" cy="419101"/>
          </a:xfrm>
          <a:prstGeom prst="line">
            <a:avLst/>
          </a:prstGeom>
          <a:noFill/>
          <a:ln w="6350">
            <a:prstDash val="dash"/>
          </a:ln>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1485" name="Straight Connector 1484">
            <a:extLst>
              <a:ext uri="{FF2B5EF4-FFF2-40B4-BE49-F238E27FC236}">
                <a16:creationId xmlns:a16="http://schemas.microsoft.com/office/drawing/2014/main" id="{A8AC024F-B450-94EB-1BA1-5896EAAF7A57}"/>
              </a:ext>
            </a:extLst>
          </xdr:cNvPr>
          <xdr:cNvCxnSpPr/>
        </xdr:nvCxnSpPr>
        <xdr:spPr>
          <a:xfrm flipV="1">
            <a:off x="6315075" y="10668000"/>
            <a:ext cx="409575" cy="428626"/>
          </a:xfrm>
          <a:prstGeom prst="line">
            <a:avLst/>
          </a:prstGeom>
          <a:noFill/>
          <a:ln w="6350">
            <a:prstDash val="dash"/>
          </a:ln>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1486" name="Straight Connector 1485">
            <a:extLst>
              <a:ext uri="{FF2B5EF4-FFF2-40B4-BE49-F238E27FC236}">
                <a16:creationId xmlns:a16="http://schemas.microsoft.com/office/drawing/2014/main" id="{F7A9A6BA-9E70-2A29-B981-02705534223B}"/>
              </a:ext>
            </a:extLst>
          </xdr:cNvPr>
          <xdr:cNvCxnSpPr/>
        </xdr:nvCxnSpPr>
        <xdr:spPr>
          <a:xfrm>
            <a:off x="6724650" y="10667999"/>
            <a:ext cx="3067050" cy="0"/>
          </a:xfrm>
          <a:prstGeom prst="line">
            <a:avLst/>
          </a:prstGeom>
          <a:noFill/>
          <a:ln w="6350">
            <a:prstDash val="dash"/>
          </a:ln>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1487" name="Straight Connector 1486">
            <a:extLst>
              <a:ext uri="{FF2B5EF4-FFF2-40B4-BE49-F238E27FC236}">
                <a16:creationId xmlns:a16="http://schemas.microsoft.com/office/drawing/2014/main" id="{DACE4D19-D9CB-6357-2765-EA13E09B9BF4}"/>
              </a:ext>
            </a:extLst>
          </xdr:cNvPr>
          <xdr:cNvCxnSpPr/>
        </xdr:nvCxnSpPr>
        <xdr:spPr>
          <a:xfrm>
            <a:off x="9791700" y="10668000"/>
            <a:ext cx="409575" cy="423863"/>
          </a:xfrm>
          <a:prstGeom prst="line">
            <a:avLst/>
          </a:prstGeom>
          <a:noFill/>
          <a:ln w="6350">
            <a:prstDash val="dash"/>
          </a:ln>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1488" name="Straight Connector 1487">
            <a:extLst>
              <a:ext uri="{FF2B5EF4-FFF2-40B4-BE49-F238E27FC236}">
                <a16:creationId xmlns:a16="http://schemas.microsoft.com/office/drawing/2014/main" id="{395C6C32-1113-F644-517E-CE6A57676727}"/>
              </a:ext>
            </a:extLst>
          </xdr:cNvPr>
          <xdr:cNvCxnSpPr/>
        </xdr:nvCxnSpPr>
        <xdr:spPr>
          <a:xfrm flipV="1">
            <a:off x="7607300" y="10668000"/>
            <a:ext cx="655638" cy="434975"/>
          </a:xfrm>
          <a:prstGeom prst="line">
            <a:avLst/>
          </a:prstGeom>
          <a:noFill/>
          <a:ln w="6350">
            <a:prstDash val="dash"/>
          </a:ln>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1489" name="Straight Connector 1488">
            <a:extLst>
              <a:ext uri="{FF2B5EF4-FFF2-40B4-BE49-F238E27FC236}">
                <a16:creationId xmlns:a16="http://schemas.microsoft.com/office/drawing/2014/main" id="{665DF8E5-4FBC-E77A-3AD0-11006AC72075}"/>
              </a:ext>
            </a:extLst>
          </xdr:cNvPr>
          <xdr:cNvCxnSpPr/>
        </xdr:nvCxnSpPr>
        <xdr:spPr>
          <a:xfrm flipV="1">
            <a:off x="7200900" y="10668000"/>
            <a:ext cx="414338" cy="423862"/>
          </a:xfrm>
          <a:prstGeom prst="line">
            <a:avLst/>
          </a:prstGeom>
          <a:noFill/>
          <a:ln w="6350">
            <a:prstDash val="dash"/>
          </a:ln>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1490" name="Straight Connector 1489">
            <a:extLst>
              <a:ext uri="{FF2B5EF4-FFF2-40B4-BE49-F238E27FC236}">
                <a16:creationId xmlns:a16="http://schemas.microsoft.com/office/drawing/2014/main" id="{68066E16-69C7-0B77-C4CD-EB18749A8B4A}"/>
              </a:ext>
            </a:extLst>
          </xdr:cNvPr>
          <xdr:cNvCxnSpPr/>
        </xdr:nvCxnSpPr>
        <xdr:spPr>
          <a:xfrm flipV="1">
            <a:off x="6724651" y="10668000"/>
            <a:ext cx="471487" cy="428625"/>
          </a:xfrm>
          <a:prstGeom prst="line">
            <a:avLst/>
          </a:prstGeom>
          <a:noFill/>
          <a:ln w="6350">
            <a:prstDash val="dash"/>
          </a:ln>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1491" name="Straight Connector 1490">
            <a:extLst>
              <a:ext uri="{FF2B5EF4-FFF2-40B4-BE49-F238E27FC236}">
                <a16:creationId xmlns:a16="http://schemas.microsoft.com/office/drawing/2014/main" id="{2CCDB2DE-DA8B-A31D-5DA0-40B1745AD396}"/>
              </a:ext>
            </a:extLst>
          </xdr:cNvPr>
          <xdr:cNvCxnSpPr/>
        </xdr:nvCxnSpPr>
        <xdr:spPr>
          <a:xfrm flipH="1" flipV="1">
            <a:off x="8258175" y="10668000"/>
            <a:ext cx="647701" cy="428626"/>
          </a:xfrm>
          <a:prstGeom prst="line">
            <a:avLst/>
          </a:prstGeom>
          <a:noFill/>
          <a:ln w="6350">
            <a:prstDash val="dash"/>
          </a:ln>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1492" name="Straight Connector 1491">
            <a:extLst>
              <a:ext uri="{FF2B5EF4-FFF2-40B4-BE49-F238E27FC236}">
                <a16:creationId xmlns:a16="http://schemas.microsoft.com/office/drawing/2014/main" id="{275601E2-D57F-4463-935F-3F8351469B62}"/>
              </a:ext>
            </a:extLst>
          </xdr:cNvPr>
          <xdr:cNvCxnSpPr/>
        </xdr:nvCxnSpPr>
        <xdr:spPr>
          <a:xfrm flipH="1" flipV="1">
            <a:off x="8905875" y="10672763"/>
            <a:ext cx="428627" cy="423863"/>
          </a:xfrm>
          <a:prstGeom prst="line">
            <a:avLst/>
          </a:prstGeom>
          <a:noFill/>
          <a:ln w="6350">
            <a:prstDash val="dash"/>
          </a:ln>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1493" name="Straight Connector 1492">
            <a:extLst>
              <a:ext uri="{FF2B5EF4-FFF2-40B4-BE49-F238E27FC236}">
                <a16:creationId xmlns:a16="http://schemas.microsoft.com/office/drawing/2014/main" id="{EFF7373B-92F7-6DBD-8118-F5548384C313}"/>
              </a:ext>
            </a:extLst>
          </xdr:cNvPr>
          <xdr:cNvCxnSpPr/>
        </xdr:nvCxnSpPr>
        <xdr:spPr>
          <a:xfrm flipH="1" flipV="1">
            <a:off x="9339263" y="10672763"/>
            <a:ext cx="452439" cy="428625"/>
          </a:xfrm>
          <a:prstGeom prst="line">
            <a:avLst/>
          </a:prstGeom>
          <a:noFill/>
          <a:ln w="6350">
            <a:prstDash val="dash"/>
          </a:ln>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1494" name="Straight Connector 1493">
            <a:extLst>
              <a:ext uri="{FF2B5EF4-FFF2-40B4-BE49-F238E27FC236}">
                <a16:creationId xmlns:a16="http://schemas.microsoft.com/office/drawing/2014/main" id="{EA798950-CCF7-63B3-DA88-417CA142119D}"/>
              </a:ext>
            </a:extLst>
          </xdr:cNvPr>
          <xdr:cNvCxnSpPr/>
        </xdr:nvCxnSpPr>
        <xdr:spPr>
          <a:xfrm>
            <a:off x="6232525" y="11196642"/>
            <a:ext cx="406082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nvGrpSpPr>
          <xdr:cNvPr id="1495" name="Group 1494">
            <a:extLst>
              <a:ext uri="{FF2B5EF4-FFF2-40B4-BE49-F238E27FC236}">
                <a16:creationId xmlns:a16="http://schemas.microsoft.com/office/drawing/2014/main" id="{0EB9E0CB-21A3-21E7-F1AC-3FD0EA6F55BF}"/>
              </a:ext>
            </a:extLst>
          </xdr:cNvPr>
          <xdr:cNvGrpSpPr/>
        </xdr:nvGrpSpPr>
        <xdr:grpSpPr>
          <a:xfrm>
            <a:off x="8875713" y="11098213"/>
            <a:ext cx="49212" cy="92074"/>
            <a:chOff x="8320088" y="10028238"/>
            <a:chExt cx="49212" cy="92074"/>
          </a:xfrm>
        </xdr:grpSpPr>
        <xdr:cxnSp macro="">
          <xdr:nvCxnSpPr>
            <xdr:cNvPr id="1558" name="Straight Connector 1557">
              <a:extLst>
                <a:ext uri="{FF2B5EF4-FFF2-40B4-BE49-F238E27FC236}">
                  <a16:creationId xmlns:a16="http://schemas.microsoft.com/office/drawing/2014/main" id="{515F380D-6992-E524-B2C3-E37CB0A94FB7}"/>
                </a:ext>
              </a:extLst>
            </xdr:cNvPr>
            <xdr:cNvCxnSpPr/>
          </xdr:nvCxnSpPr>
          <xdr:spPr>
            <a:xfrm>
              <a:off x="8345488" y="10028238"/>
              <a:ext cx="0" cy="90487"/>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559" name="Straight Connector 1558">
              <a:extLst>
                <a:ext uri="{FF2B5EF4-FFF2-40B4-BE49-F238E27FC236}">
                  <a16:creationId xmlns:a16="http://schemas.microsoft.com/office/drawing/2014/main" id="{E9F497F5-499A-D59B-C241-1A4E6BF7B7A2}"/>
                </a:ext>
              </a:extLst>
            </xdr:cNvPr>
            <xdr:cNvCxnSpPr/>
          </xdr:nvCxnSpPr>
          <xdr:spPr>
            <a:xfrm>
              <a:off x="8320088" y="10034587"/>
              <a:ext cx="49212" cy="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560" name="Straight Connector 1559">
              <a:extLst>
                <a:ext uri="{FF2B5EF4-FFF2-40B4-BE49-F238E27FC236}">
                  <a16:creationId xmlns:a16="http://schemas.microsoft.com/office/drawing/2014/main" id="{62AA4267-BFFD-9967-B835-A67B6D27719A}"/>
                </a:ext>
              </a:extLst>
            </xdr:cNvPr>
            <xdr:cNvCxnSpPr/>
          </xdr:nvCxnSpPr>
          <xdr:spPr>
            <a:xfrm>
              <a:off x="8320088" y="10120312"/>
              <a:ext cx="49212" cy="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nvGrpSpPr>
          <xdr:cNvPr id="1496" name="Group 1495">
            <a:extLst>
              <a:ext uri="{FF2B5EF4-FFF2-40B4-BE49-F238E27FC236}">
                <a16:creationId xmlns:a16="http://schemas.microsoft.com/office/drawing/2014/main" id="{BDE3E1EF-A189-FC6C-EA22-4676D7B727BF}"/>
              </a:ext>
            </a:extLst>
          </xdr:cNvPr>
          <xdr:cNvGrpSpPr/>
        </xdr:nvGrpSpPr>
        <xdr:grpSpPr>
          <a:xfrm>
            <a:off x="7172325" y="11096625"/>
            <a:ext cx="49212" cy="92074"/>
            <a:chOff x="8320088" y="10028238"/>
            <a:chExt cx="49212" cy="92074"/>
          </a:xfrm>
        </xdr:grpSpPr>
        <xdr:cxnSp macro="">
          <xdr:nvCxnSpPr>
            <xdr:cNvPr id="1555" name="Straight Connector 1554">
              <a:extLst>
                <a:ext uri="{FF2B5EF4-FFF2-40B4-BE49-F238E27FC236}">
                  <a16:creationId xmlns:a16="http://schemas.microsoft.com/office/drawing/2014/main" id="{7CF9BC4C-56DE-5F6C-A880-38B5EE0650EB}"/>
                </a:ext>
              </a:extLst>
            </xdr:cNvPr>
            <xdr:cNvCxnSpPr/>
          </xdr:nvCxnSpPr>
          <xdr:spPr>
            <a:xfrm>
              <a:off x="8345488" y="10028238"/>
              <a:ext cx="0" cy="90487"/>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556" name="Straight Connector 1555">
              <a:extLst>
                <a:ext uri="{FF2B5EF4-FFF2-40B4-BE49-F238E27FC236}">
                  <a16:creationId xmlns:a16="http://schemas.microsoft.com/office/drawing/2014/main" id="{57C431CE-BF9B-DF55-9CEF-96DC542EB0AA}"/>
                </a:ext>
              </a:extLst>
            </xdr:cNvPr>
            <xdr:cNvCxnSpPr/>
          </xdr:nvCxnSpPr>
          <xdr:spPr>
            <a:xfrm>
              <a:off x="8320088" y="10034587"/>
              <a:ext cx="49212" cy="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557" name="Straight Connector 1556">
              <a:extLst>
                <a:ext uri="{FF2B5EF4-FFF2-40B4-BE49-F238E27FC236}">
                  <a16:creationId xmlns:a16="http://schemas.microsoft.com/office/drawing/2014/main" id="{3964DF35-4413-9E39-FCCB-8CFB1DACAE70}"/>
                </a:ext>
              </a:extLst>
            </xdr:cNvPr>
            <xdr:cNvCxnSpPr/>
          </xdr:nvCxnSpPr>
          <xdr:spPr>
            <a:xfrm>
              <a:off x="8320088" y="10120312"/>
              <a:ext cx="49212" cy="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nvGrpSpPr>
          <xdr:cNvPr id="1497" name="Group 1496">
            <a:extLst>
              <a:ext uri="{FF2B5EF4-FFF2-40B4-BE49-F238E27FC236}">
                <a16:creationId xmlns:a16="http://schemas.microsoft.com/office/drawing/2014/main" id="{843A99EB-0C1A-1281-A7C4-71360201F2F2}"/>
              </a:ext>
            </a:extLst>
          </xdr:cNvPr>
          <xdr:cNvGrpSpPr/>
        </xdr:nvGrpSpPr>
        <xdr:grpSpPr>
          <a:xfrm>
            <a:off x="6696075" y="11096625"/>
            <a:ext cx="49212" cy="92074"/>
            <a:chOff x="8320088" y="10028238"/>
            <a:chExt cx="49212" cy="92074"/>
          </a:xfrm>
        </xdr:grpSpPr>
        <xdr:cxnSp macro="">
          <xdr:nvCxnSpPr>
            <xdr:cNvPr id="1552" name="Straight Connector 1551">
              <a:extLst>
                <a:ext uri="{FF2B5EF4-FFF2-40B4-BE49-F238E27FC236}">
                  <a16:creationId xmlns:a16="http://schemas.microsoft.com/office/drawing/2014/main" id="{1A32EDC2-597E-03FC-B978-A092C9172BC2}"/>
                </a:ext>
              </a:extLst>
            </xdr:cNvPr>
            <xdr:cNvCxnSpPr/>
          </xdr:nvCxnSpPr>
          <xdr:spPr>
            <a:xfrm>
              <a:off x="8345488" y="10028238"/>
              <a:ext cx="0" cy="90487"/>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553" name="Straight Connector 1552">
              <a:extLst>
                <a:ext uri="{FF2B5EF4-FFF2-40B4-BE49-F238E27FC236}">
                  <a16:creationId xmlns:a16="http://schemas.microsoft.com/office/drawing/2014/main" id="{4E009330-8FB4-8271-89DA-E213328C16D2}"/>
                </a:ext>
              </a:extLst>
            </xdr:cNvPr>
            <xdr:cNvCxnSpPr/>
          </xdr:nvCxnSpPr>
          <xdr:spPr>
            <a:xfrm>
              <a:off x="8320088" y="10034587"/>
              <a:ext cx="49212" cy="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554" name="Straight Connector 1553">
              <a:extLst>
                <a:ext uri="{FF2B5EF4-FFF2-40B4-BE49-F238E27FC236}">
                  <a16:creationId xmlns:a16="http://schemas.microsoft.com/office/drawing/2014/main" id="{7FF29792-8A07-ED33-4449-D1873DFDB7E3}"/>
                </a:ext>
              </a:extLst>
            </xdr:cNvPr>
            <xdr:cNvCxnSpPr/>
          </xdr:nvCxnSpPr>
          <xdr:spPr>
            <a:xfrm>
              <a:off x="8320088" y="10120312"/>
              <a:ext cx="49212" cy="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nvGrpSpPr>
          <xdr:cNvPr id="1498" name="Group 1497">
            <a:extLst>
              <a:ext uri="{FF2B5EF4-FFF2-40B4-BE49-F238E27FC236}">
                <a16:creationId xmlns:a16="http://schemas.microsoft.com/office/drawing/2014/main" id="{428757F9-3F1B-9208-AAFE-B5C1FAFA76C4}"/>
              </a:ext>
            </a:extLst>
          </xdr:cNvPr>
          <xdr:cNvGrpSpPr/>
        </xdr:nvGrpSpPr>
        <xdr:grpSpPr>
          <a:xfrm>
            <a:off x="7585075" y="11096625"/>
            <a:ext cx="49212" cy="92074"/>
            <a:chOff x="8320088" y="10028238"/>
            <a:chExt cx="49212" cy="92074"/>
          </a:xfrm>
        </xdr:grpSpPr>
        <xdr:cxnSp macro="">
          <xdr:nvCxnSpPr>
            <xdr:cNvPr id="1549" name="Straight Connector 1548">
              <a:extLst>
                <a:ext uri="{FF2B5EF4-FFF2-40B4-BE49-F238E27FC236}">
                  <a16:creationId xmlns:a16="http://schemas.microsoft.com/office/drawing/2014/main" id="{6B96899C-7E28-A755-FC98-CE09253BB8FD}"/>
                </a:ext>
              </a:extLst>
            </xdr:cNvPr>
            <xdr:cNvCxnSpPr/>
          </xdr:nvCxnSpPr>
          <xdr:spPr>
            <a:xfrm>
              <a:off x="8345488" y="10028238"/>
              <a:ext cx="0" cy="90487"/>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550" name="Straight Connector 1549">
              <a:extLst>
                <a:ext uri="{FF2B5EF4-FFF2-40B4-BE49-F238E27FC236}">
                  <a16:creationId xmlns:a16="http://schemas.microsoft.com/office/drawing/2014/main" id="{94948A0E-5746-126B-8132-EA2AA3D40816}"/>
                </a:ext>
              </a:extLst>
            </xdr:cNvPr>
            <xdr:cNvCxnSpPr/>
          </xdr:nvCxnSpPr>
          <xdr:spPr>
            <a:xfrm>
              <a:off x="8320088" y="10034587"/>
              <a:ext cx="49212" cy="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551" name="Straight Connector 1550">
              <a:extLst>
                <a:ext uri="{FF2B5EF4-FFF2-40B4-BE49-F238E27FC236}">
                  <a16:creationId xmlns:a16="http://schemas.microsoft.com/office/drawing/2014/main" id="{AE5A9B1A-D00C-59D0-6836-D2DBF0BC9DA9}"/>
                </a:ext>
              </a:extLst>
            </xdr:cNvPr>
            <xdr:cNvCxnSpPr/>
          </xdr:nvCxnSpPr>
          <xdr:spPr>
            <a:xfrm>
              <a:off x="8320088" y="10120312"/>
              <a:ext cx="49212" cy="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nvGrpSpPr>
          <xdr:cNvPr id="1499" name="Group 1498">
            <a:extLst>
              <a:ext uri="{FF2B5EF4-FFF2-40B4-BE49-F238E27FC236}">
                <a16:creationId xmlns:a16="http://schemas.microsoft.com/office/drawing/2014/main" id="{D5D5169B-5620-8D7C-AE48-F3147F00F0BB}"/>
              </a:ext>
            </a:extLst>
          </xdr:cNvPr>
          <xdr:cNvGrpSpPr/>
        </xdr:nvGrpSpPr>
        <xdr:grpSpPr>
          <a:xfrm>
            <a:off x="8232775" y="11096625"/>
            <a:ext cx="49212" cy="92074"/>
            <a:chOff x="8320088" y="10028238"/>
            <a:chExt cx="49212" cy="92074"/>
          </a:xfrm>
        </xdr:grpSpPr>
        <xdr:cxnSp macro="">
          <xdr:nvCxnSpPr>
            <xdr:cNvPr id="1546" name="Straight Connector 1545">
              <a:extLst>
                <a:ext uri="{FF2B5EF4-FFF2-40B4-BE49-F238E27FC236}">
                  <a16:creationId xmlns:a16="http://schemas.microsoft.com/office/drawing/2014/main" id="{F093861A-5D94-5314-F8A6-0D6F2B2F62D0}"/>
                </a:ext>
              </a:extLst>
            </xdr:cNvPr>
            <xdr:cNvCxnSpPr/>
          </xdr:nvCxnSpPr>
          <xdr:spPr>
            <a:xfrm>
              <a:off x="8345488" y="10028238"/>
              <a:ext cx="0" cy="90487"/>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547" name="Straight Connector 1546">
              <a:extLst>
                <a:ext uri="{FF2B5EF4-FFF2-40B4-BE49-F238E27FC236}">
                  <a16:creationId xmlns:a16="http://schemas.microsoft.com/office/drawing/2014/main" id="{B9BBFDCE-4507-D269-9EB3-2202D72D688D}"/>
                </a:ext>
              </a:extLst>
            </xdr:cNvPr>
            <xdr:cNvCxnSpPr/>
          </xdr:nvCxnSpPr>
          <xdr:spPr>
            <a:xfrm>
              <a:off x="8320088" y="10034587"/>
              <a:ext cx="49212" cy="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548" name="Straight Connector 1547">
              <a:extLst>
                <a:ext uri="{FF2B5EF4-FFF2-40B4-BE49-F238E27FC236}">
                  <a16:creationId xmlns:a16="http://schemas.microsoft.com/office/drawing/2014/main" id="{091F5173-D6D9-D5C8-A128-79D4A4104B0B}"/>
                </a:ext>
              </a:extLst>
            </xdr:cNvPr>
            <xdr:cNvCxnSpPr/>
          </xdr:nvCxnSpPr>
          <xdr:spPr>
            <a:xfrm>
              <a:off x="8320088" y="10120312"/>
              <a:ext cx="49212" cy="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nvGrpSpPr>
          <xdr:cNvPr id="1500" name="Group 1499">
            <a:extLst>
              <a:ext uri="{FF2B5EF4-FFF2-40B4-BE49-F238E27FC236}">
                <a16:creationId xmlns:a16="http://schemas.microsoft.com/office/drawing/2014/main" id="{F584D37B-C4BB-C1A9-464B-AE7D4E39C6EE}"/>
              </a:ext>
            </a:extLst>
          </xdr:cNvPr>
          <xdr:cNvGrpSpPr/>
        </xdr:nvGrpSpPr>
        <xdr:grpSpPr>
          <a:xfrm>
            <a:off x="9307513" y="11098213"/>
            <a:ext cx="49212" cy="92074"/>
            <a:chOff x="8320088" y="10028238"/>
            <a:chExt cx="49212" cy="92074"/>
          </a:xfrm>
        </xdr:grpSpPr>
        <xdr:cxnSp macro="">
          <xdr:nvCxnSpPr>
            <xdr:cNvPr id="1543" name="Straight Connector 1542">
              <a:extLst>
                <a:ext uri="{FF2B5EF4-FFF2-40B4-BE49-F238E27FC236}">
                  <a16:creationId xmlns:a16="http://schemas.microsoft.com/office/drawing/2014/main" id="{B8B8C348-32A4-3039-1CCF-A740DD2F449E}"/>
                </a:ext>
              </a:extLst>
            </xdr:cNvPr>
            <xdr:cNvCxnSpPr/>
          </xdr:nvCxnSpPr>
          <xdr:spPr>
            <a:xfrm>
              <a:off x="8345488" y="10028238"/>
              <a:ext cx="0" cy="90487"/>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544" name="Straight Connector 1543">
              <a:extLst>
                <a:ext uri="{FF2B5EF4-FFF2-40B4-BE49-F238E27FC236}">
                  <a16:creationId xmlns:a16="http://schemas.microsoft.com/office/drawing/2014/main" id="{2E65CF47-C4E3-6FB9-4A14-AAA22762E95D}"/>
                </a:ext>
              </a:extLst>
            </xdr:cNvPr>
            <xdr:cNvCxnSpPr/>
          </xdr:nvCxnSpPr>
          <xdr:spPr>
            <a:xfrm>
              <a:off x="8320088" y="10034587"/>
              <a:ext cx="49212" cy="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545" name="Straight Connector 1544">
              <a:extLst>
                <a:ext uri="{FF2B5EF4-FFF2-40B4-BE49-F238E27FC236}">
                  <a16:creationId xmlns:a16="http://schemas.microsoft.com/office/drawing/2014/main" id="{162840A0-6D42-5DCE-314F-70051645B8DB}"/>
                </a:ext>
              </a:extLst>
            </xdr:cNvPr>
            <xdr:cNvCxnSpPr/>
          </xdr:nvCxnSpPr>
          <xdr:spPr>
            <a:xfrm>
              <a:off x="8320088" y="10120312"/>
              <a:ext cx="49212" cy="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nvGrpSpPr>
          <xdr:cNvPr id="1501" name="Group 1500">
            <a:extLst>
              <a:ext uri="{FF2B5EF4-FFF2-40B4-BE49-F238E27FC236}">
                <a16:creationId xmlns:a16="http://schemas.microsoft.com/office/drawing/2014/main" id="{E175DA1C-C6BC-4CAF-84CF-137E260AF1EF}"/>
              </a:ext>
            </a:extLst>
          </xdr:cNvPr>
          <xdr:cNvGrpSpPr/>
        </xdr:nvGrpSpPr>
        <xdr:grpSpPr>
          <a:xfrm>
            <a:off x="9761538" y="11098213"/>
            <a:ext cx="49212" cy="92074"/>
            <a:chOff x="8320088" y="10028238"/>
            <a:chExt cx="49212" cy="92074"/>
          </a:xfrm>
        </xdr:grpSpPr>
        <xdr:cxnSp macro="">
          <xdr:nvCxnSpPr>
            <xdr:cNvPr id="1540" name="Straight Connector 1539">
              <a:extLst>
                <a:ext uri="{FF2B5EF4-FFF2-40B4-BE49-F238E27FC236}">
                  <a16:creationId xmlns:a16="http://schemas.microsoft.com/office/drawing/2014/main" id="{9EC6B44F-685F-EA4D-DA1C-00F39E5FF0DD}"/>
                </a:ext>
              </a:extLst>
            </xdr:cNvPr>
            <xdr:cNvCxnSpPr/>
          </xdr:nvCxnSpPr>
          <xdr:spPr>
            <a:xfrm>
              <a:off x="8345488" y="10028238"/>
              <a:ext cx="0" cy="90487"/>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541" name="Straight Connector 1540">
              <a:extLst>
                <a:ext uri="{FF2B5EF4-FFF2-40B4-BE49-F238E27FC236}">
                  <a16:creationId xmlns:a16="http://schemas.microsoft.com/office/drawing/2014/main" id="{2DCD84C2-4CD8-8B48-9561-1A20115B7A2F}"/>
                </a:ext>
              </a:extLst>
            </xdr:cNvPr>
            <xdr:cNvCxnSpPr/>
          </xdr:nvCxnSpPr>
          <xdr:spPr>
            <a:xfrm>
              <a:off x="8320088" y="10034587"/>
              <a:ext cx="49212" cy="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542" name="Straight Connector 1541">
              <a:extLst>
                <a:ext uri="{FF2B5EF4-FFF2-40B4-BE49-F238E27FC236}">
                  <a16:creationId xmlns:a16="http://schemas.microsoft.com/office/drawing/2014/main" id="{EF478C01-5B11-6F46-85FA-CC2CB48BE27A}"/>
                </a:ext>
              </a:extLst>
            </xdr:cNvPr>
            <xdr:cNvCxnSpPr/>
          </xdr:nvCxnSpPr>
          <xdr:spPr>
            <a:xfrm>
              <a:off x="8320088" y="10120312"/>
              <a:ext cx="49212" cy="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nvGrpSpPr>
          <xdr:cNvPr id="1502" name="Group 1501">
            <a:extLst>
              <a:ext uri="{FF2B5EF4-FFF2-40B4-BE49-F238E27FC236}">
                <a16:creationId xmlns:a16="http://schemas.microsoft.com/office/drawing/2014/main" id="{B485DD01-13D1-48E6-A7DB-32248E4C21F7}"/>
              </a:ext>
            </a:extLst>
          </xdr:cNvPr>
          <xdr:cNvGrpSpPr/>
        </xdr:nvGrpSpPr>
        <xdr:grpSpPr>
          <a:xfrm rot="5400000">
            <a:off x="10175875" y="11090275"/>
            <a:ext cx="49212" cy="92074"/>
            <a:chOff x="8320088" y="10028238"/>
            <a:chExt cx="49212" cy="92074"/>
          </a:xfrm>
        </xdr:grpSpPr>
        <xdr:cxnSp macro="">
          <xdr:nvCxnSpPr>
            <xdr:cNvPr id="1537" name="Straight Connector 1536">
              <a:extLst>
                <a:ext uri="{FF2B5EF4-FFF2-40B4-BE49-F238E27FC236}">
                  <a16:creationId xmlns:a16="http://schemas.microsoft.com/office/drawing/2014/main" id="{186CECC3-41B0-D0B0-D6DF-82355C9269B1}"/>
                </a:ext>
              </a:extLst>
            </xdr:cNvPr>
            <xdr:cNvCxnSpPr/>
          </xdr:nvCxnSpPr>
          <xdr:spPr>
            <a:xfrm>
              <a:off x="8345488" y="10028238"/>
              <a:ext cx="0" cy="90487"/>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538" name="Straight Connector 1537">
              <a:extLst>
                <a:ext uri="{FF2B5EF4-FFF2-40B4-BE49-F238E27FC236}">
                  <a16:creationId xmlns:a16="http://schemas.microsoft.com/office/drawing/2014/main" id="{E7DA370B-F211-3A11-6622-9DCA342BAD90}"/>
                </a:ext>
              </a:extLst>
            </xdr:cNvPr>
            <xdr:cNvCxnSpPr/>
          </xdr:nvCxnSpPr>
          <xdr:spPr>
            <a:xfrm>
              <a:off x="8320088" y="10031412"/>
              <a:ext cx="49212" cy="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539" name="Straight Connector 1538">
              <a:extLst>
                <a:ext uri="{FF2B5EF4-FFF2-40B4-BE49-F238E27FC236}">
                  <a16:creationId xmlns:a16="http://schemas.microsoft.com/office/drawing/2014/main" id="{2E90698D-F51C-2C76-EA23-BE1FAA2010E6}"/>
                </a:ext>
              </a:extLst>
            </xdr:cNvPr>
            <xdr:cNvCxnSpPr/>
          </xdr:nvCxnSpPr>
          <xdr:spPr>
            <a:xfrm>
              <a:off x="8320088" y="10120312"/>
              <a:ext cx="49212" cy="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1503" name="Straight Connector 1502">
            <a:extLst>
              <a:ext uri="{FF2B5EF4-FFF2-40B4-BE49-F238E27FC236}">
                <a16:creationId xmlns:a16="http://schemas.microsoft.com/office/drawing/2014/main" id="{F69CD696-2A45-918D-D639-1C34D142D808}"/>
              </a:ext>
            </a:extLst>
          </xdr:cNvPr>
          <xdr:cNvCxnSpPr/>
        </xdr:nvCxnSpPr>
        <xdr:spPr>
          <a:xfrm flipV="1">
            <a:off x="10248900" y="10385425"/>
            <a:ext cx="0" cy="714376"/>
          </a:xfrm>
          <a:prstGeom prst="line">
            <a:avLst/>
          </a:prstGeom>
          <a:noFill/>
          <a:ln w="6350"/>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1504" name="Straight Connector 1503">
            <a:extLst>
              <a:ext uri="{FF2B5EF4-FFF2-40B4-BE49-F238E27FC236}">
                <a16:creationId xmlns:a16="http://schemas.microsoft.com/office/drawing/2014/main" id="{D462A8D9-94F5-27BE-395E-5A382202D3A4}"/>
              </a:ext>
            </a:extLst>
          </xdr:cNvPr>
          <xdr:cNvCxnSpPr/>
        </xdr:nvCxnSpPr>
        <xdr:spPr>
          <a:xfrm flipV="1">
            <a:off x="10293350" y="10388600"/>
            <a:ext cx="0" cy="812801"/>
          </a:xfrm>
          <a:prstGeom prst="line">
            <a:avLst/>
          </a:prstGeom>
          <a:noFill/>
          <a:ln w="6350"/>
        </xdr:spPr>
        <xdr:style>
          <a:lnRef idx="2">
            <a:schemeClr val="accent1">
              <a:shade val="15000"/>
            </a:schemeClr>
          </a:lnRef>
          <a:fillRef idx="1">
            <a:schemeClr val="accent1"/>
          </a:fillRef>
          <a:effectRef idx="0">
            <a:schemeClr val="accent1"/>
          </a:effectRef>
          <a:fontRef idx="minor">
            <a:schemeClr val="lt1"/>
          </a:fontRef>
        </xdr:style>
      </xdr:cxnSp>
      <xdr:grpSp>
        <xdr:nvGrpSpPr>
          <xdr:cNvPr id="1505" name="Group 1504">
            <a:extLst>
              <a:ext uri="{FF2B5EF4-FFF2-40B4-BE49-F238E27FC236}">
                <a16:creationId xmlns:a16="http://schemas.microsoft.com/office/drawing/2014/main" id="{FA8DCB0F-482E-B233-E0BE-71B3416170AC}"/>
              </a:ext>
            </a:extLst>
          </xdr:cNvPr>
          <xdr:cNvGrpSpPr/>
        </xdr:nvGrpSpPr>
        <xdr:grpSpPr>
          <a:xfrm rot="5400000">
            <a:off x="6292056" y="11087894"/>
            <a:ext cx="49212" cy="92074"/>
            <a:chOff x="8320088" y="10028238"/>
            <a:chExt cx="49212" cy="92074"/>
          </a:xfrm>
        </xdr:grpSpPr>
        <xdr:cxnSp macro="">
          <xdr:nvCxnSpPr>
            <xdr:cNvPr id="1534" name="Straight Connector 1533">
              <a:extLst>
                <a:ext uri="{FF2B5EF4-FFF2-40B4-BE49-F238E27FC236}">
                  <a16:creationId xmlns:a16="http://schemas.microsoft.com/office/drawing/2014/main" id="{F77D78D6-93A8-1D77-9181-D85228A3E553}"/>
                </a:ext>
              </a:extLst>
            </xdr:cNvPr>
            <xdr:cNvCxnSpPr/>
          </xdr:nvCxnSpPr>
          <xdr:spPr>
            <a:xfrm>
              <a:off x="8345488" y="10028238"/>
              <a:ext cx="0" cy="90487"/>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535" name="Straight Connector 1534">
              <a:extLst>
                <a:ext uri="{FF2B5EF4-FFF2-40B4-BE49-F238E27FC236}">
                  <a16:creationId xmlns:a16="http://schemas.microsoft.com/office/drawing/2014/main" id="{1426B392-4953-24D3-A903-FAA9FE76F91B}"/>
                </a:ext>
              </a:extLst>
            </xdr:cNvPr>
            <xdr:cNvCxnSpPr/>
          </xdr:nvCxnSpPr>
          <xdr:spPr>
            <a:xfrm>
              <a:off x="8320088" y="10031412"/>
              <a:ext cx="49212" cy="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536" name="Straight Connector 1535">
              <a:extLst>
                <a:ext uri="{FF2B5EF4-FFF2-40B4-BE49-F238E27FC236}">
                  <a16:creationId xmlns:a16="http://schemas.microsoft.com/office/drawing/2014/main" id="{63061E68-BF93-170A-6D28-60350FEB96CF}"/>
                </a:ext>
              </a:extLst>
            </xdr:cNvPr>
            <xdr:cNvCxnSpPr/>
          </xdr:nvCxnSpPr>
          <xdr:spPr>
            <a:xfrm>
              <a:off x="8320088" y="10120312"/>
              <a:ext cx="49212" cy="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1506" name="Straight Connector 1505">
            <a:extLst>
              <a:ext uri="{FF2B5EF4-FFF2-40B4-BE49-F238E27FC236}">
                <a16:creationId xmlns:a16="http://schemas.microsoft.com/office/drawing/2014/main" id="{3AE6F569-7153-9F42-1140-AA7B8E56B182}"/>
              </a:ext>
            </a:extLst>
          </xdr:cNvPr>
          <xdr:cNvCxnSpPr/>
        </xdr:nvCxnSpPr>
        <xdr:spPr>
          <a:xfrm flipV="1">
            <a:off x="6267450" y="10379075"/>
            <a:ext cx="0" cy="717550"/>
          </a:xfrm>
          <a:prstGeom prst="line">
            <a:avLst/>
          </a:prstGeom>
          <a:noFill/>
          <a:ln w="6350"/>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1507" name="Straight Connector 1506">
            <a:extLst>
              <a:ext uri="{FF2B5EF4-FFF2-40B4-BE49-F238E27FC236}">
                <a16:creationId xmlns:a16="http://schemas.microsoft.com/office/drawing/2014/main" id="{168B8714-C6F9-B354-C269-D47CC238349D}"/>
              </a:ext>
            </a:extLst>
          </xdr:cNvPr>
          <xdr:cNvCxnSpPr/>
        </xdr:nvCxnSpPr>
        <xdr:spPr>
          <a:xfrm flipV="1">
            <a:off x="6229350" y="10379075"/>
            <a:ext cx="0" cy="822325"/>
          </a:xfrm>
          <a:prstGeom prst="line">
            <a:avLst/>
          </a:prstGeom>
          <a:noFill/>
          <a:ln w="6350"/>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1508" name="Straight Connector 1507">
            <a:extLst>
              <a:ext uri="{FF2B5EF4-FFF2-40B4-BE49-F238E27FC236}">
                <a16:creationId xmlns:a16="http://schemas.microsoft.com/office/drawing/2014/main" id="{92B33F3A-031D-2C82-92E1-D662CCEF16E0}"/>
              </a:ext>
            </a:extLst>
          </xdr:cNvPr>
          <xdr:cNvCxnSpPr/>
        </xdr:nvCxnSpPr>
        <xdr:spPr>
          <a:xfrm>
            <a:off x="6153150" y="10382250"/>
            <a:ext cx="196850" cy="0"/>
          </a:xfrm>
          <a:prstGeom prst="line">
            <a:avLst/>
          </a:prstGeom>
          <a:noFill/>
          <a:ln w="6350">
            <a:prstDash val="dash"/>
          </a:ln>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1509" name="Straight Connector 1508">
            <a:extLst>
              <a:ext uri="{FF2B5EF4-FFF2-40B4-BE49-F238E27FC236}">
                <a16:creationId xmlns:a16="http://schemas.microsoft.com/office/drawing/2014/main" id="{63509147-7DC5-4C1C-E5EE-0A76496203E2}"/>
              </a:ext>
            </a:extLst>
          </xdr:cNvPr>
          <xdr:cNvCxnSpPr/>
        </xdr:nvCxnSpPr>
        <xdr:spPr>
          <a:xfrm>
            <a:off x="10163175" y="10382250"/>
            <a:ext cx="196850" cy="0"/>
          </a:xfrm>
          <a:prstGeom prst="line">
            <a:avLst/>
          </a:prstGeom>
          <a:noFill/>
          <a:ln w="6350">
            <a:prstDash val="dash"/>
          </a:ln>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1510" name="Straight Connector 1509">
            <a:extLst>
              <a:ext uri="{FF2B5EF4-FFF2-40B4-BE49-F238E27FC236}">
                <a16:creationId xmlns:a16="http://schemas.microsoft.com/office/drawing/2014/main" id="{C45F7C02-1D99-34E7-C7CC-697411333943}"/>
              </a:ext>
            </a:extLst>
          </xdr:cNvPr>
          <xdr:cNvCxnSpPr/>
        </xdr:nvCxnSpPr>
        <xdr:spPr>
          <a:xfrm>
            <a:off x="9953625" y="10668000"/>
            <a:ext cx="804863"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511" name="Straight Connector 1510">
            <a:extLst>
              <a:ext uri="{FF2B5EF4-FFF2-40B4-BE49-F238E27FC236}">
                <a16:creationId xmlns:a16="http://schemas.microsoft.com/office/drawing/2014/main" id="{E0663D09-86CD-F062-C26C-1E9F1A1A3589}"/>
              </a:ext>
            </a:extLst>
          </xdr:cNvPr>
          <xdr:cNvCxnSpPr/>
        </xdr:nvCxnSpPr>
        <xdr:spPr>
          <a:xfrm>
            <a:off x="10348913" y="11096626"/>
            <a:ext cx="4095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512" name="Straight Connector 1511">
            <a:extLst>
              <a:ext uri="{FF2B5EF4-FFF2-40B4-BE49-F238E27FC236}">
                <a16:creationId xmlns:a16="http://schemas.microsoft.com/office/drawing/2014/main" id="{A1CF2833-AE2E-B30F-4A9F-1E662289E652}"/>
              </a:ext>
            </a:extLst>
          </xdr:cNvPr>
          <xdr:cNvCxnSpPr/>
        </xdr:nvCxnSpPr>
        <xdr:spPr>
          <a:xfrm flipV="1">
            <a:off x="10687050" y="10610850"/>
            <a:ext cx="0" cy="557214"/>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513" name="Straight Connector 1512">
            <a:extLst>
              <a:ext uri="{FF2B5EF4-FFF2-40B4-BE49-F238E27FC236}">
                <a16:creationId xmlns:a16="http://schemas.microsoft.com/office/drawing/2014/main" id="{A7F0177C-A68D-D2A5-067D-DB61E107FEFA}"/>
              </a:ext>
            </a:extLst>
          </xdr:cNvPr>
          <xdr:cNvCxnSpPr/>
        </xdr:nvCxnSpPr>
        <xdr:spPr>
          <a:xfrm flipH="1">
            <a:off x="10648950" y="11063288"/>
            <a:ext cx="71438" cy="7143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514" name="Straight Connector 1513">
            <a:extLst>
              <a:ext uri="{FF2B5EF4-FFF2-40B4-BE49-F238E27FC236}">
                <a16:creationId xmlns:a16="http://schemas.microsoft.com/office/drawing/2014/main" id="{CD78B7CA-A3F5-9FB1-EF8E-25E49B3229CD}"/>
              </a:ext>
            </a:extLst>
          </xdr:cNvPr>
          <xdr:cNvCxnSpPr/>
        </xdr:nvCxnSpPr>
        <xdr:spPr>
          <a:xfrm flipH="1">
            <a:off x="10653703" y="10629905"/>
            <a:ext cx="71438" cy="7143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515" name="Straight Connector 1514">
            <a:extLst>
              <a:ext uri="{FF2B5EF4-FFF2-40B4-BE49-F238E27FC236}">
                <a16:creationId xmlns:a16="http://schemas.microsoft.com/office/drawing/2014/main" id="{CE894D4B-7A27-7356-7C24-3C449CEA6500}"/>
              </a:ext>
            </a:extLst>
          </xdr:cNvPr>
          <xdr:cNvCxnSpPr/>
        </xdr:nvCxnSpPr>
        <xdr:spPr>
          <a:xfrm>
            <a:off x="6316663" y="11377614"/>
            <a:ext cx="0" cy="228599"/>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516" name="Straight Connector 1515">
            <a:extLst>
              <a:ext uri="{FF2B5EF4-FFF2-40B4-BE49-F238E27FC236}">
                <a16:creationId xmlns:a16="http://schemas.microsoft.com/office/drawing/2014/main" id="{C2816947-0681-6331-B80E-A64D708EFD24}"/>
              </a:ext>
            </a:extLst>
          </xdr:cNvPr>
          <xdr:cNvCxnSpPr/>
        </xdr:nvCxnSpPr>
        <xdr:spPr>
          <a:xfrm>
            <a:off x="6262688" y="11526839"/>
            <a:ext cx="40163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517" name="Straight Connector 1516">
            <a:extLst>
              <a:ext uri="{FF2B5EF4-FFF2-40B4-BE49-F238E27FC236}">
                <a16:creationId xmlns:a16="http://schemas.microsoft.com/office/drawing/2014/main" id="{135BB7AA-2EF0-2F90-700C-219D6E805D4B}"/>
              </a:ext>
            </a:extLst>
          </xdr:cNvPr>
          <xdr:cNvCxnSpPr/>
        </xdr:nvCxnSpPr>
        <xdr:spPr>
          <a:xfrm flipH="1">
            <a:off x="6284913" y="11501439"/>
            <a:ext cx="60325" cy="603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518" name="Straight Connector 1517">
            <a:extLst>
              <a:ext uri="{FF2B5EF4-FFF2-40B4-BE49-F238E27FC236}">
                <a16:creationId xmlns:a16="http://schemas.microsoft.com/office/drawing/2014/main" id="{17CE1F51-0872-4CDE-D959-0301E283AC26}"/>
              </a:ext>
            </a:extLst>
          </xdr:cNvPr>
          <xdr:cNvCxnSpPr/>
        </xdr:nvCxnSpPr>
        <xdr:spPr>
          <a:xfrm>
            <a:off x="6726238" y="11326814"/>
            <a:ext cx="0" cy="2540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519" name="Straight Connector 1518">
            <a:extLst>
              <a:ext uri="{FF2B5EF4-FFF2-40B4-BE49-F238E27FC236}">
                <a16:creationId xmlns:a16="http://schemas.microsoft.com/office/drawing/2014/main" id="{3BE6FC4C-6EA6-5D90-5760-1A497D5041BB}"/>
              </a:ext>
            </a:extLst>
          </xdr:cNvPr>
          <xdr:cNvCxnSpPr/>
        </xdr:nvCxnSpPr>
        <xdr:spPr>
          <a:xfrm flipH="1">
            <a:off x="6694488" y="11498264"/>
            <a:ext cx="60325" cy="603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520" name="Straight Connector 1519">
            <a:extLst>
              <a:ext uri="{FF2B5EF4-FFF2-40B4-BE49-F238E27FC236}">
                <a16:creationId xmlns:a16="http://schemas.microsoft.com/office/drawing/2014/main" id="{BFC18E38-1665-8393-B3BB-AFA8C39693C1}"/>
              </a:ext>
            </a:extLst>
          </xdr:cNvPr>
          <xdr:cNvCxnSpPr/>
        </xdr:nvCxnSpPr>
        <xdr:spPr>
          <a:xfrm>
            <a:off x="7196138" y="11310939"/>
            <a:ext cx="0" cy="2698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521" name="Straight Connector 1520">
            <a:extLst>
              <a:ext uri="{FF2B5EF4-FFF2-40B4-BE49-F238E27FC236}">
                <a16:creationId xmlns:a16="http://schemas.microsoft.com/office/drawing/2014/main" id="{E8D49FF8-DCC4-0E39-A32D-5AFD4A453B75}"/>
              </a:ext>
            </a:extLst>
          </xdr:cNvPr>
          <xdr:cNvCxnSpPr/>
        </xdr:nvCxnSpPr>
        <xdr:spPr>
          <a:xfrm flipH="1">
            <a:off x="7164388" y="11498264"/>
            <a:ext cx="60325" cy="603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522" name="Straight Connector 1521">
            <a:extLst>
              <a:ext uri="{FF2B5EF4-FFF2-40B4-BE49-F238E27FC236}">
                <a16:creationId xmlns:a16="http://schemas.microsoft.com/office/drawing/2014/main" id="{1A9A6A24-CECD-E598-136C-BA30D83686FB}"/>
              </a:ext>
            </a:extLst>
          </xdr:cNvPr>
          <xdr:cNvCxnSpPr/>
        </xdr:nvCxnSpPr>
        <xdr:spPr>
          <a:xfrm>
            <a:off x="7610475" y="11310939"/>
            <a:ext cx="0" cy="2698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523" name="Straight Connector 1522">
            <a:extLst>
              <a:ext uri="{FF2B5EF4-FFF2-40B4-BE49-F238E27FC236}">
                <a16:creationId xmlns:a16="http://schemas.microsoft.com/office/drawing/2014/main" id="{B239A075-3C80-1C2D-4A85-BCA858779B74}"/>
              </a:ext>
            </a:extLst>
          </xdr:cNvPr>
          <xdr:cNvCxnSpPr/>
        </xdr:nvCxnSpPr>
        <xdr:spPr>
          <a:xfrm flipH="1">
            <a:off x="7578725" y="11498264"/>
            <a:ext cx="60325" cy="603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524" name="Straight Connector 1523">
            <a:extLst>
              <a:ext uri="{FF2B5EF4-FFF2-40B4-BE49-F238E27FC236}">
                <a16:creationId xmlns:a16="http://schemas.microsoft.com/office/drawing/2014/main" id="{62719A0F-D703-B070-69E7-11E947E4428C}"/>
              </a:ext>
            </a:extLst>
          </xdr:cNvPr>
          <xdr:cNvCxnSpPr/>
        </xdr:nvCxnSpPr>
        <xdr:spPr>
          <a:xfrm>
            <a:off x="8910638" y="11310939"/>
            <a:ext cx="0" cy="2698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525" name="Straight Connector 1524">
            <a:extLst>
              <a:ext uri="{FF2B5EF4-FFF2-40B4-BE49-F238E27FC236}">
                <a16:creationId xmlns:a16="http://schemas.microsoft.com/office/drawing/2014/main" id="{50840887-F1D4-5981-26B5-CB119CC6D0F0}"/>
              </a:ext>
            </a:extLst>
          </xdr:cNvPr>
          <xdr:cNvCxnSpPr/>
        </xdr:nvCxnSpPr>
        <xdr:spPr>
          <a:xfrm flipH="1">
            <a:off x="8878888" y="11498264"/>
            <a:ext cx="60325" cy="603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526" name="Straight Connector 1525">
            <a:extLst>
              <a:ext uri="{FF2B5EF4-FFF2-40B4-BE49-F238E27FC236}">
                <a16:creationId xmlns:a16="http://schemas.microsoft.com/office/drawing/2014/main" id="{0903DE76-815F-7DBD-C7B8-E11E3A1403DA}"/>
              </a:ext>
            </a:extLst>
          </xdr:cNvPr>
          <xdr:cNvCxnSpPr/>
        </xdr:nvCxnSpPr>
        <xdr:spPr>
          <a:xfrm>
            <a:off x="9336088" y="11310939"/>
            <a:ext cx="0" cy="2698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527" name="Straight Connector 1526">
            <a:extLst>
              <a:ext uri="{FF2B5EF4-FFF2-40B4-BE49-F238E27FC236}">
                <a16:creationId xmlns:a16="http://schemas.microsoft.com/office/drawing/2014/main" id="{44283FC9-7495-3A02-B1C5-F29DC0489263}"/>
              </a:ext>
            </a:extLst>
          </xdr:cNvPr>
          <xdr:cNvCxnSpPr/>
        </xdr:nvCxnSpPr>
        <xdr:spPr>
          <a:xfrm flipH="1">
            <a:off x="9304338" y="11498264"/>
            <a:ext cx="60325" cy="603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528" name="Straight Connector 1527">
            <a:extLst>
              <a:ext uri="{FF2B5EF4-FFF2-40B4-BE49-F238E27FC236}">
                <a16:creationId xmlns:a16="http://schemas.microsoft.com/office/drawing/2014/main" id="{D4A9975D-3869-B45C-E778-6D5FE5F9FF6E}"/>
              </a:ext>
            </a:extLst>
          </xdr:cNvPr>
          <xdr:cNvCxnSpPr/>
        </xdr:nvCxnSpPr>
        <xdr:spPr>
          <a:xfrm>
            <a:off x="9793288" y="11310939"/>
            <a:ext cx="0" cy="2698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529" name="Straight Connector 1528">
            <a:extLst>
              <a:ext uri="{FF2B5EF4-FFF2-40B4-BE49-F238E27FC236}">
                <a16:creationId xmlns:a16="http://schemas.microsoft.com/office/drawing/2014/main" id="{99C886A7-8064-E56F-E4F5-8ACB9B41F5EB}"/>
              </a:ext>
            </a:extLst>
          </xdr:cNvPr>
          <xdr:cNvCxnSpPr/>
        </xdr:nvCxnSpPr>
        <xdr:spPr>
          <a:xfrm flipH="1">
            <a:off x="9761538" y="11498264"/>
            <a:ext cx="60325" cy="603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530" name="Straight Connector 1529">
            <a:extLst>
              <a:ext uri="{FF2B5EF4-FFF2-40B4-BE49-F238E27FC236}">
                <a16:creationId xmlns:a16="http://schemas.microsoft.com/office/drawing/2014/main" id="{2BB61DEA-7125-D37A-652E-787DFC2F76C5}"/>
              </a:ext>
            </a:extLst>
          </xdr:cNvPr>
          <xdr:cNvCxnSpPr/>
        </xdr:nvCxnSpPr>
        <xdr:spPr>
          <a:xfrm>
            <a:off x="10202863" y="11258547"/>
            <a:ext cx="0" cy="347666"/>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531" name="Straight Connector 1530">
            <a:extLst>
              <a:ext uri="{FF2B5EF4-FFF2-40B4-BE49-F238E27FC236}">
                <a16:creationId xmlns:a16="http://schemas.microsoft.com/office/drawing/2014/main" id="{3B245087-0093-972A-AC94-69ECADB11BF5}"/>
              </a:ext>
            </a:extLst>
          </xdr:cNvPr>
          <xdr:cNvCxnSpPr/>
        </xdr:nvCxnSpPr>
        <xdr:spPr>
          <a:xfrm flipH="1">
            <a:off x="10171113" y="11498264"/>
            <a:ext cx="60325" cy="603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532" name="Straight Connector 1531">
            <a:extLst>
              <a:ext uri="{FF2B5EF4-FFF2-40B4-BE49-F238E27FC236}">
                <a16:creationId xmlns:a16="http://schemas.microsoft.com/office/drawing/2014/main" id="{9FC168C0-5ECC-6FB1-50A3-7ED0A00C05E4}"/>
              </a:ext>
            </a:extLst>
          </xdr:cNvPr>
          <xdr:cNvCxnSpPr/>
        </xdr:nvCxnSpPr>
        <xdr:spPr>
          <a:xfrm>
            <a:off x="8258177" y="11310940"/>
            <a:ext cx="0" cy="2698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533" name="Straight Connector 1532">
            <a:extLst>
              <a:ext uri="{FF2B5EF4-FFF2-40B4-BE49-F238E27FC236}">
                <a16:creationId xmlns:a16="http://schemas.microsoft.com/office/drawing/2014/main" id="{3A870AD2-592A-5FDE-FEDD-DFC14CC4BD44}"/>
              </a:ext>
            </a:extLst>
          </xdr:cNvPr>
          <xdr:cNvCxnSpPr/>
        </xdr:nvCxnSpPr>
        <xdr:spPr>
          <a:xfrm flipH="1">
            <a:off x="8226427" y="11498265"/>
            <a:ext cx="60325" cy="60325"/>
          </a:xfrm>
          <a:prstGeom prst="line">
            <a:avLst/>
          </a:prstGeom>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69</xdr:col>
      <xdr:colOff>0</xdr:colOff>
      <xdr:row>635</xdr:row>
      <xdr:rowOff>61913</xdr:rowOff>
    </xdr:from>
    <xdr:to>
      <xdr:col>75</xdr:col>
      <xdr:colOff>42863</xdr:colOff>
      <xdr:row>649</xdr:row>
      <xdr:rowOff>104776</xdr:rowOff>
    </xdr:to>
    <xdr:grpSp>
      <xdr:nvGrpSpPr>
        <xdr:cNvPr id="1561" name="Group 1560">
          <a:extLst>
            <a:ext uri="{FF2B5EF4-FFF2-40B4-BE49-F238E27FC236}">
              <a16:creationId xmlns:a16="http://schemas.microsoft.com/office/drawing/2014/main" id="{66871FEC-7E6F-4A67-A439-786481E368C3}"/>
            </a:ext>
          </a:extLst>
        </xdr:cNvPr>
        <xdr:cNvGrpSpPr/>
      </xdr:nvGrpSpPr>
      <xdr:grpSpPr>
        <a:xfrm>
          <a:off x="11172825" y="92530613"/>
          <a:ext cx="1014413" cy="2043113"/>
          <a:chOff x="11172825" y="9729788"/>
          <a:chExt cx="1014413" cy="2043113"/>
        </a:xfrm>
      </xdr:grpSpPr>
      <xdr:cxnSp macro="">
        <xdr:nvCxnSpPr>
          <xdr:cNvPr id="1562" name="Straight Connector 1561">
            <a:extLst>
              <a:ext uri="{FF2B5EF4-FFF2-40B4-BE49-F238E27FC236}">
                <a16:creationId xmlns:a16="http://schemas.microsoft.com/office/drawing/2014/main" id="{80C5D150-E691-D6F0-3786-DEB525E48A50}"/>
              </a:ext>
            </a:extLst>
          </xdr:cNvPr>
          <xdr:cNvCxnSpPr/>
        </xdr:nvCxnSpPr>
        <xdr:spPr>
          <a:xfrm flipV="1">
            <a:off x="11334750" y="9810750"/>
            <a:ext cx="0" cy="1847850"/>
          </a:xfrm>
          <a:prstGeom prst="line">
            <a:avLst/>
          </a:prstGeom>
          <a:noFill/>
          <a:ln w="6350"/>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1563" name="Straight Connector 1562">
            <a:extLst>
              <a:ext uri="{FF2B5EF4-FFF2-40B4-BE49-F238E27FC236}">
                <a16:creationId xmlns:a16="http://schemas.microsoft.com/office/drawing/2014/main" id="{486D68A8-46C1-DAB9-3B19-8590ABF6B8F0}"/>
              </a:ext>
            </a:extLst>
          </xdr:cNvPr>
          <xdr:cNvCxnSpPr/>
        </xdr:nvCxnSpPr>
        <xdr:spPr>
          <a:xfrm>
            <a:off x="11334750" y="10887075"/>
            <a:ext cx="330200" cy="0"/>
          </a:xfrm>
          <a:prstGeom prst="line">
            <a:avLst/>
          </a:prstGeom>
          <a:noFill/>
          <a:ln w="6350"/>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1564" name="Straight Connector 1563">
            <a:extLst>
              <a:ext uri="{FF2B5EF4-FFF2-40B4-BE49-F238E27FC236}">
                <a16:creationId xmlns:a16="http://schemas.microsoft.com/office/drawing/2014/main" id="{B13688CE-C662-CD66-3457-D6DCDCB51B49}"/>
              </a:ext>
            </a:extLst>
          </xdr:cNvPr>
          <xdr:cNvCxnSpPr/>
        </xdr:nvCxnSpPr>
        <xdr:spPr>
          <a:xfrm>
            <a:off x="11339513" y="9810750"/>
            <a:ext cx="461962" cy="0"/>
          </a:xfrm>
          <a:prstGeom prst="line">
            <a:avLst/>
          </a:prstGeom>
          <a:noFill/>
          <a:ln w="6350"/>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1565" name="Straight Connector 1564">
            <a:extLst>
              <a:ext uri="{FF2B5EF4-FFF2-40B4-BE49-F238E27FC236}">
                <a16:creationId xmlns:a16="http://schemas.microsoft.com/office/drawing/2014/main" id="{883D67EE-94B5-0242-B61A-BF4CBE14D697}"/>
              </a:ext>
            </a:extLst>
          </xdr:cNvPr>
          <xdr:cNvCxnSpPr/>
        </xdr:nvCxnSpPr>
        <xdr:spPr>
          <a:xfrm flipH="1" flipV="1">
            <a:off x="11334750" y="10525125"/>
            <a:ext cx="327025" cy="361950"/>
          </a:xfrm>
          <a:prstGeom prst="line">
            <a:avLst/>
          </a:prstGeom>
          <a:noFill/>
          <a:ln w="6350"/>
        </xdr:spPr>
        <xdr:style>
          <a:lnRef idx="2">
            <a:schemeClr val="accent1">
              <a:shade val="15000"/>
            </a:schemeClr>
          </a:lnRef>
          <a:fillRef idx="1">
            <a:schemeClr val="accent1"/>
          </a:fillRef>
          <a:effectRef idx="0">
            <a:schemeClr val="accent1"/>
          </a:effectRef>
          <a:fontRef idx="minor">
            <a:schemeClr val="lt1"/>
          </a:fontRef>
        </xdr:style>
      </xdr:cxnSp>
      <xdr:sp macro="" textlink="">
        <xdr:nvSpPr>
          <xdr:cNvPr id="1566" name="Rectangle 1565">
            <a:extLst>
              <a:ext uri="{FF2B5EF4-FFF2-40B4-BE49-F238E27FC236}">
                <a16:creationId xmlns:a16="http://schemas.microsoft.com/office/drawing/2014/main" id="{2601CE9D-A0AA-763E-8048-CF416054D982}"/>
              </a:ext>
            </a:extLst>
          </xdr:cNvPr>
          <xdr:cNvSpPr/>
        </xdr:nvSpPr>
        <xdr:spPr>
          <a:xfrm>
            <a:off x="11177588" y="11677651"/>
            <a:ext cx="323849" cy="95250"/>
          </a:xfrm>
          <a:prstGeom prst="rect">
            <a:avLst/>
          </a:prstGeom>
          <a:pattFill prst="ltUpDiag">
            <a:fgClr>
              <a:schemeClr val="tx1"/>
            </a:fgClr>
            <a:bgClr>
              <a:schemeClr val="bg1"/>
            </a:bgClr>
          </a:patt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kern="1200"/>
          </a:p>
        </xdr:txBody>
      </xdr:sp>
      <xdr:cxnSp macro="">
        <xdr:nvCxnSpPr>
          <xdr:cNvPr id="1567" name="Straight Connector 1566">
            <a:extLst>
              <a:ext uri="{FF2B5EF4-FFF2-40B4-BE49-F238E27FC236}">
                <a16:creationId xmlns:a16="http://schemas.microsoft.com/office/drawing/2014/main" id="{DCC11560-A47A-F333-903C-D45155B0F819}"/>
              </a:ext>
            </a:extLst>
          </xdr:cNvPr>
          <xdr:cNvCxnSpPr/>
        </xdr:nvCxnSpPr>
        <xdr:spPr>
          <a:xfrm>
            <a:off x="11172825" y="11668125"/>
            <a:ext cx="328612"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568" name="Straight Connector 1567">
            <a:extLst>
              <a:ext uri="{FF2B5EF4-FFF2-40B4-BE49-F238E27FC236}">
                <a16:creationId xmlns:a16="http://schemas.microsoft.com/office/drawing/2014/main" id="{2B43F779-38F7-E5CC-54C5-C7D95DBB1FA9}"/>
              </a:ext>
            </a:extLst>
          </xdr:cNvPr>
          <xdr:cNvCxnSpPr/>
        </xdr:nvCxnSpPr>
        <xdr:spPr>
          <a:xfrm>
            <a:off x="11268075" y="11099800"/>
            <a:ext cx="450850"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569" name="Straight Connector 1568">
            <a:extLst>
              <a:ext uri="{FF2B5EF4-FFF2-40B4-BE49-F238E27FC236}">
                <a16:creationId xmlns:a16="http://schemas.microsoft.com/office/drawing/2014/main" id="{AD02E642-2622-8067-197A-C34989BCB2C6}"/>
              </a:ext>
            </a:extLst>
          </xdr:cNvPr>
          <xdr:cNvCxnSpPr/>
        </xdr:nvCxnSpPr>
        <xdr:spPr>
          <a:xfrm flipH="1">
            <a:off x="11299825" y="11064875"/>
            <a:ext cx="71438" cy="7143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570" name="Straight Connector 1569">
            <a:extLst>
              <a:ext uri="{FF2B5EF4-FFF2-40B4-BE49-F238E27FC236}">
                <a16:creationId xmlns:a16="http://schemas.microsoft.com/office/drawing/2014/main" id="{10AF2F08-8E5E-A903-8A45-FA647A9DD065}"/>
              </a:ext>
            </a:extLst>
          </xdr:cNvPr>
          <xdr:cNvCxnSpPr/>
        </xdr:nvCxnSpPr>
        <xdr:spPr>
          <a:xfrm flipV="1">
            <a:off x="11661775" y="10912475"/>
            <a:ext cx="0" cy="2508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571" name="Straight Connector 1570">
            <a:extLst>
              <a:ext uri="{FF2B5EF4-FFF2-40B4-BE49-F238E27FC236}">
                <a16:creationId xmlns:a16="http://schemas.microsoft.com/office/drawing/2014/main" id="{183CD9A2-B3B5-445E-15FD-AECEDA6EFF61}"/>
              </a:ext>
            </a:extLst>
          </xdr:cNvPr>
          <xdr:cNvCxnSpPr/>
        </xdr:nvCxnSpPr>
        <xdr:spPr>
          <a:xfrm flipH="1">
            <a:off x="11623675" y="11064875"/>
            <a:ext cx="71438" cy="7143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572" name="Straight Connector 1571">
            <a:extLst>
              <a:ext uri="{FF2B5EF4-FFF2-40B4-BE49-F238E27FC236}">
                <a16:creationId xmlns:a16="http://schemas.microsoft.com/office/drawing/2014/main" id="{AE737545-808D-6185-C021-FD04BCF5FA67}"/>
              </a:ext>
            </a:extLst>
          </xdr:cNvPr>
          <xdr:cNvCxnSpPr/>
        </xdr:nvCxnSpPr>
        <xdr:spPr>
          <a:xfrm>
            <a:off x="11557000" y="10526713"/>
            <a:ext cx="501650"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573" name="Straight Connector 1572">
            <a:extLst>
              <a:ext uri="{FF2B5EF4-FFF2-40B4-BE49-F238E27FC236}">
                <a16:creationId xmlns:a16="http://schemas.microsoft.com/office/drawing/2014/main" id="{4E3EA231-ABF8-E3F1-17B9-9CBAF05F14AA}"/>
              </a:ext>
            </a:extLst>
          </xdr:cNvPr>
          <xdr:cNvCxnSpPr/>
        </xdr:nvCxnSpPr>
        <xdr:spPr>
          <a:xfrm>
            <a:off x="11712575" y="10883900"/>
            <a:ext cx="336550"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574" name="Straight Connector 1573">
            <a:extLst>
              <a:ext uri="{FF2B5EF4-FFF2-40B4-BE49-F238E27FC236}">
                <a16:creationId xmlns:a16="http://schemas.microsoft.com/office/drawing/2014/main" id="{E8BD9CFB-7D60-51EE-18EA-36FDFD74361A}"/>
              </a:ext>
            </a:extLst>
          </xdr:cNvPr>
          <xdr:cNvCxnSpPr/>
        </xdr:nvCxnSpPr>
        <xdr:spPr>
          <a:xfrm flipV="1">
            <a:off x="11980862" y="9729788"/>
            <a:ext cx="0" cy="200501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575" name="Straight Connector 1574">
            <a:extLst>
              <a:ext uri="{FF2B5EF4-FFF2-40B4-BE49-F238E27FC236}">
                <a16:creationId xmlns:a16="http://schemas.microsoft.com/office/drawing/2014/main" id="{0B265E06-524B-F0A3-1D76-50A2E0E454DC}"/>
              </a:ext>
            </a:extLst>
          </xdr:cNvPr>
          <xdr:cNvCxnSpPr/>
        </xdr:nvCxnSpPr>
        <xdr:spPr>
          <a:xfrm flipH="1">
            <a:off x="11942762" y="10850563"/>
            <a:ext cx="71438" cy="7143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576" name="Straight Connector 1575">
            <a:extLst>
              <a:ext uri="{FF2B5EF4-FFF2-40B4-BE49-F238E27FC236}">
                <a16:creationId xmlns:a16="http://schemas.microsoft.com/office/drawing/2014/main" id="{EB9B871B-1300-A3B5-B992-9A92A2F91C12}"/>
              </a:ext>
            </a:extLst>
          </xdr:cNvPr>
          <xdr:cNvCxnSpPr/>
        </xdr:nvCxnSpPr>
        <xdr:spPr>
          <a:xfrm flipH="1">
            <a:off x="11947515" y="10491793"/>
            <a:ext cx="71438" cy="7143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577" name="Straight Connector 1576">
            <a:extLst>
              <a:ext uri="{FF2B5EF4-FFF2-40B4-BE49-F238E27FC236}">
                <a16:creationId xmlns:a16="http://schemas.microsoft.com/office/drawing/2014/main" id="{74936999-6FC9-592D-BE2E-4E07AE57F67E}"/>
              </a:ext>
            </a:extLst>
          </xdr:cNvPr>
          <xdr:cNvCxnSpPr/>
        </xdr:nvCxnSpPr>
        <xdr:spPr>
          <a:xfrm>
            <a:off x="11509375" y="10883900"/>
            <a:ext cx="654050" cy="350838"/>
          </a:xfrm>
          <a:prstGeom prst="line">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578" name="Straight Connector 1577">
            <a:extLst>
              <a:ext uri="{FF2B5EF4-FFF2-40B4-BE49-F238E27FC236}">
                <a16:creationId xmlns:a16="http://schemas.microsoft.com/office/drawing/2014/main" id="{F193249A-26CA-A6E0-2EB7-E7E7B2D1AEC2}"/>
              </a:ext>
            </a:extLst>
          </xdr:cNvPr>
          <xdr:cNvCxnSpPr/>
        </xdr:nvCxnSpPr>
        <xdr:spPr>
          <a:xfrm flipV="1">
            <a:off x="11458575" y="10091738"/>
            <a:ext cx="728663" cy="563562"/>
          </a:xfrm>
          <a:prstGeom prst="line">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579" name="Straight Connector 1578">
            <a:extLst>
              <a:ext uri="{FF2B5EF4-FFF2-40B4-BE49-F238E27FC236}">
                <a16:creationId xmlns:a16="http://schemas.microsoft.com/office/drawing/2014/main" id="{A866BFEF-79DF-50F2-AE04-E24A89CBF860}"/>
              </a:ext>
            </a:extLst>
          </xdr:cNvPr>
          <xdr:cNvCxnSpPr/>
        </xdr:nvCxnSpPr>
        <xdr:spPr>
          <a:xfrm flipH="1">
            <a:off x="11582401" y="11668124"/>
            <a:ext cx="466724"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580" name="Straight Connector 1579">
            <a:extLst>
              <a:ext uri="{FF2B5EF4-FFF2-40B4-BE49-F238E27FC236}">
                <a16:creationId xmlns:a16="http://schemas.microsoft.com/office/drawing/2014/main" id="{6E60E946-8959-A4E9-B237-2FEEFC62B72B}"/>
              </a:ext>
            </a:extLst>
          </xdr:cNvPr>
          <xdr:cNvCxnSpPr/>
        </xdr:nvCxnSpPr>
        <xdr:spPr>
          <a:xfrm>
            <a:off x="11801474" y="9734550"/>
            <a:ext cx="0" cy="152398"/>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581" name="Straight Connector 1580">
            <a:extLst>
              <a:ext uri="{FF2B5EF4-FFF2-40B4-BE49-F238E27FC236}">
                <a16:creationId xmlns:a16="http://schemas.microsoft.com/office/drawing/2014/main" id="{E4D9C32A-DDC0-7DD8-0231-1E0B30A8C06F}"/>
              </a:ext>
            </a:extLst>
          </xdr:cNvPr>
          <xdr:cNvCxnSpPr/>
        </xdr:nvCxnSpPr>
        <xdr:spPr>
          <a:xfrm>
            <a:off x="11825288" y="9812338"/>
            <a:ext cx="228600"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582" name="Straight Connector 1581">
            <a:extLst>
              <a:ext uri="{FF2B5EF4-FFF2-40B4-BE49-F238E27FC236}">
                <a16:creationId xmlns:a16="http://schemas.microsoft.com/office/drawing/2014/main" id="{E06B657A-09D0-58FA-58CD-C664FF843C18}"/>
              </a:ext>
            </a:extLst>
          </xdr:cNvPr>
          <xdr:cNvCxnSpPr/>
        </xdr:nvCxnSpPr>
        <xdr:spPr>
          <a:xfrm flipH="1">
            <a:off x="11942753" y="9777418"/>
            <a:ext cx="71438" cy="7143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583" name="Straight Connector 1582">
            <a:extLst>
              <a:ext uri="{FF2B5EF4-FFF2-40B4-BE49-F238E27FC236}">
                <a16:creationId xmlns:a16="http://schemas.microsoft.com/office/drawing/2014/main" id="{60B1769E-3665-F074-34F8-EB6C56F1BC3D}"/>
              </a:ext>
            </a:extLst>
          </xdr:cNvPr>
          <xdr:cNvCxnSpPr/>
        </xdr:nvCxnSpPr>
        <xdr:spPr>
          <a:xfrm flipH="1">
            <a:off x="11949110" y="11630029"/>
            <a:ext cx="71438" cy="71438"/>
          </a:xfrm>
          <a:prstGeom prst="line">
            <a:avLst/>
          </a:prstGeom>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38</xdr:col>
      <xdr:colOff>0</xdr:colOff>
      <xdr:row>834</xdr:row>
      <xdr:rowOff>139700</xdr:rowOff>
    </xdr:from>
    <xdr:to>
      <xdr:col>66</xdr:col>
      <xdr:colOff>71438</xdr:colOff>
      <xdr:row>843</xdr:row>
      <xdr:rowOff>80963</xdr:rowOff>
    </xdr:to>
    <xdr:grpSp>
      <xdr:nvGrpSpPr>
        <xdr:cNvPr id="1584" name="Group 1583">
          <a:extLst>
            <a:ext uri="{FF2B5EF4-FFF2-40B4-BE49-F238E27FC236}">
              <a16:creationId xmlns:a16="http://schemas.microsoft.com/office/drawing/2014/main" id="{1D0C085B-EA3A-4FC0-9CF3-DCE2474E7357}"/>
            </a:ext>
          </a:extLst>
        </xdr:cNvPr>
        <xdr:cNvGrpSpPr/>
      </xdr:nvGrpSpPr>
      <xdr:grpSpPr>
        <a:xfrm>
          <a:off x="6153150" y="121478675"/>
          <a:ext cx="4605338" cy="1227138"/>
          <a:chOff x="6153150" y="10379075"/>
          <a:chExt cx="4605338" cy="1227138"/>
        </a:xfrm>
      </xdr:grpSpPr>
      <xdr:cxnSp macro="">
        <xdr:nvCxnSpPr>
          <xdr:cNvPr id="1585" name="Straight Connector 1584">
            <a:extLst>
              <a:ext uri="{FF2B5EF4-FFF2-40B4-BE49-F238E27FC236}">
                <a16:creationId xmlns:a16="http://schemas.microsoft.com/office/drawing/2014/main" id="{2EC4BDCF-7849-7B86-4C95-63B9CB7382D2}"/>
              </a:ext>
            </a:extLst>
          </xdr:cNvPr>
          <xdr:cNvCxnSpPr/>
        </xdr:nvCxnSpPr>
        <xdr:spPr>
          <a:xfrm>
            <a:off x="6272213" y="11096625"/>
            <a:ext cx="3981450" cy="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586" name="Straight Connector 1585">
            <a:extLst>
              <a:ext uri="{FF2B5EF4-FFF2-40B4-BE49-F238E27FC236}">
                <a16:creationId xmlns:a16="http://schemas.microsoft.com/office/drawing/2014/main" id="{FD465379-77F2-01E9-0AA3-14918105ACC1}"/>
              </a:ext>
            </a:extLst>
          </xdr:cNvPr>
          <xdr:cNvCxnSpPr/>
        </xdr:nvCxnSpPr>
        <xdr:spPr>
          <a:xfrm flipV="1">
            <a:off x="7610486" y="10668000"/>
            <a:ext cx="0" cy="428625"/>
          </a:xfrm>
          <a:prstGeom prst="line">
            <a:avLst/>
          </a:prstGeom>
          <a:noFill/>
          <a:ln w="6350">
            <a:prstDash val="dash"/>
          </a:ln>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1587" name="Straight Connector 1586">
            <a:extLst>
              <a:ext uri="{FF2B5EF4-FFF2-40B4-BE49-F238E27FC236}">
                <a16:creationId xmlns:a16="http://schemas.microsoft.com/office/drawing/2014/main" id="{DF5E5D09-7E31-B581-3AA1-69B098BB09C4}"/>
              </a:ext>
            </a:extLst>
          </xdr:cNvPr>
          <xdr:cNvCxnSpPr/>
        </xdr:nvCxnSpPr>
        <xdr:spPr>
          <a:xfrm flipV="1">
            <a:off x="8905885" y="10668000"/>
            <a:ext cx="0" cy="423862"/>
          </a:xfrm>
          <a:prstGeom prst="line">
            <a:avLst/>
          </a:prstGeom>
          <a:noFill/>
          <a:ln w="6350">
            <a:prstDash val="dash"/>
          </a:ln>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1588" name="Straight Connector 1587">
            <a:extLst>
              <a:ext uri="{FF2B5EF4-FFF2-40B4-BE49-F238E27FC236}">
                <a16:creationId xmlns:a16="http://schemas.microsoft.com/office/drawing/2014/main" id="{70579D9B-DECD-C596-CA33-431CE28F73A2}"/>
              </a:ext>
            </a:extLst>
          </xdr:cNvPr>
          <xdr:cNvCxnSpPr/>
        </xdr:nvCxnSpPr>
        <xdr:spPr>
          <a:xfrm flipV="1">
            <a:off x="6724650" y="10663238"/>
            <a:ext cx="0" cy="428627"/>
          </a:xfrm>
          <a:prstGeom prst="line">
            <a:avLst/>
          </a:prstGeom>
          <a:noFill/>
          <a:ln w="6350">
            <a:prstDash val="dash"/>
          </a:ln>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1589" name="Straight Connector 1588">
            <a:extLst>
              <a:ext uri="{FF2B5EF4-FFF2-40B4-BE49-F238E27FC236}">
                <a16:creationId xmlns:a16="http://schemas.microsoft.com/office/drawing/2014/main" id="{2F51AEA5-593B-CDD6-14AB-EF0F9426885E}"/>
              </a:ext>
            </a:extLst>
          </xdr:cNvPr>
          <xdr:cNvCxnSpPr/>
        </xdr:nvCxnSpPr>
        <xdr:spPr>
          <a:xfrm flipV="1">
            <a:off x="7196145" y="10672763"/>
            <a:ext cx="0" cy="419102"/>
          </a:xfrm>
          <a:prstGeom prst="line">
            <a:avLst/>
          </a:prstGeom>
          <a:noFill/>
          <a:ln w="6350">
            <a:prstDash val="dash"/>
          </a:ln>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1590" name="Straight Connector 1589">
            <a:extLst>
              <a:ext uri="{FF2B5EF4-FFF2-40B4-BE49-F238E27FC236}">
                <a16:creationId xmlns:a16="http://schemas.microsoft.com/office/drawing/2014/main" id="{1B58CDB8-27A8-FCEA-0665-92B8D22A846D}"/>
              </a:ext>
            </a:extLst>
          </xdr:cNvPr>
          <xdr:cNvCxnSpPr/>
        </xdr:nvCxnSpPr>
        <xdr:spPr>
          <a:xfrm flipV="1">
            <a:off x="9791710" y="10663238"/>
            <a:ext cx="0" cy="428626"/>
          </a:xfrm>
          <a:prstGeom prst="line">
            <a:avLst/>
          </a:prstGeom>
          <a:noFill/>
          <a:ln w="6350">
            <a:prstDash val="dash"/>
          </a:ln>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1591" name="Straight Connector 1590">
            <a:extLst>
              <a:ext uri="{FF2B5EF4-FFF2-40B4-BE49-F238E27FC236}">
                <a16:creationId xmlns:a16="http://schemas.microsoft.com/office/drawing/2014/main" id="{4C94411D-4024-4527-ADF9-BF9A4113B021}"/>
              </a:ext>
            </a:extLst>
          </xdr:cNvPr>
          <xdr:cNvCxnSpPr/>
        </xdr:nvCxnSpPr>
        <xdr:spPr>
          <a:xfrm flipV="1">
            <a:off x="9334518" y="10668000"/>
            <a:ext cx="0" cy="423865"/>
          </a:xfrm>
          <a:prstGeom prst="line">
            <a:avLst/>
          </a:prstGeom>
          <a:noFill/>
          <a:ln w="6350">
            <a:prstDash val="dash"/>
          </a:ln>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1592" name="Straight Connector 1591">
            <a:extLst>
              <a:ext uri="{FF2B5EF4-FFF2-40B4-BE49-F238E27FC236}">
                <a16:creationId xmlns:a16="http://schemas.microsoft.com/office/drawing/2014/main" id="{3AE091A4-F7F4-F2DC-EAC6-8F62837F832B}"/>
              </a:ext>
            </a:extLst>
          </xdr:cNvPr>
          <xdr:cNvCxnSpPr/>
        </xdr:nvCxnSpPr>
        <xdr:spPr>
          <a:xfrm flipV="1">
            <a:off x="8258185" y="10672763"/>
            <a:ext cx="0" cy="419101"/>
          </a:xfrm>
          <a:prstGeom prst="line">
            <a:avLst/>
          </a:prstGeom>
          <a:noFill/>
          <a:ln w="6350">
            <a:prstDash val="dash"/>
          </a:ln>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1593" name="Straight Connector 1592">
            <a:extLst>
              <a:ext uri="{FF2B5EF4-FFF2-40B4-BE49-F238E27FC236}">
                <a16:creationId xmlns:a16="http://schemas.microsoft.com/office/drawing/2014/main" id="{CF7420EE-37ED-8B7F-C678-E471190F9FAE}"/>
              </a:ext>
            </a:extLst>
          </xdr:cNvPr>
          <xdr:cNvCxnSpPr/>
        </xdr:nvCxnSpPr>
        <xdr:spPr>
          <a:xfrm flipV="1">
            <a:off x="6315075" y="10668000"/>
            <a:ext cx="409575" cy="428626"/>
          </a:xfrm>
          <a:prstGeom prst="line">
            <a:avLst/>
          </a:prstGeom>
          <a:noFill/>
          <a:ln w="6350">
            <a:prstDash val="dash"/>
          </a:ln>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1594" name="Straight Connector 1593">
            <a:extLst>
              <a:ext uri="{FF2B5EF4-FFF2-40B4-BE49-F238E27FC236}">
                <a16:creationId xmlns:a16="http://schemas.microsoft.com/office/drawing/2014/main" id="{2C43DD24-63F3-7319-FF1C-EE171E8DB5CC}"/>
              </a:ext>
            </a:extLst>
          </xdr:cNvPr>
          <xdr:cNvCxnSpPr/>
        </xdr:nvCxnSpPr>
        <xdr:spPr>
          <a:xfrm>
            <a:off x="6724650" y="10667999"/>
            <a:ext cx="3067050" cy="0"/>
          </a:xfrm>
          <a:prstGeom prst="line">
            <a:avLst/>
          </a:prstGeom>
          <a:noFill/>
          <a:ln w="6350">
            <a:prstDash val="dash"/>
          </a:ln>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1595" name="Straight Connector 1594">
            <a:extLst>
              <a:ext uri="{FF2B5EF4-FFF2-40B4-BE49-F238E27FC236}">
                <a16:creationId xmlns:a16="http://schemas.microsoft.com/office/drawing/2014/main" id="{45E8F69F-A2DE-AAD1-9CDD-D82C5D925C20}"/>
              </a:ext>
            </a:extLst>
          </xdr:cNvPr>
          <xdr:cNvCxnSpPr/>
        </xdr:nvCxnSpPr>
        <xdr:spPr>
          <a:xfrm>
            <a:off x="9791700" y="10668000"/>
            <a:ext cx="409575" cy="423863"/>
          </a:xfrm>
          <a:prstGeom prst="line">
            <a:avLst/>
          </a:prstGeom>
          <a:noFill/>
          <a:ln w="6350">
            <a:prstDash val="dash"/>
          </a:ln>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1596" name="Straight Connector 1595">
            <a:extLst>
              <a:ext uri="{FF2B5EF4-FFF2-40B4-BE49-F238E27FC236}">
                <a16:creationId xmlns:a16="http://schemas.microsoft.com/office/drawing/2014/main" id="{41099D54-D897-DB5E-69C2-F13FB82E4E89}"/>
              </a:ext>
            </a:extLst>
          </xdr:cNvPr>
          <xdr:cNvCxnSpPr/>
        </xdr:nvCxnSpPr>
        <xdr:spPr>
          <a:xfrm flipV="1">
            <a:off x="7607300" y="10668000"/>
            <a:ext cx="655638" cy="434975"/>
          </a:xfrm>
          <a:prstGeom prst="line">
            <a:avLst/>
          </a:prstGeom>
          <a:noFill/>
          <a:ln w="6350">
            <a:prstDash val="dash"/>
          </a:ln>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1597" name="Straight Connector 1596">
            <a:extLst>
              <a:ext uri="{FF2B5EF4-FFF2-40B4-BE49-F238E27FC236}">
                <a16:creationId xmlns:a16="http://schemas.microsoft.com/office/drawing/2014/main" id="{5D08C8B8-9527-D359-0E38-91FF3C0F30B8}"/>
              </a:ext>
            </a:extLst>
          </xdr:cNvPr>
          <xdr:cNvCxnSpPr/>
        </xdr:nvCxnSpPr>
        <xdr:spPr>
          <a:xfrm flipV="1">
            <a:off x="7200900" y="10668000"/>
            <a:ext cx="414338" cy="423862"/>
          </a:xfrm>
          <a:prstGeom prst="line">
            <a:avLst/>
          </a:prstGeom>
          <a:noFill/>
          <a:ln w="6350">
            <a:prstDash val="dash"/>
          </a:ln>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1598" name="Straight Connector 1597">
            <a:extLst>
              <a:ext uri="{FF2B5EF4-FFF2-40B4-BE49-F238E27FC236}">
                <a16:creationId xmlns:a16="http://schemas.microsoft.com/office/drawing/2014/main" id="{F584FB16-A4F4-249B-61C1-4CB63C88ADB4}"/>
              </a:ext>
            </a:extLst>
          </xdr:cNvPr>
          <xdr:cNvCxnSpPr/>
        </xdr:nvCxnSpPr>
        <xdr:spPr>
          <a:xfrm flipV="1">
            <a:off x="6724651" y="10668000"/>
            <a:ext cx="471487" cy="428625"/>
          </a:xfrm>
          <a:prstGeom prst="line">
            <a:avLst/>
          </a:prstGeom>
          <a:noFill/>
          <a:ln w="6350">
            <a:prstDash val="dash"/>
          </a:ln>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1599" name="Straight Connector 1598">
            <a:extLst>
              <a:ext uri="{FF2B5EF4-FFF2-40B4-BE49-F238E27FC236}">
                <a16:creationId xmlns:a16="http://schemas.microsoft.com/office/drawing/2014/main" id="{712D05C7-CDDC-0199-E82F-47D7C7477451}"/>
              </a:ext>
            </a:extLst>
          </xdr:cNvPr>
          <xdr:cNvCxnSpPr/>
        </xdr:nvCxnSpPr>
        <xdr:spPr>
          <a:xfrm flipH="1" flipV="1">
            <a:off x="8258175" y="10668000"/>
            <a:ext cx="647701" cy="428626"/>
          </a:xfrm>
          <a:prstGeom prst="line">
            <a:avLst/>
          </a:prstGeom>
          <a:noFill/>
          <a:ln w="6350">
            <a:prstDash val="dash"/>
          </a:ln>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1600" name="Straight Connector 1599">
            <a:extLst>
              <a:ext uri="{FF2B5EF4-FFF2-40B4-BE49-F238E27FC236}">
                <a16:creationId xmlns:a16="http://schemas.microsoft.com/office/drawing/2014/main" id="{2DDB00C0-ED3C-E0D0-4F98-125304B51654}"/>
              </a:ext>
            </a:extLst>
          </xdr:cNvPr>
          <xdr:cNvCxnSpPr/>
        </xdr:nvCxnSpPr>
        <xdr:spPr>
          <a:xfrm flipH="1" flipV="1">
            <a:off x="8905875" y="10672763"/>
            <a:ext cx="428627" cy="423863"/>
          </a:xfrm>
          <a:prstGeom prst="line">
            <a:avLst/>
          </a:prstGeom>
          <a:noFill/>
          <a:ln w="6350">
            <a:prstDash val="dash"/>
          </a:ln>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1601" name="Straight Connector 1600">
            <a:extLst>
              <a:ext uri="{FF2B5EF4-FFF2-40B4-BE49-F238E27FC236}">
                <a16:creationId xmlns:a16="http://schemas.microsoft.com/office/drawing/2014/main" id="{75376739-357F-A819-F00D-870C00D67A21}"/>
              </a:ext>
            </a:extLst>
          </xdr:cNvPr>
          <xdr:cNvCxnSpPr/>
        </xdr:nvCxnSpPr>
        <xdr:spPr>
          <a:xfrm flipH="1" flipV="1">
            <a:off x="9339263" y="10672763"/>
            <a:ext cx="452439" cy="428625"/>
          </a:xfrm>
          <a:prstGeom prst="line">
            <a:avLst/>
          </a:prstGeom>
          <a:noFill/>
          <a:ln w="6350">
            <a:prstDash val="dash"/>
          </a:ln>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1602" name="Straight Connector 1601">
            <a:extLst>
              <a:ext uri="{FF2B5EF4-FFF2-40B4-BE49-F238E27FC236}">
                <a16:creationId xmlns:a16="http://schemas.microsoft.com/office/drawing/2014/main" id="{3D037457-1E7D-42C2-4868-C4A5444CE413}"/>
              </a:ext>
            </a:extLst>
          </xdr:cNvPr>
          <xdr:cNvCxnSpPr/>
        </xdr:nvCxnSpPr>
        <xdr:spPr>
          <a:xfrm>
            <a:off x="6232525" y="11196642"/>
            <a:ext cx="406082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nvGrpSpPr>
          <xdr:cNvPr id="1603" name="Group 1602">
            <a:extLst>
              <a:ext uri="{FF2B5EF4-FFF2-40B4-BE49-F238E27FC236}">
                <a16:creationId xmlns:a16="http://schemas.microsoft.com/office/drawing/2014/main" id="{9D6F9A8D-D686-C910-684D-379A3A9241E2}"/>
              </a:ext>
            </a:extLst>
          </xdr:cNvPr>
          <xdr:cNvGrpSpPr/>
        </xdr:nvGrpSpPr>
        <xdr:grpSpPr>
          <a:xfrm>
            <a:off x="8875713" y="11098213"/>
            <a:ext cx="49212" cy="92074"/>
            <a:chOff x="8320088" y="10028238"/>
            <a:chExt cx="49212" cy="92074"/>
          </a:xfrm>
        </xdr:grpSpPr>
        <xdr:cxnSp macro="">
          <xdr:nvCxnSpPr>
            <xdr:cNvPr id="1666" name="Straight Connector 1665">
              <a:extLst>
                <a:ext uri="{FF2B5EF4-FFF2-40B4-BE49-F238E27FC236}">
                  <a16:creationId xmlns:a16="http://schemas.microsoft.com/office/drawing/2014/main" id="{E7F96C97-35B4-4140-54FA-C11836864BB9}"/>
                </a:ext>
              </a:extLst>
            </xdr:cNvPr>
            <xdr:cNvCxnSpPr/>
          </xdr:nvCxnSpPr>
          <xdr:spPr>
            <a:xfrm>
              <a:off x="8345488" y="10028238"/>
              <a:ext cx="0" cy="90487"/>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667" name="Straight Connector 1666">
              <a:extLst>
                <a:ext uri="{FF2B5EF4-FFF2-40B4-BE49-F238E27FC236}">
                  <a16:creationId xmlns:a16="http://schemas.microsoft.com/office/drawing/2014/main" id="{5F1C51D7-A9C4-1D61-CB7D-0895CD5CA891}"/>
                </a:ext>
              </a:extLst>
            </xdr:cNvPr>
            <xdr:cNvCxnSpPr/>
          </xdr:nvCxnSpPr>
          <xdr:spPr>
            <a:xfrm>
              <a:off x="8320088" y="10034587"/>
              <a:ext cx="49212" cy="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668" name="Straight Connector 1667">
              <a:extLst>
                <a:ext uri="{FF2B5EF4-FFF2-40B4-BE49-F238E27FC236}">
                  <a16:creationId xmlns:a16="http://schemas.microsoft.com/office/drawing/2014/main" id="{C42BE7B7-A5C2-DD00-01CA-52757A71DEE6}"/>
                </a:ext>
              </a:extLst>
            </xdr:cNvPr>
            <xdr:cNvCxnSpPr/>
          </xdr:nvCxnSpPr>
          <xdr:spPr>
            <a:xfrm>
              <a:off x="8320088" y="10120312"/>
              <a:ext cx="49212" cy="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nvGrpSpPr>
          <xdr:cNvPr id="1604" name="Group 1603">
            <a:extLst>
              <a:ext uri="{FF2B5EF4-FFF2-40B4-BE49-F238E27FC236}">
                <a16:creationId xmlns:a16="http://schemas.microsoft.com/office/drawing/2014/main" id="{E6092DC8-CF9A-3E4B-3F78-C9C92C9E9282}"/>
              </a:ext>
            </a:extLst>
          </xdr:cNvPr>
          <xdr:cNvGrpSpPr/>
        </xdr:nvGrpSpPr>
        <xdr:grpSpPr>
          <a:xfrm>
            <a:off x="7172325" y="11096625"/>
            <a:ext cx="49212" cy="92074"/>
            <a:chOff x="8320088" y="10028238"/>
            <a:chExt cx="49212" cy="92074"/>
          </a:xfrm>
        </xdr:grpSpPr>
        <xdr:cxnSp macro="">
          <xdr:nvCxnSpPr>
            <xdr:cNvPr id="1663" name="Straight Connector 1662">
              <a:extLst>
                <a:ext uri="{FF2B5EF4-FFF2-40B4-BE49-F238E27FC236}">
                  <a16:creationId xmlns:a16="http://schemas.microsoft.com/office/drawing/2014/main" id="{262AFDF8-BDE5-6212-7F13-4079E00E0D38}"/>
                </a:ext>
              </a:extLst>
            </xdr:cNvPr>
            <xdr:cNvCxnSpPr/>
          </xdr:nvCxnSpPr>
          <xdr:spPr>
            <a:xfrm>
              <a:off x="8345488" y="10028238"/>
              <a:ext cx="0" cy="90487"/>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664" name="Straight Connector 1663">
              <a:extLst>
                <a:ext uri="{FF2B5EF4-FFF2-40B4-BE49-F238E27FC236}">
                  <a16:creationId xmlns:a16="http://schemas.microsoft.com/office/drawing/2014/main" id="{0AC6580A-3DD4-5C2B-DD73-0A73554A527C}"/>
                </a:ext>
              </a:extLst>
            </xdr:cNvPr>
            <xdr:cNvCxnSpPr/>
          </xdr:nvCxnSpPr>
          <xdr:spPr>
            <a:xfrm>
              <a:off x="8320088" y="10034587"/>
              <a:ext cx="49212" cy="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665" name="Straight Connector 1664">
              <a:extLst>
                <a:ext uri="{FF2B5EF4-FFF2-40B4-BE49-F238E27FC236}">
                  <a16:creationId xmlns:a16="http://schemas.microsoft.com/office/drawing/2014/main" id="{7D2F3AB6-5F3E-7767-A880-B72DB82C179F}"/>
                </a:ext>
              </a:extLst>
            </xdr:cNvPr>
            <xdr:cNvCxnSpPr/>
          </xdr:nvCxnSpPr>
          <xdr:spPr>
            <a:xfrm>
              <a:off x="8320088" y="10120312"/>
              <a:ext cx="49212" cy="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nvGrpSpPr>
          <xdr:cNvPr id="1605" name="Group 1604">
            <a:extLst>
              <a:ext uri="{FF2B5EF4-FFF2-40B4-BE49-F238E27FC236}">
                <a16:creationId xmlns:a16="http://schemas.microsoft.com/office/drawing/2014/main" id="{F1FB9C71-E237-7C85-4DBB-8E5B5311D9E9}"/>
              </a:ext>
            </a:extLst>
          </xdr:cNvPr>
          <xdr:cNvGrpSpPr/>
        </xdr:nvGrpSpPr>
        <xdr:grpSpPr>
          <a:xfrm>
            <a:off x="6696075" y="11096625"/>
            <a:ext cx="49212" cy="92074"/>
            <a:chOff x="8320088" y="10028238"/>
            <a:chExt cx="49212" cy="92074"/>
          </a:xfrm>
        </xdr:grpSpPr>
        <xdr:cxnSp macro="">
          <xdr:nvCxnSpPr>
            <xdr:cNvPr id="1660" name="Straight Connector 1659">
              <a:extLst>
                <a:ext uri="{FF2B5EF4-FFF2-40B4-BE49-F238E27FC236}">
                  <a16:creationId xmlns:a16="http://schemas.microsoft.com/office/drawing/2014/main" id="{4CA76340-8911-5DC7-151E-D8D60DF62EFF}"/>
                </a:ext>
              </a:extLst>
            </xdr:cNvPr>
            <xdr:cNvCxnSpPr/>
          </xdr:nvCxnSpPr>
          <xdr:spPr>
            <a:xfrm>
              <a:off x="8345488" y="10028238"/>
              <a:ext cx="0" cy="90487"/>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661" name="Straight Connector 1660">
              <a:extLst>
                <a:ext uri="{FF2B5EF4-FFF2-40B4-BE49-F238E27FC236}">
                  <a16:creationId xmlns:a16="http://schemas.microsoft.com/office/drawing/2014/main" id="{52DF68BD-46ED-30A6-810A-5635E1396A44}"/>
                </a:ext>
              </a:extLst>
            </xdr:cNvPr>
            <xdr:cNvCxnSpPr/>
          </xdr:nvCxnSpPr>
          <xdr:spPr>
            <a:xfrm>
              <a:off x="8320088" y="10034587"/>
              <a:ext cx="49212" cy="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662" name="Straight Connector 1661">
              <a:extLst>
                <a:ext uri="{FF2B5EF4-FFF2-40B4-BE49-F238E27FC236}">
                  <a16:creationId xmlns:a16="http://schemas.microsoft.com/office/drawing/2014/main" id="{EFA57C91-1264-BD3F-D3BF-275512613372}"/>
                </a:ext>
              </a:extLst>
            </xdr:cNvPr>
            <xdr:cNvCxnSpPr/>
          </xdr:nvCxnSpPr>
          <xdr:spPr>
            <a:xfrm>
              <a:off x="8320088" y="10120312"/>
              <a:ext cx="49212" cy="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nvGrpSpPr>
          <xdr:cNvPr id="1606" name="Group 1605">
            <a:extLst>
              <a:ext uri="{FF2B5EF4-FFF2-40B4-BE49-F238E27FC236}">
                <a16:creationId xmlns:a16="http://schemas.microsoft.com/office/drawing/2014/main" id="{B41F2CF0-B702-2D74-DDA0-41E161DCD6DC}"/>
              </a:ext>
            </a:extLst>
          </xdr:cNvPr>
          <xdr:cNvGrpSpPr/>
        </xdr:nvGrpSpPr>
        <xdr:grpSpPr>
          <a:xfrm>
            <a:off x="7585075" y="11096625"/>
            <a:ext cx="49212" cy="92074"/>
            <a:chOff x="8320088" y="10028238"/>
            <a:chExt cx="49212" cy="92074"/>
          </a:xfrm>
        </xdr:grpSpPr>
        <xdr:cxnSp macro="">
          <xdr:nvCxnSpPr>
            <xdr:cNvPr id="1657" name="Straight Connector 1656">
              <a:extLst>
                <a:ext uri="{FF2B5EF4-FFF2-40B4-BE49-F238E27FC236}">
                  <a16:creationId xmlns:a16="http://schemas.microsoft.com/office/drawing/2014/main" id="{F24FB486-4367-EA5D-1180-62BADF486550}"/>
                </a:ext>
              </a:extLst>
            </xdr:cNvPr>
            <xdr:cNvCxnSpPr/>
          </xdr:nvCxnSpPr>
          <xdr:spPr>
            <a:xfrm>
              <a:off x="8345488" y="10028238"/>
              <a:ext cx="0" cy="90487"/>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658" name="Straight Connector 1657">
              <a:extLst>
                <a:ext uri="{FF2B5EF4-FFF2-40B4-BE49-F238E27FC236}">
                  <a16:creationId xmlns:a16="http://schemas.microsoft.com/office/drawing/2014/main" id="{5C8B7DA6-FDFF-0189-69AB-755FFCCACC55}"/>
                </a:ext>
              </a:extLst>
            </xdr:cNvPr>
            <xdr:cNvCxnSpPr/>
          </xdr:nvCxnSpPr>
          <xdr:spPr>
            <a:xfrm>
              <a:off x="8320088" y="10034587"/>
              <a:ext cx="49212" cy="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659" name="Straight Connector 1658">
              <a:extLst>
                <a:ext uri="{FF2B5EF4-FFF2-40B4-BE49-F238E27FC236}">
                  <a16:creationId xmlns:a16="http://schemas.microsoft.com/office/drawing/2014/main" id="{4B3090DF-E7DE-5E70-9E92-758D6EBDECC7}"/>
                </a:ext>
              </a:extLst>
            </xdr:cNvPr>
            <xdr:cNvCxnSpPr/>
          </xdr:nvCxnSpPr>
          <xdr:spPr>
            <a:xfrm>
              <a:off x="8320088" y="10120312"/>
              <a:ext cx="49212" cy="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nvGrpSpPr>
          <xdr:cNvPr id="1607" name="Group 1606">
            <a:extLst>
              <a:ext uri="{FF2B5EF4-FFF2-40B4-BE49-F238E27FC236}">
                <a16:creationId xmlns:a16="http://schemas.microsoft.com/office/drawing/2014/main" id="{CF4D9698-4332-9DDC-CAD3-68F4C5BDC219}"/>
              </a:ext>
            </a:extLst>
          </xdr:cNvPr>
          <xdr:cNvGrpSpPr/>
        </xdr:nvGrpSpPr>
        <xdr:grpSpPr>
          <a:xfrm>
            <a:off x="8232775" y="11096625"/>
            <a:ext cx="49212" cy="92074"/>
            <a:chOff x="8320088" y="10028238"/>
            <a:chExt cx="49212" cy="92074"/>
          </a:xfrm>
        </xdr:grpSpPr>
        <xdr:cxnSp macro="">
          <xdr:nvCxnSpPr>
            <xdr:cNvPr id="1654" name="Straight Connector 1653">
              <a:extLst>
                <a:ext uri="{FF2B5EF4-FFF2-40B4-BE49-F238E27FC236}">
                  <a16:creationId xmlns:a16="http://schemas.microsoft.com/office/drawing/2014/main" id="{A8ACA571-FF13-F29F-554F-CAD86F19A8F5}"/>
                </a:ext>
              </a:extLst>
            </xdr:cNvPr>
            <xdr:cNvCxnSpPr/>
          </xdr:nvCxnSpPr>
          <xdr:spPr>
            <a:xfrm>
              <a:off x="8345488" y="10028238"/>
              <a:ext cx="0" cy="90487"/>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655" name="Straight Connector 1654">
              <a:extLst>
                <a:ext uri="{FF2B5EF4-FFF2-40B4-BE49-F238E27FC236}">
                  <a16:creationId xmlns:a16="http://schemas.microsoft.com/office/drawing/2014/main" id="{A1CECC61-F85B-3FA8-A41E-631627114251}"/>
                </a:ext>
              </a:extLst>
            </xdr:cNvPr>
            <xdr:cNvCxnSpPr/>
          </xdr:nvCxnSpPr>
          <xdr:spPr>
            <a:xfrm>
              <a:off x="8320088" y="10034587"/>
              <a:ext cx="49212" cy="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656" name="Straight Connector 1655">
              <a:extLst>
                <a:ext uri="{FF2B5EF4-FFF2-40B4-BE49-F238E27FC236}">
                  <a16:creationId xmlns:a16="http://schemas.microsoft.com/office/drawing/2014/main" id="{C6AAF766-9D42-8BA1-DC65-A46259172457}"/>
                </a:ext>
              </a:extLst>
            </xdr:cNvPr>
            <xdr:cNvCxnSpPr/>
          </xdr:nvCxnSpPr>
          <xdr:spPr>
            <a:xfrm>
              <a:off x="8320088" y="10120312"/>
              <a:ext cx="49212" cy="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nvGrpSpPr>
          <xdr:cNvPr id="1608" name="Group 1607">
            <a:extLst>
              <a:ext uri="{FF2B5EF4-FFF2-40B4-BE49-F238E27FC236}">
                <a16:creationId xmlns:a16="http://schemas.microsoft.com/office/drawing/2014/main" id="{CF0BD3D6-747E-B67E-BEC0-2128B4ED5636}"/>
              </a:ext>
            </a:extLst>
          </xdr:cNvPr>
          <xdr:cNvGrpSpPr/>
        </xdr:nvGrpSpPr>
        <xdr:grpSpPr>
          <a:xfrm>
            <a:off x="9307513" y="11098213"/>
            <a:ext cx="49212" cy="92074"/>
            <a:chOff x="8320088" y="10028238"/>
            <a:chExt cx="49212" cy="92074"/>
          </a:xfrm>
        </xdr:grpSpPr>
        <xdr:cxnSp macro="">
          <xdr:nvCxnSpPr>
            <xdr:cNvPr id="1651" name="Straight Connector 1650">
              <a:extLst>
                <a:ext uri="{FF2B5EF4-FFF2-40B4-BE49-F238E27FC236}">
                  <a16:creationId xmlns:a16="http://schemas.microsoft.com/office/drawing/2014/main" id="{D85427EF-0F1D-86E4-94B8-9DBD1837B123}"/>
                </a:ext>
              </a:extLst>
            </xdr:cNvPr>
            <xdr:cNvCxnSpPr/>
          </xdr:nvCxnSpPr>
          <xdr:spPr>
            <a:xfrm>
              <a:off x="8345488" y="10028238"/>
              <a:ext cx="0" cy="90487"/>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652" name="Straight Connector 1651">
              <a:extLst>
                <a:ext uri="{FF2B5EF4-FFF2-40B4-BE49-F238E27FC236}">
                  <a16:creationId xmlns:a16="http://schemas.microsoft.com/office/drawing/2014/main" id="{42736322-2B9C-E230-BFCF-5988D913C242}"/>
                </a:ext>
              </a:extLst>
            </xdr:cNvPr>
            <xdr:cNvCxnSpPr/>
          </xdr:nvCxnSpPr>
          <xdr:spPr>
            <a:xfrm>
              <a:off x="8320088" y="10034587"/>
              <a:ext cx="49212" cy="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653" name="Straight Connector 1652">
              <a:extLst>
                <a:ext uri="{FF2B5EF4-FFF2-40B4-BE49-F238E27FC236}">
                  <a16:creationId xmlns:a16="http://schemas.microsoft.com/office/drawing/2014/main" id="{E479BF76-E5A5-C00E-8C32-856A4FAEADC2}"/>
                </a:ext>
              </a:extLst>
            </xdr:cNvPr>
            <xdr:cNvCxnSpPr/>
          </xdr:nvCxnSpPr>
          <xdr:spPr>
            <a:xfrm>
              <a:off x="8320088" y="10120312"/>
              <a:ext cx="49212" cy="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nvGrpSpPr>
          <xdr:cNvPr id="1609" name="Group 1608">
            <a:extLst>
              <a:ext uri="{FF2B5EF4-FFF2-40B4-BE49-F238E27FC236}">
                <a16:creationId xmlns:a16="http://schemas.microsoft.com/office/drawing/2014/main" id="{9429EB25-DAFE-D025-21D4-5DC23B7DFCF2}"/>
              </a:ext>
            </a:extLst>
          </xdr:cNvPr>
          <xdr:cNvGrpSpPr/>
        </xdr:nvGrpSpPr>
        <xdr:grpSpPr>
          <a:xfrm>
            <a:off x="9761538" y="11098213"/>
            <a:ext cx="49212" cy="92074"/>
            <a:chOff x="8320088" y="10028238"/>
            <a:chExt cx="49212" cy="92074"/>
          </a:xfrm>
        </xdr:grpSpPr>
        <xdr:cxnSp macro="">
          <xdr:nvCxnSpPr>
            <xdr:cNvPr id="1648" name="Straight Connector 1647">
              <a:extLst>
                <a:ext uri="{FF2B5EF4-FFF2-40B4-BE49-F238E27FC236}">
                  <a16:creationId xmlns:a16="http://schemas.microsoft.com/office/drawing/2014/main" id="{4E6E3E13-6DE8-16E9-DF39-2A8B796D1BC9}"/>
                </a:ext>
              </a:extLst>
            </xdr:cNvPr>
            <xdr:cNvCxnSpPr/>
          </xdr:nvCxnSpPr>
          <xdr:spPr>
            <a:xfrm>
              <a:off x="8345488" y="10028238"/>
              <a:ext cx="0" cy="90487"/>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649" name="Straight Connector 1648">
              <a:extLst>
                <a:ext uri="{FF2B5EF4-FFF2-40B4-BE49-F238E27FC236}">
                  <a16:creationId xmlns:a16="http://schemas.microsoft.com/office/drawing/2014/main" id="{39F4110C-A1CE-A327-8452-E66947AABFA2}"/>
                </a:ext>
              </a:extLst>
            </xdr:cNvPr>
            <xdr:cNvCxnSpPr/>
          </xdr:nvCxnSpPr>
          <xdr:spPr>
            <a:xfrm>
              <a:off x="8320088" y="10034587"/>
              <a:ext cx="49212" cy="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650" name="Straight Connector 1649">
              <a:extLst>
                <a:ext uri="{FF2B5EF4-FFF2-40B4-BE49-F238E27FC236}">
                  <a16:creationId xmlns:a16="http://schemas.microsoft.com/office/drawing/2014/main" id="{92114EE1-895A-420C-4FD7-02911F604D52}"/>
                </a:ext>
              </a:extLst>
            </xdr:cNvPr>
            <xdr:cNvCxnSpPr/>
          </xdr:nvCxnSpPr>
          <xdr:spPr>
            <a:xfrm>
              <a:off x="8320088" y="10120312"/>
              <a:ext cx="49212" cy="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nvGrpSpPr>
          <xdr:cNvPr id="1610" name="Group 1609">
            <a:extLst>
              <a:ext uri="{FF2B5EF4-FFF2-40B4-BE49-F238E27FC236}">
                <a16:creationId xmlns:a16="http://schemas.microsoft.com/office/drawing/2014/main" id="{92E82522-4DF2-6E54-BE3C-F0B82E10DA35}"/>
              </a:ext>
            </a:extLst>
          </xdr:cNvPr>
          <xdr:cNvGrpSpPr/>
        </xdr:nvGrpSpPr>
        <xdr:grpSpPr>
          <a:xfrm rot="5400000">
            <a:off x="10175875" y="11090275"/>
            <a:ext cx="49212" cy="92074"/>
            <a:chOff x="8320088" y="10028238"/>
            <a:chExt cx="49212" cy="92074"/>
          </a:xfrm>
        </xdr:grpSpPr>
        <xdr:cxnSp macro="">
          <xdr:nvCxnSpPr>
            <xdr:cNvPr id="1645" name="Straight Connector 1644">
              <a:extLst>
                <a:ext uri="{FF2B5EF4-FFF2-40B4-BE49-F238E27FC236}">
                  <a16:creationId xmlns:a16="http://schemas.microsoft.com/office/drawing/2014/main" id="{5C188AB1-6B3E-71F5-7EC4-C08F8AC080EB}"/>
                </a:ext>
              </a:extLst>
            </xdr:cNvPr>
            <xdr:cNvCxnSpPr/>
          </xdr:nvCxnSpPr>
          <xdr:spPr>
            <a:xfrm>
              <a:off x="8345488" y="10028238"/>
              <a:ext cx="0" cy="90487"/>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646" name="Straight Connector 1645">
              <a:extLst>
                <a:ext uri="{FF2B5EF4-FFF2-40B4-BE49-F238E27FC236}">
                  <a16:creationId xmlns:a16="http://schemas.microsoft.com/office/drawing/2014/main" id="{2646D37F-2F90-0987-4184-C7A121281726}"/>
                </a:ext>
              </a:extLst>
            </xdr:cNvPr>
            <xdr:cNvCxnSpPr/>
          </xdr:nvCxnSpPr>
          <xdr:spPr>
            <a:xfrm>
              <a:off x="8320088" y="10031412"/>
              <a:ext cx="49212" cy="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647" name="Straight Connector 1646">
              <a:extLst>
                <a:ext uri="{FF2B5EF4-FFF2-40B4-BE49-F238E27FC236}">
                  <a16:creationId xmlns:a16="http://schemas.microsoft.com/office/drawing/2014/main" id="{4E5ABC06-8CD1-56CE-5D93-9684AD7C81D4}"/>
                </a:ext>
              </a:extLst>
            </xdr:cNvPr>
            <xdr:cNvCxnSpPr/>
          </xdr:nvCxnSpPr>
          <xdr:spPr>
            <a:xfrm>
              <a:off x="8320088" y="10120312"/>
              <a:ext cx="49212" cy="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1611" name="Straight Connector 1610">
            <a:extLst>
              <a:ext uri="{FF2B5EF4-FFF2-40B4-BE49-F238E27FC236}">
                <a16:creationId xmlns:a16="http://schemas.microsoft.com/office/drawing/2014/main" id="{0F0C0B83-CC4A-0C5C-2943-284999AEA263}"/>
              </a:ext>
            </a:extLst>
          </xdr:cNvPr>
          <xdr:cNvCxnSpPr/>
        </xdr:nvCxnSpPr>
        <xdr:spPr>
          <a:xfrm flipV="1">
            <a:off x="10248900" y="10385425"/>
            <a:ext cx="0" cy="714376"/>
          </a:xfrm>
          <a:prstGeom prst="line">
            <a:avLst/>
          </a:prstGeom>
          <a:noFill/>
          <a:ln w="6350"/>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1612" name="Straight Connector 1611">
            <a:extLst>
              <a:ext uri="{FF2B5EF4-FFF2-40B4-BE49-F238E27FC236}">
                <a16:creationId xmlns:a16="http://schemas.microsoft.com/office/drawing/2014/main" id="{5EA586C6-38AC-93B0-64A5-E389274E2E49}"/>
              </a:ext>
            </a:extLst>
          </xdr:cNvPr>
          <xdr:cNvCxnSpPr/>
        </xdr:nvCxnSpPr>
        <xdr:spPr>
          <a:xfrm flipV="1">
            <a:off x="10293350" y="10388600"/>
            <a:ext cx="0" cy="812801"/>
          </a:xfrm>
          <a:prstGeom prst="line">
            <a:avLst/>
          </a:prstGeom>
          <a:noFill/>
          <a:ln w="6350"/>
        </xdr:spPr>
        <xdr:style>
          <a:lnRef idx="2">
            <a:schemeClr val="accent1">
              <a:shade val="15000"/>
            </a:schemeClr>
          </a:lnRef>
          <a:fillRef idx="1">
            <a:schemeClr val="accent1"/>
          </a:fillRef>
          <a:effectRef idx="0">
            <a:schemeClr val="accent1"/>
          </a:effectRef>
          <a:fontRef idx="minor">
            <a:schemeClr val="lt1"/>
          </a:fontRef>
        </xdr:style>
      </xdr:cxnSp>
      <xdr:grpSp>
        <xdr:nvGrpSpPr>
          <xdr:cNvPr id="1613" name="Group 1612">
            <a:extLst>
              <a:ext uri="{FF2B5EF4-FFF2-40B4-BE49-F238E27FC236}">
                <a16:creationId xmlns:a16="http://schemas.microsoft.com/office/drawing/2014/main" id="{E82AE10C-85CB-AE0E-92AB-7F6A0264FB3B}"/>
              </a:ext>
            </a:extLst>
          </xdr:cNvPr>
          <xdr:cNvGrpSpPr/>
        </xdr:nvGrpSpPr>
        <xdr:grpSpPr>
          <a:xfrm rot="5400000">
            <a:off x="6292056" y="11087894"/>
            <a:ext cx="49212" cy="92074"/>
            <a:chOff x="8320088" y="10028238"/>
            <a:chExt cx="49212" cy="92074"/>
          </a:xfrm>
        </xdr:grpSpPr>
        <xdr:cxnSp macro="">
          <xdr:nvCxnSpPr>
            <xdr:cNvPr id="1642" name="Straight Connector 1641">
              <a:extLst>
                <a:ext uri="{FF2B5EF4-FFF2-40B4-BE49-F238E27FC236}">
                  <a16:creationId xmlns:a16="http://schemas.microsoft.com/office/drawing/2014/main" id="{781279E3-17BA-20EB-656B-1F3A08743768}"/>
                </a:ext>
              </a:extLst>
            </xdr:cNvPr>
            <xdr:cNvCxnSpPr/>
          </xdr:nvCxnSpPr>
          <xdr:spPr>
            <a:xfrm>
              <a:off x="8345488" y="10028238"/>
              <a:ext cx="0" cy="90487"/>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643" name="Straight Connector 1642">
              <a:extLst>
                <a:ext uri="{FF2B5EF4-FFF2-40B4-BE49-F238E27FC236}">
                  <a16:creationId xmlns:a16="http://schemas.microsoft.com/office/drawing/2014/main" id="{C5192258-29F4-55B3-B3AF-91E9DAEBC487}"/>
                </a:ext>
              </a:extLst>
            </xdr:cNvPr>
            <xdr:cNvCxnSpPr/>
          </xdr:nvCxnSpPr>
          <xdr:spPr>
            <a:xfrm>
              <a:off x="8320088" y="10031412"/>
              <a:ext cx="49212" cy="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644" name="Straight Connector 1643">
              <a:extLst>
                <a:ext uri="{FF2B5EF4-FFF2-40B4-BE49-F238E27FC236}">
                  <a16:creationId xmlns:a16="http://schemas.microsoft.com/office/drawing/2014/main" id="{C77AF050-EC30-B59C-3129-FA96AD282A30}"/>
                </a:ext>
              </a:extLst>
            </xdr:cNvPr>
            <xdr:cNvCxnSpPr/>
          </xdr:nvCxnSpPr>
          <xdr:spPr>
            <a:xfrm>
              <a:off x="8320088" y="10120312"/>
              <a:ext cx="49212" cy="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1614" name="Straight Connector 1613">
            <a:extLst>
              <a:ext uri="{FF2B5EF4-FFF2-40B4-BE49-F238E27FC236}">
                <a16:creationId xmlns:a16="http://schemas.microsoft.com/office/drawing/2014/main" id="{B8EDC67B-2F14-BD6F-274C-4985AFE991E7}"/>
              </a:ext>
            </a:extLst>
          </xdr:cNvPr>
          <xdr:cNvCxnSpPr/>
        </xdr:nvCxnSpPr>
        <xdr:spPr>
          <a:xfrm flipV="1">
            <a:off x="6267450" y="10379075"/>
            <a:ext cx="0" cy="717550"/>
          </a:xfrm>
          <a:prstGeom prst="line">
            <a:avLst/>
          </a:prstGeom>
          <a:noFill/>
          <a:ln w="6350"/>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1615" name="Straight Connector 1614">
            <a:extLst>
              <a:ext uri="{FF2B5EF4-FFF2-40B4-BE49-F238E27FC236}">
                <a16:creationId xmlns:a16="http://schemas.microsoft.com/office/drawing/2014/main" id="{ED9F9A76-E432-18AD-96C9-2372879869B4}"/>
              </a:ext>
            </a:extLst>
          </xdr:cNvPr>
          <xdr:cNvCxnSpPr/>
        </xdr:nvCxnSpPr>
        <xdr:spPr>
          <a:xfrm flipV="1">
            <a:off x="6229350" y="10379075"/>
            <a:ext cx="0" cy="822325"/>
          </a:xfrm>
          <a:prstGeom prst="line">
            <a:avLst/>
          </a:prstGeom>
          <a:noFill/>
          <a:ln w="6350"/>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1616" name="Straight Connector 1615">
            <a:extLst>
              <a:ext uri="{FF2B5EF4-FFF2-40B4-BE49-F238E27FC236}">
                <a16:creationId xmlns:a16="http://schemas.microsoft.com/office/drawing/2014/main" id="{A5CDBB7E-5803-07BF-C984-0F793A04C5A3}"/>
              </a:ext>
            </a:extLst>
          </xdr:cNvPr>
          <xdr:cNvCxnSpPr/>
        </xdr:nvCxnSpPr>
        <xdr:spPr>
          <a:xfrm>
            <a:off x="6153150" y="10382250"/>
            <a:ext cx="196850" cy="0"/>
          </a:xfrm>
          <a:prstGeom prst="line">
            <a:avLst/>
          </a:prstGeom>
          <a:noFill/>
          <a:ln w="6350">
            <a:prstDash val="dash"/>
          </a:ln>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1617" name="Straight Connector 1616">
            <a:extLst>
              <a:ext uri="{FF2B5EF4-FFF2-40B4-BE49-F238E27FC236}">
                <a16:creationId xmlns:a16="http://schemas.microsoft.com/office/drawing/2014/main" id="{2C858CE8-54A2-0675-B6AD-8F2D6C8EA2CA}"/>
              </a:ext>
            </a:extLst>
          </xdr:cNvPr>
          <xdr:cNvCxnSpPr/>
        </xdr:nvCxnSpPr>
        <xdr:spPr>
          <a:xfrm>
            <a:off x="10163175" y="10382250"/>
            <a:ext cx="196850" cy="0"/>
          </a:xfrm>
          <a:prstGeom prst="line">
            <a:avLst/>
          </a:prstGeom>
          <a:noFill/>
          <a:ln w="6350">
            <a:prstDash val="dash"/>
          </a:ln>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1618" name="Straight Connector 1617">
            <a:extLst>
              <a:ext uri="{FF2B5EF4-FFF2-40B4-BE49-F238E27FC236}">
                <a16:creationId xmlns:a16="http://schemas.microsoft.com/office/drawing/2014/main" id="{9EBCF3C1-1FB8-E9DE-D913-463255582A4E}"/>
              </a:ext>
            </a:extLst>
          </xdr:cNvPr>
          <xdr:cNvCxnSpPr/>
        </xdr:nvCxnSpPr>
        <xdr:spPr>
          <a:xfrm>
            <a:off x="9953625" y="10668000"/>
            <a:ext cx="804863"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619" name="Straight Connector 1618">
            <a:extLst>
              <a:ext uri="{FF2B5EF4-FFF2-40B4-BE49-F238E27FC236}">
                <a16:creationId xmlns:a16="http://schemas.microsoft.com/office/drawing/2014/main" id="{A33A1152-99AE-9E42-EE21-2079E270949A}"/>
              </a:ext>
            </a:extLst>
          </xdr:cNvPr>
          <xdr:cNvCxnSpPr/>
        </xdr:nvCxnSpPr>
        <xdr:spPr>
          <a:xfrm>
            <a:off x="10348913" y="11096626"/>
            <a:ext cx="4095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620" name="Straight Connector 1619">
            <a:extLst>
              <a:ext uri="{FF2B5EF4-FFF2-40B4-BE49-F238E27FC236}">
                <a16:creationId xmlns:a16="http://schemas.microsoft.com/office/drawing/2014/main" id="{74C8946C-87C5-6786-1F06-AEFFB66D9B6E}"/>
              </a:ext>
            </a:extLst>
          </xdr:cNvPr>
          <xdr:cNvCxnSpPr/>
        </xdr:nvCxnSpPr>
        <xdr:spPr>
          <a:xfrm flipV="1">
            <a:off x="10687050" y="10610850"/>
            <a:ext cx="0" cy="557214"/>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621" name="Straight Connector 1620">
            <a:extLst>
              <a:ext uri="{FF2B5EF4-FFF2-40B4-BE49-F238E27FC236}">
                <a16:creationId xmlns:a16="http://schemas.microsoft.com/office/drawing/2014/main" id="{F9E32FCD-456A-627C-6DA3-9529767B8DE6}"/>
              </a:ext>
            </a:extLst>
          </xdr:cNvPr>
          <xdr:cNvCxnSpPr/>
        </xdr:nvCxnSpPr>
        <xdr:spPr>
          <a:xfrm flipH="1">
            <a:off x="10648950" y="11063288"/>
            <a:ext cx="71438" cy="7143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622" name="Straight Connector 1621">
            <a:extLst>
              <a:ext uri="{FF2B5EF4-FFF2-40B4-BE49-F238E27FC236}">
                <a16:creationId xmlns:a16="http://schemas.microsoft.com/office/drawing/2014/main" id="{DBCBE914-9879-F271-EB6D-FCB942A5C67B}"/>
              </a:ext>
            </a:extLst>
          </xdr:cNvPr>
          <xdr:cNvCxnSpPr/>
        </xdr:nvCxnSpPr>
        <xdr:spPr>
          <a:xfrm flipH="1">
            <a:off x="10653703" y="10629905"/>
            <a:ext cx="71438" cy="7143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623" name="Straight Connector 1622">
            <a:extLst>
              <a:ext uri="{FF2B5EF4-FFF2-40B4-BE49-F238E27FC236}">
                <a16:creationId xmlns:a16="http://schemas.microsoft.com/office/drawing/2014/main" id="{34935634-96F1-BE14-DC8D-08A0C4F0BD95}"/>
              </a:ext>
            </a:extLst>
          </xdr:cNvPr>
          <xdr:cNvCxnSpPr/>
        </xdr:nvCxnSpPr>
        <xdr:spPr>
          <a:xfrm>
            <a:off x="6316663" y="11377614"/>
            <a:ext cx="0" cy="228599"/>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624" name="Straight Connector 1623">
            <a:extLst>
              <a:ext uri="{FF2B5EF4-FFF2-40B4-BE49-F238E27FC236}">
                <a16:creationId xmlns:a16="http://schemas.microsoft.com/office/drawing/2014/main" id="{E09B1FAF-1144-3256-9DF9-ACF09DCB667C}"/>
              </a:ext>
            </a:extLst>
          </xdr:cNvPr>
          <xdr:cNvCxnSpPr/>
        </xdr:nvCxnSpPr>
        <xdr:spPr>
          <a:xfrm>
            <a:off x="6262688" y="11526839"/>
            <a:ext cx="40163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625" name="Straight Connector 1624">
            <a:extLst>
              <a:ext uri="{FF2B5EF4-FFF2-40B4-BE49-F238E27FC236}">
                <a16:creationId xmlns:a16="http://schemas.microsoft.com/office/drawing/2014/main" id="{57D3AD7A-38EE-6213-7DB7-7167CEFE64DF}"/>
              </a:ext>
            </a:extLst>
          </xdr:cNvPr>
          <xdr:cNvCxnSpPr/>
        </xdr:nvCxnSpPr>
        <xdr:spPr>
          <a:xfrm flipH="1">
            <a:off x="6284913" y="11501439"/>
            <a:ext cx="60325" cy="603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626" name="Straight Connector 1625">
            <a:extLst>
              <a:ext uri="{FF2B5EF4-FFF2-40B4-BE49-F238E27FC236}">
                <a16:creationId xmlns:a16="http://schemas.microsoft.com/office/drawing/2014/main" id="{C1D20438-1D0C-D5F7-3FD7-7E446C6C49E0}"/>
              </a:ext>
            </a:extLst>
          </xdr:cNvPr>
          <xdr:cNvCxnSpPr/>
        </xdr:nvCxnSpPr>
        <xdr:spPr>
          <a:xfrm>
            <a:off x="6726238" y="11326814"/>
            <a:ext cx="0" cy="2540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627" name="Straight Connector 1626">
            <a:extLst>
              <a:ext uri="{FF2B5EF4-FFF2-40B4-BE49-F238E27FC236}">
                <a16:creationId xmlns:a16="http://schemas.microsoft.com/office/drawing/2014/main" id="{F61D3EA6-A055-7A95-5856-A146A2F9093F}"/>
              </a:ext>
            </a:extLst>
          </xdr:cNvPr>
          <xdr:cNvCxnSpPr/>
        </xdr:nvCxnSpPr>
        <xdr:spPr>
          <a:xfrm flipH="1">
            <a:off x="6694488" y="11498264"/>
            <a:ext cx="60325" cy="603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628" name="Straight Connector 1627">
            <a:extLst>
              <a:ext uri="{FF2B5EF4-FFF2-40B4-BE49-F238E27FC236}">
                <a16:creationId xmlns:a16="http://schemas.microsoft.com/office/drawing/2014/main" id="{CC955070-0309-5FEF-1A7E-83F92B2FF537}"/>
              </a:ext>
            </a:extLst>
          </xdr:cNvPr>
          <xdr:cNvCxnSpPr/>
        </xdr:nvCxnSpPr>
        <xdr:spPr>
          <a:xfrm>
            <a:off x="7196138" y="11310939"/>
            <a:ext cx="0" cy="2698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629" name="Straight Connector 1628">
            <a:extLst>
              <a:ext uri="{FF2B5EF4-FFF2-40B4-BE49-F238E27FC236}">
                <a16:creationId xmlns:a16="http://schemas.microsoft.com/office/drawing/2014/main" id="{78AE024C-AB34-64A2-02E5-A10F68E41AED}"/>
              </a:ext>
            </a:extLst>
          </xdr:cNvPr>
          <xdr:cNvCxnSpPr/>
        </xdr:nvCxnSpPr>
        <xdr:spPr>
          <a:xfrm flipH="1">
            <a:off x="7164388" y="11498264"/>
            <a:ext cx="60325" cy="603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630" name="Straight Connector 1629">
            <a:extLst>
              <a:ext uri="{FF2B5EF4-FFF2-40B4-BE49-F238E27FC236}">
                <a16:creationId xmlns:a16="http://schemas.microsoft.com/office/drawing/2014/main" id="{A2A7AB6A-4FA3-6B65-E4E5-CB0C4154031D}"/>
              </a:ext>
            </a:extLst>
          </xdr:cNvPr>
          <xdr:cNvCxnSpPr/>
        </xdr:nvCxnSpPr>
        <xdr:spPr>
          <a:xfrm>
            <a:off x="7610475" y="11310939"/>
            <a:ext cx="0" cy="2698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631" name="Straight Connector 1630">
            <a:extLst>
              <a:ext uri="{FF2B5EF4-FFF2-40B4-BE49-F238E27FC236}">
                <a16:creationId xmlns:a16="http://schemas.microsoft.com/office/drawing/2014/main" id="{CEA7A733-C267-8114-D219-5D78250847F4}"/>
              </a:ext>
            </a:extLst>
          </xdr:cNvPr>
          <xdr:cNvCxnSpPr/>
        </xdr:nvCxnSpPr>
        <xdr:spPr>
          <a:xfrm flipH="1">
            <a:off x="7578725" y="11498264"/>
            <a:ext cx="60325" cy="603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632" name="Straight Connector 1631">
            <a:extLst>
              <a:ext uri="{FF2B5EF4-FFF2-40B4-BE49-F238E27FC236}">
                <a16:creationId xmlns:a16="http://schemas.microsoft.com/office/drawing/2014/main" id="{113B133E-B7E9-2586-6FDD-F363F7A5B1FE}"/>
              </a:ext>
            </a:extLst>
          </xdr:cNvPr>
          <xdr:cNvCxnSpPr/>
        </xdr:nvCxnSpPr>
        <xdr:spPr>
          <a:xfrm>
            <a:off x="8910638" y="11310939"/>
            <a:ext cx="0" cy="2698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633" name="Straight Connector 1632">
            <a:extLst>
              <a:ext uri="{FF2B5EF4-FFF2-40B4-BE49-F238E27FC236}">
                <a16:creationId xmlns:a16="http://schemas.microsoft.com/office/drawing/2014/main" id="{A163F8BA-0609-715A-C051-33D240B5C449}"/>
              </a:ext>
            </a:extLst>
          </xdr:cNvPr>
          <xdr:cNvCxnSpPr/>
        </xdr:nvCxnSpPr>
        <xdr:spPr>
          <a:xfrm flipH="1">
            <a:off x="8878888" y="11498264"/>
            <a:ext cx="60325" cy="603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634" name="Straight Connector 1633">
            <a:extLst>
              <a:ext uri="{FF2B5EF4-FFF2-40B4-BE49-F238E27FC236}">
                <a16:creationId xmlns:a16="http://schemas.microsoft.com/office/drawing/2014/main" id="{C916CA69-2B6A-48FE-9D59-34D782C7FB18}"/>
              </a:ext>
            </a:extLst>
          </xdr:cNvPr>
          <xdr:cNvCxnSpPr/>
        </xdr:nvCxnSpPr>
        <xdr:spPr>
          <a:xfrm>
            <a:off x="9336088" y="11310939"/>
            <a:ext cx="0" cy="2698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635" name="Straight Connector 1634">
            <a:extLst>
              <a:ext uri="{FF2B5EF4-FFF2-40B4-BE49-F238E27FC236}">
                <a16:creationId xmlns:a16="http://schemas.microsoft.com/office/drawing/2014/main" id="{CE3D9F70-FECB-34FE-F0E8-ECA25ED96369}"/>
              </a:ext>
            </a:extLst>
          </xdr:cNvPr>
          <xdr:cNvCxnSpPr/>
        </xdr:nvCxnSpPr>
        <xdr:spPr>
          <a:xfrm flipH="1">
            <a:off x="9304338" y="11498264"/>
            <a:ext cx="60325" cy="603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636" name="Straight Connector 1635">
            <a:extLst>
              <a:ext uri="{FF2B5EF4-FFF2-40B4-BE49-F238E27FC236}">
                <a16:creationId xmlns:a16="http://schemas.microsoft.com/office/drawing/2014/main" id="{8A27ED84-2C65-49B2-59CF-F13226EC6715}"/>
              </a:ext>
            </a:extLst>
          </xdr:cNvPr>
          <xdr:cNvCxnSpPr/>
        </xdr:nvCxnSpPr>
        <xdr:spPr>
          <a:xfrm>
            <a:off x="9793288" y="11310939"/>
            <a:ext cx="0" cy="2698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637" name="Straight Connector 1636">
            <a:extLst>
              <a:ext uri="{FF2B5EF4-FFF2-40B4-BE49-F238E27FC236}">
                <a16:creationId xmlns:a16="http://schemas.microsoft.com/office/drawing/2014/main" id="{E3C85734-3547-86D8-C909-E844F0969A69}"/>
              </a:ext>
            </a:extLst>
          </xdr:cNvPr>
          <xdr:cNvCxnSpPr/>
        </xdr:nvCxnSpPr>
        <xdr:spPr>
          <a:xfrm flipH="1">
            <a:off x="9761538" y="11498264"/>
            <a:ext cx="60325" cy="603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638" name="Straight Connector 1637">
            <a:extLst>
              <a:ext uri="{FF2B5EF4-FFF2-40B4-BE49-F238E27FC236}">
                <a16:creationId xmlns:a16="http://schemas.microsoft.com/office/drawing/2014/main" id="{A402DB52-BD06-4A68-F3FD-EB64E461AB8F}"/>
              </a:ext>
            </a:extLst>
          </xdr:cNvPr>
          <xdr:cNvCxnSpPr/>
        </xdr:nvCxnSpPr>
        <xdr:spPr>
          <a:xfrm>
            <a:off x="10202863" y="11258547"/>
            <a:ext cx="0" cy="347666"/>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639" name="Straight Connector 1638">
            <a:extLst>
              <a:ext uri="{FF2B5EF4-FFF2-40B4-BE49-F238E27FC236}">
                <a16:creationId xmlns:a16="http://schemas.microsoft.com/office/drawing/2014/main" id="{FC253545-6880-B703-70E4-ED68C114310A}"/>
              </a:ext>
            </a:extLst>
          </xdr:cNvPr>
          <xdr:cNvCxnSpPr/>
        </xdr:nvCxnSpPr>
        <xdr:spPr>
          <a:xfrm flipH="1">
            <a:off x="10171113" y="11498264"/>
            <a:ext cx="60325" cy="603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640" name="Straight Connector 1639">
            <a:extLst>
              <a:ext uri="{FF2B5EF4-FFF2-40B4-BE49-F238E27FC236}">
                <a16:creationId xmlns:a16="http://schemas.microsoft.com/office/drawing/2014/main" id="{049A540E-5711-2597-6B6E-B1EA74F22DFD}"/>
              </a:ext>
            </a:extLst>
          </xdr:cNvPr>
          <xdr:cNvCxnSpPr/>
        </xdr:nvCxnSpPr>
        <xdr:spPr>
          <a:xfrm>
            <a:off x="8258177" y="11310940"/>
            <a:ext cx="0" cy="2698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641" name="Straight Connector 1640">
            <a:extLst>
              <a:ext uri="{FF2B5EF4-FFF2-40B4-BE49-F238E27FC236}">
                <a16:creationId xmlns:a16="http://schemas.microsoft.com/office/drawing/2014/main" id="{4C989C3F-5FF1-2E56-EB0F-D82B864BA357}"/>
              </a:ext>
            </a:extLst>
          </xdr:cNvPr>
          <xdr:cNvCxnSpPr/>
        </xdr:nvCxnSpPr>
        <xdr:spPr>
          <a:xfrm flipH="1">
            <a:off x="8226427" y="11498265"/>
            <a:ext cx="60325" cy="60325"/>
          </a:xfrm>
          <a:prstGeom prst="line">
            <a:avLst/>
          </a:prstGeom>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69</xdr:col>
      <xdr:colOff>0</xdr:colOff>
      <xdr:row>830</xdr:row>
      <xdr:rowOff>61913</xdr:rowOff>
    </xdr:from>
    <xdr:to>
      <xdr:col>75</xdr:col>
      <xdr:colOff>42863</xdr:colOff>
      <xdr:row>844</xdr:row>
      <xdr:rowOff>104776</xdr:rowOff>
    </xdr:to>
    <xdr:grpSp>
      <xdr:nvGrpSpPr>
        <xdr:cNvPr id="1669" name="Group 1668">
          <a:extLst>
            <a:ext uri="{FF2B5EF4-FFF2-40B4-BE49-F238E27FC236}">
              <a16:creationId xmlns:a16="http://schemas.microsoft.com/office/drawing/2014/main" id="{F4EBB292-6158-4EEE-BE2E-82F7543FB34E}"/>
            </a:ext>
          </a:extLst>
        </xdr:cNvPr>
        <xdr:cNvGrpSpPr/>
      </xdr:nvGrpSpPr>
      <xdr:grpSpPr>
        <a:xfrm>
          <a:off x="11172825" y="120829388"/>
          <a:ext cx="1014413" cy="2043113"/>
          <a:chOff x="11172825" y="9729788"/>
          <a:chExt cx="1014413" cy="2043113"/>
        </a:xfrm>
      </xdr:grpSpPr>
      <xdr:cxnSp macro="">
        <xdr:nvCxnSpPr>
          <xdr:cNvPr id="1670" name="Straight Connector 1669">
            <a:extLst>
              <a:ext uri="{FF2B5EF4-FFF2-40B4-BE49-F238E27FC236}">
                <a16:creationId xmlns:a16="http://schemas.microsoft.com/office/drawing/2014/main" id="{E31E49C6-A142-EC30-9FA6-38F1E78F1903}"/>
              </a:ext>
            </a:extLst>
          </xdr:cNvPr>
          <xdr:cNvCxnSpPr/>
        </xdr:nvCxnSpPr>
        <xdr:spPr>
          <a:xfrm flipV="1">
            <a:off x="11334750" y="9810750"/>
            <a:ext cx="0" cy="1847850"/>
          </a:xfrm>
          <a:prstGeom prst="line">
            <a:avLst/>
          </a:prstGeom>
          <a:noFill/>
          <a:ln w="6350"/>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1671" name="Straight Connector 1670">
            <a:extLst>
              <a:ext uri="{FF2B5EF4-FFF2-40B4-BE49-F238E27FC236}">
                <a16:creationId xmlns:a16="http://schemas.microsoft.com/office/drawing/2014/main" id="{6C841B4A-DEDE-9C4F-888C-E455DB45F491}"/>
              </a:ext>
            </a:extLst>
          </xdr:cNvPr>
          <xdr:cNvCxnSpPr/>
        </xdr:nvCxnSpPr>
        <xdr:spPr>
          <a:xfrm>
            <a:off x="11334750" y="10887075"/>
            <a:ext cx="330200" cy="0"/>
          </a:xfrm>
          <a:prstGeom prst="line">
            <a:avLst/>
          </a:prstGeom>
          <a:noFill/>
          <a:ln w="6350"/>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1672" name="Straight Connector 1671">
            <a:extLst>
              <a:ext uri="{FF2B5EF4-FFF2-40B4-BE49-F238E27FC236}">
                <a16:creationId xmlns:a16="http://schemas.microsoft.com/office/drawing/2014/main" id="{FCAFB74B-3511-CD4D-3DA6-853CA3032A36}"/>
              </a:ext>
            </a:extLst>
          </xdr:cNvPr>
          <xdr:cNvCxnSpPr/>
        </xdr:nvCxnSpPr>
        <xdr:spPr>
          <a:xfrm>
            <a:off x="11339513" y="9810750"/>
            <a:ext cx="461962" cy="0"/>
          </a:xfrm>
          <a:prstGeom prst="line">
            <a:avLst/>
          </a:prstGeom>
          <a:noFill/>
          <a:ln w="6350"/>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1673" name="Straight Connector 1672">
            <a:extLst>
              <a:ext uri="{FF2B5EF4-FFF2-40B4-BE49-F238E27FC236}">
                <a16:creationId xmlns:a16="http://schemas.microsoft.com/office/drawing/2014/main" id="{03C966C8-75F7-1059-52B8-349AA63A2E40}"/>
              </a:ext>
            </a:extLst>
          </xdr:cNvPr>
          <xdr:cNvCxnSpPr/>
        </xdr:nvCxnSpPr>
        <xdr:spPr>
          <a:xfrm flipH="1" flipV="1">
            <a:off x="11334750" y="10525125"/>
            <a:ext cx="327025" cy="361950"/>
          </a:xfrm>
          <a:prstGeom prst="line">
            <a:avLst/>
          </a:prstGeom>
          <a:noFill/>
          <a:ln w="6350"/>
        </xdr:spPr>
        <xdr:style>
          <a:lnRef idx="2">
            <a:schemeClr val="accent1">
              <a:shade val="15000"/>
            </a:schemeClr>
          </a:lnRef>
          <a:fillRef idx="1">
            <a:schemeClr val="accent1"/>
          </a:fillRef>
          <a:effectRef idx="0">
            <a:schemeClr val="accent1"/>
          </a:effectRef>
          <a:fontRef idx="minor">
            <a:schemeClr val="lt1"/>
          </a:fontRef>
        </xdr:style>
      </xdr:cxnSp>
      <xdr:sp macro="" textlink="">
        <xdr:nvSpPr>
          <xdr:cNvPr id="1674" name="Rectangle 1673">
            <a:extLst>
              <a:ext uri="{FF2B5EF4-FFF2-40B4-BE49-F238E27FC236}">
                <a16:creationId xmlns:a16="http://schemas.microsoft.com/office/drawing/2014/main" id="{D9A231F1-FCCC-53D9-5252-FD98369C2FAD}"/>
              </a:ext>
            </a:extLst>
          </xdr:cNvPr>
          <xdr:cNvSpPr/>
        </xdr:nvSpPr>
        <xdr:spPr>
          <a:xfrm>
            <a:off x="11177588" y="11677651"/>
            <a:ext cx="323849" cy="95250"/>
          </a:xfrm>
          <a:prstGeom prst="rect">
            <a:avLst/>
          </a:prstGeom>
          <a:pattFill prst="ltUpDiag">
            <a:fgClr>
              <a:schemeClr val="tx1"/>
            </a:fgClr>
            <a:bgClr>
              <a:schemeClr val="bg1"/>
            </a:bgClr>
          </a:patt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kern="1200"/>
          </a:p>
        </xdr:txBody>
      </xdr:sp>
      <xdr:cxnSp macro="">
        <xdr:nvCxnSpPr>
          <xdr:cNvPr id="1675" name="Straight Connector 1674">
            <a:extLst>
              <a:ext uri="{FF2B5EF4-FFF2-40B4-BE49-F238E27FC236}">
                <a16:creationId xmlns:a16="http://schemas.microsoft.com/office/drawing/2014/main" id="{A98BCA52-B8CC-5646-170F-F9F0F47FDE95}"/>
              </a:ext>
            </a:extLst>
          </xdr:cNvPr>
          <xdr:cNvCxnSpPr/>
        </xdr:nvCxnSpPr>
        <xdr:spPr>
          <a:xfrm>
            <a:off x="11172825" y="11668125"/>
            <a:ext cx="328612"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676" name="Straight Connector 1675">
            <a:extLst>
              <a:ext uri="{FF2B5EF4-FFF2-40B4-BE49-F238E27FC236}">
                <a16:creationId xmlns:a16="http://schemas.microsoft.com/office/drawing/2014/main" id="{47FE4DC4-A31C-31C3-CC60-8BA6ABB42858}"/>
              </a:ext>
            </a:extLst>
          </xdr:cNvPr>
          <xdr:cNvCxnSpPr/>
        </xdr:nvCxnSpPr>
        <xdr:spPr>
          <a:xfrm>
            <a:off x="11268075" y="11099800"/>
            <a:ext cx="450850"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677" name="Straight Connector 1676">
            <a:extLst>
              <a:ext uri="{FF2B5EF4-FFF2-40B4-BE49-F238E27FC236}">
                <a16:creationId xmlns:a16="http://schemas.microsoft.com/office/drawing/2014/main" id="{B800A9F3-70CF-9800-204C-A19B95356A8A}"/>
              </a:ext>
            </a:extLst>
          </xdr:cNvPr>
          <xdr:cNvCxnSpPr/>
        </xdr:nvCxnSpPr>
        <xdr:spPr>
          <a:xfrm flipH="1">
            <a:off x="11299825" y="11064875"/>
            <a:ext cx="71438" cy="7143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678" name="Straight Connector 1677">
            <a:extLst>
              <a:ext uri="{FF2B5EF4-FFF2-40B4-BE49-F238E27FC236}">
                <a16:creationId xmlns:a16="http://schemas.microsoft.com/office/drawing/2014/main" id="{9BA891E3-9C2E-AABE-86F4-6183B9D1B7C0}"/>
              </a:ext>
            </a:extLst>
          </xdr:cNvPr>
          <xdr:cNvCxnSpPr/>
        </xdr:nvCxnSpPr>
        <xdr:spPr>
          <a:xfrm flipV="1">
            <a:off x="11661775" y="10912475"/>
            <a:ext cx="0" cy="2508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679" name="Straight Connector 1678">
            <a:extLst>
              <a:ext uri="{FF2B5EF4-FFF2-40B4-BE49-F238E27FC236}">
                <a16:creationId xmlns:a16="http://schemas.microsoft.com/office/drawing/2014/main" id="{591647EA-8A73-C3D6-DB1A-E8C3EB005A68}"/>
              </a:ext>
            </a:extLst>
          </xdr:cNvPr>
          <xdr:cNvCxnSpPr/>
        </xdr:nvCxnSpPr>
        <xdr:spPr>
          <a:xfrm flipH="1">
            <a:off x="11623675" y="11064875"/>
            <a:ext cx="71438" cy="7143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680" name="Straight Connector 1679">
            <a:extLst>
              <a:ext uri="{FF2B5EF4-FFF2-40B4-BE49-F238E27FC236}">
                <a16:creationId xmlns:a16="http://schemas.microsoft.com/office/drawing/2014/main" id="{CBF359F0-B807-060F-2C54-06FAA1866FA0}"/>
              </a:ext>
            </a:extLst>
          </xdr:cNvPr>
          <xdr:cNvCxnSpPr/>
        </xdr:nvCxnSpPr>
        <xdr:spPr>
          <a:xfrm>
            <a:off x="11557000" y="10526713"/>
            <a:ext cx="501650"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681" name="Straight Connector 1680">
            <a:extLst>
              <a:ext uri="{FF2B5EF4-FFF2-40B4-BE49-F238E27FC236}">
                <a16:creationId xmlns:a16="http://schemas.microsoft.com/office/drawing/2014/main" id="{23C428CE-2EBE-2D28-9FB3-51640FEAC583}"/>
              </a:ext>
            </a:extLst>
          </xdr:cNvPr>
          <xdr:cNvCxnSpPr/>
        </xdr:nvCxnSpPr>
        <xdr:spPr>
          <a:xfrm>
            <a:off x="11712575" y="10883900"/>
            <a:ext cx="336550"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682" name="Straight Connector 1681">
            <a:extLst>
              <a:ext uri="{FF2B5EF4-FFF2-40B4-BE49-F238E27FC236}">
                <a16:creationId xmlns:a16="http://schemas.microsoft.com/office/drawing/2014/main" id="{EA2FED25-55DB-207D-4443-A9933EEC4956}"/>
              </a:ext>
            </a:extLst>
          </xdr:cNvPr>
          <xdr:cNvCxnSpPr/>
        </xdr:nvCxnSpPr>
        <xdr:spPr>
          <a:xfrm flipV="1">
            <a:off x="11980862" y="9729788"/>
            <a:ext cx="0" cy="200501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683" name="Straight Connector 1682">
            <a:extLst>
              <a:ext uri="{FF2B5EF4-FFF2-40B4-BE49-F238E27FC236}">
                <a16:creationId xmlns:a16="http://schemas.microsoft.com/office/drawing/2014/main" id="{46342A4C-B1D3-AC20-CB3D-9481220641AE}"/>
              </a:ext>
            </a:extLst>
          </xdr:cNvPr>
          <xdr:cNvCxnSpPr/>
        </xdr:nvCxnSpPr>
        <xdr:spPr>
          <a:xfrm flipH="1">
            <a:off x="11942762" y="10850563"/>
            <a:ext cx="71438" cy="7143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684" name="Straight Connector 1683">
            <a:extLst>
              <a:ext uri="{FF2B5EF4-FFF2-40B4-BE49-F238E27FC236}">
                <a16:creationId xmlns:a16="http://schemas.microsoft.com/office/drawing/2014/main" id="{5139D9BA-FD42-0047-4038-A0663BBC8F3D}"/>
              </a:ext>
            </a:extLst>
          </xdr:cNvPr>
          <xdr:cNvCxnSpPr/>
        </xdr:nvCxnSpPr>
        <xdr:spPr>
          <a:xfrm flipH="1">
            <a:off x="11947515" y="10491793"/>
            <a:ext cx="71438" cy="7143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685" name="Straight Connector 1684">
            <a:extLst>
              <a:ext uri="{FF2B5EF4-FFF2-40B4-BE49-F238E27FC236}">
                <a16:creationId xmlns:a16="http://schemas.microsoft.com/office/drawing/2014/main" id="{BC4AC88B-F4C4-5C71-8204-203415CE6E91}"/>
              </a:ext>
            </a:extLst>
          </xdr:cNvPr>
          <xdr:cNvCxnSpPr/>
        </xdr:nvCxnSpPr>
        <xdr:spPr>
          <a:xfrm>
            <a:off x="11509375" y="10883900"/>
            <a:ext cx="654050" cy="350838"/>
          </a:xfrm>
          <a:prstGeom prst="line">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686" name="Straight Connector 1685">
            <a:extLst>
              <a:ext uri="{FF2B5EF4-FFF2-40B4-BE49-F238E27FC236}">
                <a16:creationId xmlns:a16="http://schemas.microsoft.com/office/drawing/2014/main" id="{32FF5458-8D4F-F3F1-BC2E-9E716AF633D9}"/>
              </a:ext>
            </a:extLst>
          </xdr:cNvPr>
          <xdr:cNvCxnSpPr/>
        </xdr:nvCxnSpPr>
        <xdr:spPr>
          <a:xfrm flipV="1">
            <a:off x="11458575" y="10091738"/>
            <a:ext cx="728663" cy="563562"/>
          </a:xfrm>
          <a:prstGeom prst="line">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687" name="Straight Connector 1686">
            <a:extLst>
              <a:ext uri="{FF2B5EF4-FFF2-40B4-BE49-F238E27FC236}">
                <a16:creationId xmlns:a16="http://schemas.microsoft.com/office/drawing/2014/main" id="{93228EED-00D2-B533-A2E4-9FDA4A05034D}"/>
              </a:ext>
            </a:extLst>
          </xdr:cNvPr>
          <xdr:cNvCxnSpPr/>
        </xdr:nvCxnSpPr>
        <xdr:spPr>
          <a:xfrm flipH="1">
            <a:off x="11582401" y="11668124"/>
            <a:ext cx="466724"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688" name="Straight Connector 1687">
            <a:extLst>
              <a:ext uri="{FF2B5EF4-FFF2-40B4-BE49-F238E27FC236}">
                <a16:creationId xmlns:a16="http://schemas.microsoft.com/office/drawing/2014/main" id="{D9353431-8F98-37B2-97C3-DDF062FCD144}"/>
              </a:ext>
            </a:extLst>
          </xdr:cNvPr>
          <xdr:cNvCxnSpPr/>
        </xdr:nvCxnSpPr>
        <xdr:spPr>
          <a:xfrm>
            <a:off x="11801474" y="9734550"/>
            <a:ext cx="0" cy="152398"/>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689" name="Straight Connector 1688">
            <a:extLst>
              <a:ext uri="{FF2B5EF4-FFF2-40B4-BE49-F238E27FC236}">
                <a16:creationId xmlns:a16="http://schemas.microsoft.com/office/drawing/2014/main" id="{EA7A53B8-C9CE-E835-EF28-BC579296291D}"/>
              </a:ext>
            </a:extLst>
          </xdr:cNvPr>
          <xdr:cNvCxnSpPr/>
        </xdr:nvCxnSpPr>
        <xdr:spPr>
          <a:xfrm>
            <a:off x="11825288" y="9812338"/>
            <a:ext cx="228600"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690" name="Straight Connector 1689">
            <a:extLst>
              <a:ext uri="{FF2B5EF4-FFF2-40B4-BE49-F238E27FC236}">
                <a16:creationId xmlns:a16="http://schemas.microsoft.com/office/drawing/2014/main" id="{2337935A-4EF6-1E71-BDA9-54EF771B350D}"/>
              </a:ext>
            </a:extLst>
          </xdr:cNvPr>
          <xdr:cNvCxnSpPr/>
        </xdr:nvCxnSpPr>
        <xdr:spPr>
          <a:xfrm flipH="1">
            <a:off x="11942753" y="9777418"/>
            <a:ext cx="71438" cy="7143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691" name="Straight Connector 1690">
            <a:extLst>
              <a:ext uri="{FF2B5EF4-FFF2-40B4-BE49-F238E27FC236}">
                <a16:creationId xmlns:a16="http://schemas.microsoft.com/office/drawing/2014/main" id="{0F40CE2F-AEDC-AD91-D17F-6DA9AE1CFF93}"/>
              </a:ext>
            </a:extLst>
          </xdr:cNvPr>
          <xdr:cNvCxnSpPr/>
        </xdr:nvCxnSpPr>
        <xdr:spPr>
          <a:xfrm flipH="1">
            <a:off x="11949110" y="11630029"/>
            <a:ext cx="71438" cy="71438"/>
          </a:xfrm>
          <a:prstGeom prst="line">
            <a:avLst/>
          </a:prstGeom>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34</xdr:col>
      <xdr:colOff>80960</xdr:colOff>
      <xdr:row>4</xdr:row>
      <xdr:rowOff>9525</xdr:rowOff>
    </xdr:from>
    <xdr:to>
      <xdr:col>66</xdr:col>
      <xdr:colOff>14288</xdr:colOff>
      <xdr:row>22</xdr:row>
      <xdr:rowOff>0</xdr:rowOff>
    </xdr:to>
    <xdr:grpSp>
      <xdr:nvGrpSpPr>
        <xdr:cNvPr id="1926" name="Group 1925">
          <a:extLst>
            <a:ext uri="{FF2B5EF4-FFF2-40B4-BE49-F238E27FC236}">
              <a16:creationId xmlns:a16="http://schemas.microsoft.com/office/drawing/2014/main" id="{3D8293FD-136E-26AB-C3BE-4E60E96A9603}"/>
            </a:ext>
          </a:extLst>
        </xdr:cNvPr>
        <xdr:cNvGrpSpPr/>
      </xdr:nvGrpSpPr>
      <xdr:grpSpPr>
        <a:xfrm>
          <a:off x="5586410" y="962025"/>
          <a:ext cx="5114928" cy="2562225"/>
          <a:chOff x="5586410" y="962025"/>
          <a:chExt cx="5114928" cy="2562225"/>
        </a:xfrm>
      </xdr:grpSpPr>
      <xdr:sp macro="" textlink="">
        <xdr:nvSpPr>
          <xdr:cNvPr id="166" name="Rectangle 165">
            <a:extLst>
              <a:ext uri="{FF2B5EF4-FFF2-40B4-BE49-F238E27FC236}">
                <a16:creationId xmlns:a16="http://schemas.microsoft.com/office/drawing/2014/main" id="{25516E27-B9E2-47DC-9298-BD43DBEDDBE5}"/>
              </a:ext>
            </a:extLst>
          </xdr:cNvPr>
          <xdr:cNvSpPr/>
        </xdr:nvSpPr>
        <xdr:spPr>
          <a:xfrm>
            <a:off x="5991224" y="1095376"/>
            <a:ext cx="4533901" cy="1714500"/>
          </a:xfrm>
          <a:prstGeom prst="rect">
            <a:avLst/>
          </a:prstGeom>
          <a:solidFill>
            <a:schemeClr val="bg1">
              <a:lumMod val="95000"/>
            </a:schemeClr>
          </a:solidFill>
          <a:ln w="63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kern="1200"/>
          </a:p>
        </xdr:txBody>
      </xdr:sp>
      <xdr:cxnSp macro="">
        <xdr:nvCxnSpPr>
          <xdr:cNvPr id="171" name="Straight Connector 170">
            <a:extLst>
              <a:ext uri="{FF2B5EF4-FFF2-40B4-BE49-F238E27FC236}">
                <a16:creationId xmlns:a16="http://schemas.microsoft.com/office/drawing/2014/main" id="{212D17B0-FFC6-4B87-8271-5C10F41DFB05}"/>
              </a:ext>
            </a:extLst>
          </xdr:cNvPr>
          <xdr:cNvCxnSpPr/>
        </xdr:nvCxnSpPr>
        <xdr:spPr>
          <a:xfrm flipH="1">
            <a:off x="5991224" y="2043120"/>
            <a:ext cx="453390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73" name="Straight Connector 172">
            <a:extLst>
              <a:ext uri="{FF2B5EF4-FFF2-40B4-BE49-F238E27FC236}">
                <a16:creationId xmlns:a16="http://schemas.microsoft.com/office/drawing/2014/main" id="{769D7FA7-1860-4DA9-87C5-77A484416896}"/>
              </a:ext>
            </a:extLst>
          </xdr:cNvPr>
          <xdr:cNvCxnSpPr/>
        </xdr:nvCxnSpPr>
        <xdr:spPr>
          <a:xfrm flipH="1">
            <a:off x="5989638" y="1666875"/>
            <a:ext cx="453548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74" name="Straight Connector 173">
            <a:extLst>
              <a:ext uri="{FF2B5EF4-FFF2-40B4-BE49-F238E27FC236}">
                <a16:creationId xmlns:a16="http://schemas.microsoft.com/office/drawing/2014/main" id="{0D46615A-5E22-4D2D-9B69-B474EEB328DA}"/>
              </a:ext>
            </a:extLst>
          </xdr:cNvPr>
          <xdr:cNvCxnSpPr/>
        </xdr:nvCxnSpPr>
        <xdr:spPr>
          <a:xfrm flipH="1">
            <a:off x="5991225" y="1524003"/>
            <a:ext cx="452913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75" name="Straight Connector 174">
            <a:extLst>
              <a:ext uri="{FF2B5EF4-FFF2-40B4-BE49-F238E27FC236}">
                <a16:creationId xmlns:a16="http://schemas.microsoft.com/office/drawing/2014/main" id="{10D0FA8E-BA93-4F9B-BC3A-37C1557B055B}"/>
              </a:ext>
            </a:extLst>
          </xdr:cNvPr>
          <xdr:cNvCxnSpPr/>
        </xdr:nvCxnSpPr>
        <xdr:spPr>
          <a:xfrm flipH="1">
            <a:off x="5991225" y="1381128"/>
            <a:ext cx="45243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76" name="Straight Connector 175">
            <a:extLst>
              <a:ext uri="{FF2B5EF4-FFF2-40B4-BE49-F238E27FC236}">
                <a16:creationId xmlns:a16="http://schemas.microsoft.com/office/drawing/2014/main" id="{344E35F7-F86B-4E20-897F-BD872F6E5663}"/>
              </a:ext>
            </a:extLst>
          </xdr:cNvPr>
          <xdr:cNvCxnSpPr/>
        </xdr:nvCxnSpPr>
        <xdr:spPr>
          <a:xfrm flipH="1">
            <a:off x="5991226" y="1238252"/>
            <a:ext cx="4533899"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81" name="Straight Connector 180">
            <a:extLst>
              <a:ext uri="{FF2B5EF4-FFF2-40B4-BE49-F238E27FC236}">
                <a16:creationId xmlns:a16="http://schemas.microsoft.com/office/drawing/2014/main" id="{6FD74DA9-BDA2-275C-6E22-A56D282EF22F}"/>
              </a:ext>
            </a:extLst>
          </xdr:cNvPr>
          <xdr:cNvCxnSpPr/>
        </xdr:nvCxnSpPr>
        <xdr:spPr>
          <a:xfrm>
            <a:off x="6638934" y="1095375"/>
            <a:ext cx="0" cy="17145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87" name="Straight Connector 186">
            <a:extLst>
              <a:ext uri="{FF2B5EF4-FFF2-40B4-BE49-F238E27FC236}">
                <a16:creationId xmlns:a16="http://schemas.microsoft.com/office/drawing/2014/main" id="{0446E10A-7809-7C6D-0449-4D36F758E2C0}"/>
              </a:ext>
            </a:extLst>
          </xdr:cNvPr>
          <xdr:cNvCxnSpPr/>
        </xdr:nvCxnSpPr>
        <xdr:spPr>
          <a:xfrm flipV="1">
            <a:off x="5992813" y="1382713"/>
            <a:ext cx="642937" cy="28098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88" name="Straight Connector 187">
            <a:extLst>
              <a:ext uri="{FF2B5EF4-FFF2-40B4-BE49-F238E27FC236}">
                <a16:creationId xmlns:a16="http://schemas.microsoft.com/office/drawing/2014/main" id="{63B66270-63C0-4835-B95C-BDCAC147C912}"/>
              </a:ext>
            </a:extLst>
          </xdr:cNvPr>
          <xdr:cNvCxnSpPr/>
        </xdr:nvCxnSpPr>
        <xdr:spPr>
          <a:xfrm>
            <a:off x="5995988" y="1381125"/>
            <a:ext cx="647700" cy="2857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91" name="Straight Connector 190">
            <a:extLst>
              <a:ext uri="{FF2B5EF4-FFF2-40B4-BE49-F238E27FC236}">
                <a16:creationId xmlns:a16="http://schemas.microsoft.com/office/drawing/2014/main" id="{C6ECC8BA-3677-4A4D-B28A-6AACABD012F0}"/>
              </a:ext>
            </a:extLst>
          </xdr:cNvPr>
          <xdr:cNvCxnSpPr/>
        </xdr:nvCxnSpPr>
        <xdr:spPr>
          <a:xfrm flipV="1">
            <a:off x="5992813" y="1093788"/>
            <a:ext cx="642937" cy="28098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92" name="Straight Connector 191">
            <a:extLst>
              <a:ext uri="{FF2B5EF4-FFF2-40B4-BE49-F238E27FC236}">
                <a16:creationId xmlns:a16="http://schemas.microsoft.com/office/drawing/2014/main" id="{08CCE86F-A4DD-433F-8711-4396891B28C0}"/>
              </a:ext>
            </a:extLst>
          </xdr:cNvPr>
          <xdr:cNvCxnSpPr/>
        </xdr:nvCxnSpPr>
        <xdr:spPr>
          <a:xfrm>
            <a:off x="5995988" y="1095375"/>
            <a:ext cx="647700" cy="2857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93" name="Straight Connector 192">
            <a:extLst>
              <a:ext uri="{FF2B5EF4-FFF2-40B4-BE49-F238E27FC236}">
                <a16:creationId xmlns:a16="http://schemas.microsoft.com/office/drawing/2014/main" id="{D656EA10-423A-43A1-A2D8-6197741B0B46}"/>
              </a:ext>
            </a:extLst>
          </xdr:cNvPr>
          <xdr:cNvCxnSpPr/>
        </xdr:nvCxnSpPr>
        <xdr:spPr>
          <a:xfrm flipH="1">
            <a:off x="5991225" y="2427295"/>
            <a:ext cx="453866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94" name="Straight Connector 193">
            <a:extLst>
              <a:ext uri="{FF2B5EF4-FFF2-40B4-BE49-F238E27FC236}">
                <a16:creationId xmlns:a16="http://schemas.microsoft.com/office/drawing/2014/main" id="{236589C9-C507-4D91-89D9-7AD807B21247}"/>
              </a:ext>
            </a:extLst>
          </xdr:cNvPr>
          <xdr:cNvCxnSpPr/>
        </xdr:nvCxnSpPr>
        <xdr:spPr>
          <a:xfrm flipV="1">
            <a:off x="5991225" y="2428875"/>
            <a:ext cx="654050" cy="37941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95" name="Straight Connector 194">
            <a:extLst>
              <a:ext uri="{FF2B5EF4-FFF2-40B4-BE49-F238E27FC236}">
                <a16:creationId xmlns:a16="http://schemas.microsoft.com/office/drawing/2014/main" id="{A8A2197A-531D-47FD-A67D-59EB3F8EA14F}"/>
              </a:ext>
            </a:extLst>
          </xdr:cNvPr>
          <xdr:cNvCxnSpPr/>
        </xdr:nvCxnSpPr>
        <xdr:spPr>
          <a:xfrm>
            <a:off x="5988050" y="2428875"/>
            <a:ext cx="649287" cy="38100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99" name="Straight Connector 198">
            <a:extLst>
              <a:ext uri="{FF2B5EF4-FFF2-40B4-BE49-F238E27FC236}">
                <a16:creationId xmlns:a16="http://schemas.microsoft.com/office/drawing/2014/main" id="{BD59F4B3-7902-41B3-AF7A-55F1C1B26339}"/>
              </a:ext>
            </a:extLst>
          </xdr:cNvPr>
          <xdr:cNvCxnSpPr/>
        </xdr:nvCxnSpPr>
        <xdr:spPr>
          <a:xfrm flipV="1">
            <a:off x="5991225" y="2038350"/>
            <a:ext cx="647700" cy="38576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00" name="Straight Connector 199">
            <a:extLst>
              <a:ext uri="{FF2B5EF4-FFF2-40B4-BE49-F238E27FC236}">
                <a16:creationId xmlns:a16="http://schemas.microsoft.com/office/drawing/2014/main" id="{CCD9E93C-492C-4CCF-ABB7-9CDF0356B217}"/>
              </a:ext>
            </a:extLst>
          </xdr:cNvPr>
          <xdr:cNvCxnSpPr/>
        </xdr:nvCxnSpPr>
        <xdr:spPr>
          <a:xfrm>
            <a:off x="5994221" y="2044700"/>
            <a:ext cx="643116" cy="38100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06" name="Straight Connector 205">
            <a:extLst>
              <a:ext uri="{FF2B5EF4-FFF2-40B4-BE49-F238E27FC236}">
                <a16:creationId xmlns:a16="http://schemas.microsoft.com/office/drawing/2014/main" id="{07CFAED8-C73A-47D2-B37B-5C5F57F24CF9}"/>
              </a:ext>
            </a:extLst>
          </xdr:cNvPr>
          <xdr:cNvCxnSpPr/>
        </xdr:nvCxnSpPr>
        <xdr:spPr>
          <a:xfrm flipV="1">
            <a:off x="5994400" y="1670050"/>
            <a:ext cx="644525" cy="37306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07" name="Straight Connector 206">
            <a:extLst>
              <a:ext uri="{FF2B5EF4-FFF2-40B4-BE49-F238E27FC236}">
                <a16:creationId xmlns:a16="http://schemas.microsoft.com/office/drawing/2014/main" id="{0889B4AC-2155-4F5B-91CF-0633D731E58F}"/>
              </a:ext>
            </a:extLst>
          </xdr:cNvPr>
          <xdr:cNvCxnSpPr/>
        </xdr:nvCxnSpPr>
        <xdr:spPr>
          <a:xfrm>
            <a:off x="5988050" y="1670050"/>
            <a:ext cx="652462" cy="37465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10" name="Straight Connector 209">
            <a:extLst>
              <a:ext uri="{FF2B5EF4-FFF2-40B4-BE49-F238E27FC236}">
                <a16:creationId xmlns:a16="http://schemas.microsoft.com/office/drawing/2014/main" id="{46875FF2-9753-42B2-8964-1B1A97FD4BD9}"/>
              </a:ext>
            </a:extLst>
          </xdr:cNvPr>
          <xdr:cNvCxnSpPr/>
        </xdr:nvCxnSpPr>
        <xdr:spPr>
          <a:xfrm flipV="1">
            <a:off x="7935921" y="1382713"/>
            <a:ext cx="642937" cy="28098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11" name="Straight Connector 210">
            <a:extLst>
              <a:ext uri="{FF2B5EF4-FFF2-40B4-BE49-F238E27FC236}">
                <a16:creationId xmlns:a16="http://schemas.microsoft.com/office/drawing/2014/main" id="{AA7CE7A2-7D5A-4B2F-8394-7F54B5FA08F6}"/>
              </a:ext>
            </a:extLst>
          </xdr:cNvPr>
          <xdr:cNvCxnSpPr/>
        </xdr:nvCxnSpPr>
        <xdr:spPr>
          <a:xfrm>
            <a:off x="7939096" y="1381125"/>
            <a:ext cx="647700" cy="2857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12" name="Straight Connector 211">
            <a:extLst>
              <a:ext uri="{FF2B5EF4-FFF2-40B4-BE49-F238E27FC236}">
                <a16:creationId xmlns:a16="http://schemas.microsoft.com/office/drawing/2014/main" id="{DABC706F-4683-405C-943F-97F91A5DF8E7}"/>
              </a:ext>
            </a:extLst>
          </xdr:cNvPr>
          <xdr:cNvCxnSpPr/>
        </xdr:nvCxnSpPr>
        <xdr:spPr>
          <a:xfrm flipV="1">
            <a:off x="7935921" y="1093788"/>
            <a:ext cx="642937" cy="28098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13" name="Straight Connector 212">
            <a:extLst>
              <a:ext uri="{FF2B5EF4-FFF2-40B4-BE49-F238E27FC236}">
                <a16:creationId xmlns:a16="http://schemas.microsoft.com/office/drawing/2014/main" id="{8D8F3C00-96A1-4DAA-A9E8-60D61A8985C1}"/>
              </a:ext>
            </a:extLst>
          </xdr:cNvPr>
          <xdr:cNvCxnSpPr/>
        </xdr:nvCxnSpPr>
        <xdr:spPr>
          <a:xfrm>
            <a:off x="7939096" y="1095375"/>
            <a:ext cx="647700" cy="2857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14" name="Straight Connector 213">
            <a:extLst>
              <a:ext uri="{FF2B5EF4-FFF2-40B4-BE49-F238E27FC236}">
                <a16:creationId xmlns:a16="http://schemas.microsoft.com/office/drawing/2014/main" id="{66FE4993-902D-4A43-838D-02CF020D4556}"/>
              </a:ext>
            </a:extLst>
          </xdr:cNvPr>
          <xdr:cNvCxnSpPr/>
        </xdr:nvCxnSpPr>
        <xdr:spPr>
          <a:xfrm flipV="1">
            <a:off x="7934333" y="2428875"/>
            <a:ext cx="654050" cy="37941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15" name="Straight Connector 214">
            <a:extLst>
              <a:ext uri="{FF2B5EF4-FFF2-40B4-BE49-F238E27FC236}">
                <a16:creationId xmlns:a16="http://schemas.microsoft.com/office/drawing/2014/main" id="{D1BCCAA5-3C43-458F-BCF2-D9ED04B17606}"/>
              </a:ext>
            </a:extLst>
          </xdr:cNvPr>
          <xdr:cNvCxnSpPr/>
        </xdr:nvCxnSpPr>
        <xdr:spPr>
          <a:xfrm>
            <a:off x="7931158" y="2428875"/>
            <a:ext cx="649287" cy="38100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16" name="Straight Connector 215">
            <a:extLst>
              <a:ext uri="{FF2B5EF4-FFF2-40B4-BE49-F238E27FC236}">
                <a16:creationId xmlns:a16="http://schemas.microsoft.com/office/drawing/2014/main" id="{C3E1BBAA-8B3C-4D66-8F62-6D08F52B3DD6}"/>
              </a:ext>
            </a:extLst>
          </xdr:cNvPr>
          <xdr:cNvCxnSpPr/>
        </xdr:nvCxnSpPr>
        <xdr:spPr>
          <a:xfrm flipV="1">
            <a:off x="7934333" y="2038350"/>
            <a:ext cx="647700" cy="38576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17" name="Straight Connector 216">
            <a:extLst>
              <a:ext uri="{FF2B5EF4-FFF2-40B4-BE49-F238E27FC236}">
                <a16:creationId xmlns:a16="http://schemas.microsoft.com/office/drawing/2014/main" id="{33729951-680E-4BB6-95F9-D047DCBE9FEE}"/>
              </a:ext>
            </a:extLst>
          </xdr:cNvPr>
          <xdr:cNvCxnSpPr/>
        </xdr:nvCxnSpPr>
        <xdr:spPr>
          <a:xfrm>
            <a:off x="7937329" y="2044700"/>
            <a:ext cx="643116" cy="38100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18" name="Straight Connector 217">
            <a:extLst>
              <a:ext uri="{FF2B5EF4-FFF2-40B4-BE49-F238E27FC236}">
                <a16:creationId xmlns:a16="http://schemas.microsoft.com/office/drawing/2014/main" id="{11D86B2A-9368-4AB3-AC46-9E6260A08645}"/>
              </a:ext>
            </a:extLst>
          </xdr:cNvPr>
          <xdr:cNvCxnSpPr/>
        </xdr:nvCxnSpPr>
        <xdr:spPr>
          <a:xfrm flipV="1">
            <a:off x="7937508" y="1670050"/>
            <a:ext cx="644525" cy="37306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19" name="Straight Connector 218">
            <a:extLst>
              <a:ext uri="{FF2B5EF4-FFF2-40B4-BE49-F238E27FC236}">
                <a16:creationId xmlns:a16="http://schemas.microsoft.com/office/drawing/2014/main" id="{720990FA-7FE1-43D4-9476-55C8B903BDE9}"/>
              </a:ext>
            </a:extLst>
          </xdr:cNvPr>
          <xdr:cNvCxnSpPr/>
        </xdr:nvCxnSpPr>
        <xdr:spPr>
          <a:xfrm>
            <a:off x="7931158" y="1670050"/>
            <a:ext cx="652462" cy="37465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30" name="Straight Connector 229">
            <a:extLst>
              <a:ext uri="{FF2B5EF4-FFF2-40B4-BE49-F238E27FC236}">
                <a16:creationId xmlns:a16="http://schemas.microsoft.com/office/drawing/2014/main" id="{28672CC5-5E23-4C52-A05C-1CECCAB26F47}"/>
              </a:ext>
            </a:extLst>
          </xdr:cNvPr>
          <xdr:cNvCxnSpPr/>
        </xdr:nvCxnSpPr>
        <xdr:spPr>
          <a:xfrm flipV="1">
            <a:off x="9879013" y="1382713"/>
            <a:ext cx="642937" cy="28098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31" name="Straight Connector 230">
            <a:extLst>
              <a:ext uri="{FF2B5EF4-FFF2-40B4-BE49-F238E27FC236}">
                <a16:creationId xmlns:a16="http://schemas.microsoft.com/office/drawing/2014/main" id="{BE67EFDF-8D67-4B39-A381-70FE431370FB}"/>
              </a:ext>
            </a:extLst>
          </xdr:cNvPr>
          <xdr:cNvCxnSpPr/>
        </xdr:nvCxnSpPr>
        <xdr:spPr>
          <a:xfrm>
            <a:off x="9882188" y="1381125"/>
            <a:ext cx="647700" cy="2857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32" name="Straight Connector 231">
            <a:extLst>
              <a:ext uri="{FF2B5EF4-FFF2-40B4-BE49-F238E27FC236}">
                <a16:creationId xmlns:a16="http://schemas.microsoft.com/office/drawing/2014/main" id="{55FFA67E-C812-4C56-8F26-001624268946}"/>
              </a:ext>
            </a:extLst>
          </xdr:cNvPr>
          <xdr:cNvCxnSpPr/>
        </xdr:nvCxnSpPr>
        <xdr:spPr>
          <a:xfrm flipV="1">
            <a:off x="9879013" y="1093788"/>
            <a:ext cx="642937" cy="28098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33" name="Straight Connector 232">
            <a:extLst>
              <a:ext uri="{FF2B5EF4-FFF2-40B4-BE49-F238E27FC236}">
                <a16:creationId xmlns:a16="http://schemas.microsoft.com/office/drawing/2014/main" id="{F60358BE-3B89-4759-A89B-9827BD8F534D}"/>
              </a:ext>
            </a:extLst>
          </xdr:cNvPr>
          <xdr:cNvCxnSpPr/>
        </xdr:nvCxnSpPr>
        <xdr:spPr>
          <a:xfrm>
            <a:off x="9882188" y="1095375"/>
            <a:ext cx="647700" cy="2857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34" name="Straight Connector 233">
            <a:extLst>
              <a:ext uri="{FF2B5EF4-FFF2-40B4-BE49-F238E27FC236}">
                <a16:creationId xmlns:a16="http://schemas.microsoft.com/office/drawing/2014/main" id="{E8301360-424E-4628-898E-E20E08345481}"/>
              </a:ext>
            </a:extLst>
          </xdr:cNvPr>
          <xdr:cNvCxnSpPr/>
        </xdr:nvCxnSpPr>
        <xdr:spPr>
          <a:xfrm flipV="1">
            <a:off x="9877425" y="2428875"/>
            <a:ext cx="654050" cy="37941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35" name="Straight Connector 234">
            <a:extLst>
              <a:ext uri="{FF2B5EF4-FFF2-40B4-BE49-F238E27FC236}">
                <a16:creationId xmlns:a16="http://schemas.microsoft.com/office/drawing/2014/main" id="{D19A87BD-4D0F-4601-8D4B-5A8E5B9CAEB1}"/>
              </a:ext>
            </a:extLst>
          </xdr:cNvPr>
          <xdr:cNvCxnSpPr/>
        </xdr:nvCxnSpPr>
        <xdr:spPr>
          <a:xfrm>
            <a:off x="9874250" y="2428875"/>
            <a:ext cx="649287" cy="38100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36" name="Straight Connector 235">
            <a:extLst>
              <a:ext uri="{FF2B5EF4-FFF2-40B4-BE49-F238E27FC236}">
                <a16:creationId xmlns:a16="http://schemas.microsoft.com/office/drawing/2014/main" id="{294E9A46-DF77-4F62-B609-B47751E62023}"/>
              </a:ext>
            </a:extLst>
          </xdr:cNvPr>
          <xdr:cNvCxnSpPr/>
        </xdr:nvCxnSpPr>
        <xdr:spPr>
          <a:xfrm flipV="1">
            <a:off x="9877425" y="2038350"/>
            <a:ext cx="647700" cy="38576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37" name="Straight Connector 236">
            <a:extLst>
              <a:ext uri="{FF2B5EF4-FFF2-40B4-BE49-F238E27FC236}">
                <a16:creationId xmlns:a16="http://schemas.microsoft.com/office/drawing/2014/main" id="{74F0362A-7DE5-4CF7-A8E3-AF0D005CCB24}"/>
              </a:ext>
            </a:extLst>
          </xdr:cNvPr>
          <xdr:cNvCxnSpPr/>
        </xdr:nvCxnSpPr>
        <xdr:spPr>
          <a:xfrm>
            <a:off x="9880421" y="2044700"/>
            <a:ext cx="643116" cy="38100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38" name="Straight Connector 237">
            <a:extLst>
              <a:ext uri="{FF2B5EF4-FFF2-40B4-BE49-F238E27FC236}">
                <a16:creationId xmlns:a16="http://schemas.microsoft.com/office/drawing/2014/main" id="{001C873F-0358-4B9F-8F88-B1DBD31EC786}"/>
              </a:ext>
            </a:extLst>
          </xdr:cNvPr>
          <xdr:cNvCxnSpPr/>
        </xdr:nvCxnSpPr>
        <xdr:spPr>
          <a:xfrm flipV="1">
            <a:off x="9880600" y="1670050"/>
            <a:ext cx="644525" cy="37306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39" name="Straight Connector 238">
            <a:extLst>
              <a:ext uri="{FF2B5EF4-FFF2-40B4-BE49-F238E27FC236}">
                <a16:creationId xmlns:a16="http://schemas.microsoft.com/office/drawing/2014/main" id="{93C95580-57DE-4E0E-B3A8-36413A2D60EA}"/>
              </a:ext>
            </a:extLst>
          </xdr:cNvPr>
          <xdr:cNvCxnSpPr/>
        </xdr:nvCxnSpPr>
        <xdr:spPr>
          <a:xfrm>
            <a:off x="9874250" y="1670050"/>
            <a:ext cx="652462" cy="37465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40" name="Straight Connector 239">
            <a:extLst>
              <a:ext uri="{FF2B5EF4-FFF2-40B4-BE49-F238E27FC236}">
                <a16:creationId xmlns:a16="http://schemas.microsoft.com/office/drawing/2014/main" id="{0DF64E4E-16E4-4E95-AC20-3D3289F0B038}"/>
              </a:ext>
            </a:extLst>
          </xdr:cNvPr>
          <xdr:cNvCxnSpPr/>
        </xdr:nvCxnSpPr>
        <xdr:spPr>
          <a:xfrm>
            <a:off x="7934325" y="1095375"/>
            <a:ext cx="0" cy="17145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41" name="Straight Connector 240">
            <a:extLst>
              <a:ext uri="{FF2B5EF4-FFF2-40B4-BE49-F238E27FC236}">
                <a16:creationId xmlns:a16="http://schemas.microsoft.com/office/drawing/2014/main" id="{8E1A2F3C-BEC2-484C-AB8D-98C9A20EE747}"/>
              </a:ext>
            </a:extLst>
          </xdr:cNvPr>
          <xdr:cNvCxnSpPr/>
        </xdr:nvCxnSpPr>
        <xdr:spPr>
          <a:xfrm>
            <a:off x="7286625" y="1095375"/>
            <a:ext cx="0" cy="17145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42" name="Straight Connector 241">
            <a:extLst>
              <a:ext uri="{FF2B5EF4-FFF2-40B4-BE49-F238E27FC236}">
                <a16:creationId xmlns:a16="http://schemas.microsoft.com/office/drawing/2014/main" id="{BDB95C6E-B84E-4C58-9DB9-F19400D599F9}"/>
              </a:ext>
            </a:extLst>
          </xdr:cNvPr>
          <xdr:cNvCxnSpPr/>
        </xdr:nvCxnSpPr>
        <xdr:spPr>
          <a:xfrm>
            <a:off x="9229725" y="1095376"/>
            <a:ext cx="0" cy="17145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43" name="Straight Connector 242">
            <a:extLst>
              <a:ext uri="{FF2B5EF4-FFF2-40B4-BE49-F238E27FC236}">
                <a16:creationId xmlns:a16="http://schemas.microsoft.com/office/drawing/2014/main" id="{1325370D-3673-4426-AD61-5F298CFF3369}"/>
              </a:ext>
            </a:extLst>
          </xdr:cNvPr>
          <xdr:cNvCxnSpPr/>
        </xdr:nvCxnSpPr>
        <xdr:spPr>
          <a:xfrm>
            <a:off x="8582025" y="1095376"/>
            <a:ext cx="0" cy="17145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45" name="Straight Connector 244">
            <a:extLst>
              <a:ext uri="{FF2B5EF4-FFF2-40B4-BE49-F238E27FC236}">
                <a16:creationId xmlns:a16="http://schemas.microsoft.com/office/drawing/2014/main" id="{0A3294DB-834F-4DF9-BBEB-2C8762F7ACE6}"/>
              </a:ext>
            </a:extLst>
          </xdr:cNvPr>
          <xdr:cNvCxnSpPr/>
        </xdr:nvCxnSpPr>
        <xdr:spPr>
          <a:xfrm>
            <a:off x="9877425" y="1095376"/>
            <a:ext cx="0" cy="17145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54" name="Straight Connector 253">
            <a:extLst>
              <a:ext uri="{FF2B5EF4-FFF2-40B4-BE49-F238E27FC236}">
                <a16:creationId xmlns:a16="http://schemas.microsoft.com/office/drawing/2014/main" id="{D482881C-3B2B-809F-84FA-D793BD15C296}"/>
              </a:ext>
            </a:extLst>
          </xdr:cNvPr>
          <xdr:cNvCxnSpPr/>
        </xdr:nvCxnSpPr>
        <xdr:spPr>
          <a:xfrm>
            <a:off x="5991225" y="2919411"/>
            <a:ext cx="0" cy="5238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56" name="Straight Connector 255">
            <a:extLst>
              <a:ext uri="{FF2B5EF4-FFF2-40B4-BE49-F238E27FC236}">
                <a16:creationId xmlns:a16="http://schemas.microsoft.com/office/drawing/2014/main" id="{0598AAB3-B44C-4E4C-CB9D-FC7F81D96012}"/>
              </a:ext>
            </a:extLst>
          </xdr:cNvPr>
          <xdr:cNvCxnSpPr/>
        </xdr:nvCxnSpPr>
        <xdr:spPr>
          <a:xfrm>
            <a:off x="5938839" y="3095625"/>
            <a:ext cx="4633911"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59" name="Straight Connector 258">
            <a:extLst>
              <a:ext uri="{FF2B5EF4-FFF2-40B4-BE49-F238E27FC236}">
                <a16:creationId xmlns:a16="http://schemas.microsoft.com/office/drawing/2014/main" id="{E9241F4D-061D-D863-7CF7-0EC35F7F10EB}"/>
              </a:ext>
            </a:extLst>
          </xdr:cNvPr>
          <xdr:cNvCxnSpPr/>
        </xdr:nvCxnSpPr>
        <xdr:spPr>
          <a:xfrm flipH="1">
            <a:off x="5962648" y="3071813"/>
            <a:ext cx="52388" cy="5238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60" name="Straight Connector 259">
            <a:extLst>
              <a:ext uri="{FF2B5EF4-FFF2-40B4-BE49-F238E27FC236}">
                <a16:creationId xmlns:a16="http://schemas.microsoft.com/office/drawing/2014/main" id="{59D8EDFA-EC9A-4ED2-B583-3441F641A567}"/>
              </a:ext>
            </a:extLst>
          </xdr:cNvPr>
          <xdr:cNvCxnSpPr/>
        </xdr:nvCxnSpPr>
        <xdr:spPr>
          <a:xfrm>
            <a:off x="5938837" y="3381381"/>
            <a:ext cx="4629151"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61" name="Straight Connector 260">
            <a:extLst>
              <a:ext uri="{FF2B5EF4-FFF2-40B4-BE49-F238E27FC236}">
                <a16:creationId xmlns:a16="http://schemas.microsoft.com/office/drawing/2014/main" id="{F748026A-F2FB-4B84-8806-8D26EA8640A6}"/>
              </a:ext>
            </a:extLst>
          </xdr:cNvPr>
          <xdr:cNvCxnSpPr/>
        </xdr:nvCxnSpPr>
        <xdr:spPr>
          <a:xfrm flipH="1">
            <a:off x="5962646" y="3357569"/>
            <a:ext cx="52388" cy="5238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62" name="Straight Connector 261">
            <a:extLst>
              <a:ext uri="{FF2B5EF4-FFF2-40B4-BE49-F238E27FC236}">
                <a16:creationId xmlns:a16="http://schemas.microsoft.com/office/drawing/2014/main" id="{4689A77C-C0C2-464C-8CA2-71028E395BBC}"/>
              </a:ext>
            </a:extLst>
          </xdr:cNvPr>
          <xdr:cNvCxnSpPr/>
        </xdr:nvCxnSpPr>
        <xdr:spPr>
          <a:xfrm>
            <a:off x="10525125" y="2914648"/>
            <a:ext cx="0" cy="5238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63" name="Straight Connector 262">
            <a:extLst>
              <a:ext uri="{FF2B5EF4-FFF2-40B4-BE49-F238E27FC236}">
                <a16:creationId xmlns:a16="http://schemas.microsoft.com/office/drawing/2014/main" id="{ACDBE322-79E4-46CC-9FC5-FE17AFEDB186}"/>
              </a:ext>
            </a:extLst>
          </xdr:cNvPr>
          <xdr:cNvCxnSpPr/>
        </xdr:nvCxnSpPr>
        <xdr:spPr>
          <a:xfrm flipH="1">
            <a:off x="10496548" y="3071813"/>
            <a:ext cx="52388" cy="5238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64" name="Straight Connector 263">
            <a:extLst>
              <a:ext uri="{FF2B5EF4-FFF2-40B4-BE49-F238E27FC236}">
                <a16:creationId xmlns:a16="http://schemas.microsoft.com/office/drawing/2014/main" id="{87694F1F-B889-4B55-A656-D207F161F1BD}"/>
              </a:ext>
            </a:extLst>
          </xdr:cNvPr>
          <xdr:cNvCxnSpPr/>
        </xdr:nvCxnSpPr>
        <xdr:spPr>
          <a:xfrm flipH="1">
            <a:off x="10496546" y="3357569"/>
            <a:ext cx="52388" cy="5238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68" name="Straight Connector 267">
            <a:extLst>
              <a:ext uri="{FF2B5EF4-FFF2-40B4-BE49-F238E27FC236}">
                <a16:creationId xmlns:a16="http://schemas.microsoft.com/office/drawing/2014/main" id="{F56746B4-90C1-487D-A784-D0B2DBE88C58}"/>
              </a:ext>
            </a:extLst>
          </xdr:cNvPr>
          <xdr:cNvCxnSpPr/>
        </xdr:nvCxnSpPr>
        <xdr:spPr>
          <a:xfrm>
            <a:off x="6638925" y="2895600"/>
            <a:ext cx="0" cy="25717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69" name="Straight Connector 268">
            <a:extLst>
              <a:ext uri="{FF2B5EF4-FFF2-40B4-BE49-F238E27FC236}">
                <a16:creationId xmlns:a16="http://schemas.microsoft.com/office/drawing/2014/main" id="{25192D5A-71AE-4372-BB09-9E0BD42FB03B}"/>
              </a:ext>
            </a:extLst>
          </xdr:cNvPr>
          <xdr:cNvCxnSpPr/>
        </xdr:nvCxnSpPr>
        <xdr:spPr>
          <a:xfrm flipH="1">
            <a:off x="6610346" y="3067056"/>
            <a:ext cx="52388" cy="5238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71" name="Straight Connector 270">
            <a:extLst>
              <a:ext uri="{FF2B5EF4-FFF2-40B4-BE49-F238E27FC236}">
                <a16:creationId xmlns:a16="http://schemas.microsoft.com/office/drawing/2014/main" id="{05E9191F-301E-4251-B406-CD26F370A2A0}"/>
              </a:ext>
            </a:extLst>
          </xdr:cNvPr>
          <xdr:cNvCxnSpPr/>
        </xdr:nvCxnSpPr>
        <xdr:spPr>
          <a:xfrm>
            <a:off x="7286625" y="2895600"/>
            <a:ext cx="0" cy="25717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72" name="Straight Connector 271">
            <a:extLst>
              <a:ext uri="{FF2B5EF4-FFF2-40B4-BE49-F238E27FC236}">
                <a16:creationId xmlns:a16="http://schemas.microsoft.com/office/drawing/2014/main" id="{DF668C23-F13C-47B2-B0E3-D13823DE8927}"/>
              </a:ext>
            </a:extLst>
          </xdr:cNvPr>
          <xdr:cNvCxnSpPr/>
        </xdr:nvCxnSpPr>
        <xdr:spPr>
          <a:xfrm flipH="1">
            <a:off x="7258046" y="3067056"/>
            <a:ext cx="52388" cy="5238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73" name="Straight Connector 272">
            <a:extLst>
              <a:ext uri="{FF2B5EF4-FFF2-40B4-BE49-F238E27FC236}">
                <a16:creationId xmlns:a16="http://schemas.microsoft.com/office/drawing/2014/main" id="{F209323D-7298-400B-9E9A-3E8F40412462}"/>
              </a:ext>
            </a:extLst>
          </xdr:cNvPr>
          <xdr:cNvCxnSpPr/>
        </xdr:nvCxnSpPr>
        <xdr:spPr>
          <a:xfrm>
            <a:off x="7934325" y="2895600"/>
            <a:ext cx="0" cy="25717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74" name="Straight Connector 273">
            <a:extLst>
              <a:ext uri="{FF2B5EF4-FFF2-40B4-BE49-F238E27FC236}">
                <a16:creationId xmlns:a16="http://schemas.microsoft.com/office/drawing/2014/main" id="{BBEDDDAA-9E13-4D07-BCD2-72C308C78A5F}"/>
              </a:ext>
            </a:extLst>
          </xdr:cNvPr>
          <xdr:cNvCxnSpPr/>
        </xdr:nvCxnSpPr>
        <xdr:spPr>
          <a:xfrm flipH="1">
            <a:off x="7905746" y="3067056"/>
            <a:ext cx="52388" cy="5238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75" name="Straight Connector 274">
            <a:extLst>
              <a:ext uri="{FF2B5EF4-FFF2-40B4-BE49-F238E27FC236}">
                <a16:creationId xmlns:a16="http://schemas.microsoft.com/office/drawing/2014/main" id="{45CDE4DB-4C80-4C25-8320-37D87F5307D0}"/>
              </a:ext>
            </a:extLst>
          </xdr:cNvPr>
          <xdr:cNvCxnSpPr/>
        </xdr:nvCxnSpPr>
        <xdr:spPr>
          <a:xfrm>
            <a:off x="8582025" y="2895600"/>
            <a:ext cx="0" cy="25717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76" name="Straight Connector 275">
            <a:extLst>
              <a:ext uri="{FF2B5EF4-FFF2-40B4-BE49-F238E27FC236}">
                <a16:creationId xmlns:a16="http://schemas.microsoft.com/office/drawing/2014/main" id="{0A0590FA-501A-42A1-8ED9-06BC9F7842E0}"/>
              </a:ext>
            </a:extLst>
          </xdr:cNvPr>
          <xdr:cNvCxnSpPr/>
        </xdr:nvCxnSpPr>
        <xdr:spPr>
          <a:xfrm flipH="1">
            <a:off x="8553446" y="3067056"/>
            <a:ext cx="52388" cy="5238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77" name="Straight Connector 276">
            <a:extLst>
              <a:ext uri="{FF2B5EF4-FFF2-40B4-BE49-F238E27FC236}">
                <a16:creationId xmlns:a16="http://schemas.microsoft.com/office/drawing/2014/main" id="{4EDD7EB5-5239-446A-9FE7-8C93E8EC8E52}"/>
              </a:ext>
            </a:extLst>
          </xdr:cNvPr>
          <xdr:cNvCxnSpPr/>
        </xdr:nvCxnSpPr>
        <xdr:spPr>
          <a:xfrm>
            <a:off x="9229725" y="2895600"/>
            <a:ext cx="0" cy="25717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78" name="Straight Connector 277">
            <a:extLst>
              <a:ext uri="{FF2B5EF4-FFF2-40B4-BE49-F238E27FC236}">
                <a16:creationId xmlns:a16="http://schemas.microsoft.com/office/drawing/2014/main" id="{0D29E9EE-DD89-4E71-AA30-6D401FC43682}"/>
              </a:ext>
            </a:extLst>
          </xdr:cNvPr>
          <xdr:cNvCxnSpPr/>
        </xdr:nvCxnSpPr>
        <xdr:spPr>
          <a:xfrm flipH="1">
            <a:off x="9201146" y="3067056"/>
            <a:ext cx="52388" cy="5238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79" name="Straight Connector 278">
            <a:extLst>
              <a:ext uri="{FF2B5EF4-FFF2-40B4-BE49-F238E27FC236}">
                <a16:creationId xmlns:a16="http://schemas.microsoft.com/office/drawing/2014/main" id="{42C4FC96-867E-4364-92CC-12B7C86EFB49}"/>
              </a:ext>
            </a:extLst>
          </xdr:cNvPr>
          <xdr:cNvCxnSpPr/>
        </xdr:nvCxnSpPr>
        <xdr:spPr>
          <a:xfrm>
            <a:off x="9877425" y="2895600"/>
            <a:ext cx="0" cy="25717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80" name="Straight Connector 279">
            <a:extLst>
              <a:ext uri="{FF2B5EF4-FFF2-40B4-BE49-F238E27FC236}">
                <a16:creationId xmlns:a16="http://schemas.microsoft.com/office/drawing/2014/main" id="{42286A02-B398-419D-ADEA-66746D79AEF6}"/>
              </a:ext>
            </a:extLst>
          </xdr:cNvPr>
          <xdr:cNvCxnSpPr/>
        </xdr:nvCxnSpPr>
        <xdr:spPr>
          <a:xfrm flipH="1">
            <a:off x="9848846" y="3067056"/>
            <a:ext cx="52388" cy="5238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82" name="Straight Connector 281">
            <a:extLst>
              <a:ext uri="{FF2B5EF4-FFF2-40B4-BE49-F238E27FC236}">
                <a16:creationId xmlns:a16="http://schemas.microsoft.com/office/drawing/2014/main" id="{378672C2-3F1B-BAE0-874C-1325F37B8C93}"/>
              </a:ext>
            </a:extLst>
          </xdr:cNvPr>
          <xdr:cNvCxnSpPr/>
        </xdr:nvCxnSpPr>
        <xdr:spPr>
          <a:xfrm>
            <a:off x="6872287" y="1000123"/>
            <a:ext cx="0" cy="323850"/>
          </a:xfrm>
          <a:prstGeom prst="line">
            <a:avLst/>
          </a:prstGeom>
          <a:ln w="9525">
            <a:solidFill>
              <a:schemeClr val="accent6">
                <a:lumMod val="75000"/>
              </a:schemeClr>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284" name="Straight Connector 283">
            <a:extLst>
              <a:ext uri="{FF2B5EF4-FFF2-40B4-BE49-F238E27FC236}">
                <a16:creationId xmlns:a16="http://schemas.microsoft.com/office/drawing/2014/main" id="{561800CD-1B3A-4F85-8254-6EC4E2A33B0A}"/>
              </a:ext>
            </a:extLst>
          </xdr:cNvPr>
          <xdr:cNvCxnSpPr/>
        </xdr:nvCxnSpPr>
        <xdr:spPr>
          <a:xfrm>
            <a:off x="6896100" y="1000123"/>
            <a:ext cx="0" cy="323850"/>
          </a:xfrm>
          <a:prstGeom prst="line">
            <a:avLst/>
          </a:prstGeom>
          <a:ln w="9525">
            <a:solidFill>
              <a:schemeClr val="accent6">
                <a:lumMod val="75000"/>
              </a:schemeClr>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285" name="Straight Connector 284">
            <a:extLst>
              <a:ext uri="{FF2B5EF4-FFF2-40B4-BE49-F238E27FC236}">
                <a16:creationId xmlns:a16="http://schemas.microsoft.com/office/drawing/2014/main" id="{6C5EA6BC-FAEC-48BE-8BF9-2C43F3F1A218}"/>
              </a:ext>
            </a:extLst>
          </xdr:cNvPr>
          <xdr:cNvCxnSpPr/>
        </xdr:nvCxnSpPr>
        <xdr:spPr>
          <a:xfrm>
            <a:off x="6872287" y="2605085"/>
            <a:ext cx="0" cy="323850"/>
          </a:xfrm>
          <a:prstGeom prst="line">
            <a:avLst/>
          </a:prstGeom>
          <a:ln w="9525">
            <a:solidFill>
              <a:schemeClr val="accent6">
                <a:lumMod val="75000"/>
              </a:schemeClr>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286" name="Straight Connector 285">
            <a:extLst>
              <a:ext uri="{FF2B5EF4-FFF2-40B4-BE49-F238E27FC236}">
                <a16:creationId xmlns:a16="http://schemas.microsoft.com/office/drawing/2014/main" id="{86F050FF-2D50-450A-9A11-8CA49F7A1D0A}"/>
              </a:ext>
            </a:extLst>
          </xdr:cNvPr>
          <xdr:cNvCxnSpPr/>
        </xdr:nvCxnSpPr>
        <xdr:spPr>
          <a:xfrm>
            <a:off x="6896100" y="2605085"/>
            <a:ext cx="0" cy="323850"/>
          </a:xfrm>
          <a:prstGeom prst="line">
            <a:avLst/>
          </a:prstGeom>
          <a:ln w="9525">
            <a:solidFill>
              <a:schemeClr val="accent6">
                <a:lumMod val="75000"/>
              </a:schemeClr>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4" name="Straight Connector 3">
            <a:extLst>
              <a:ext uri="{FF2B5EF4-FFF2-40B4-BE49-F238E27FC236}">
                <a16:creationId xmlns:a16="http://schemas.microsoft.com/office/drawing/2014/main" id="{AC302541-562D-4463-3DCB-234236F722EC}"/>
              </a:ext>
            </a:extLst>
          </xdr:cNvPr>
          <xdr:cNvCxnSpPr/>
        </xdr:nvCxnSpPr>
        <xdr:spPr>
          <a:xfrm>
            <a:off x="5586410" y="1095376"/>
            <a:ext cx="347663"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8" name="Straight Connector 7">
            <a:extLst>
              <a:ext uri="{FF2B5EF4-FFF2-40B4-BE49-F238E27FC236}">
                <a16:creationId xmlns:a16="http://schemas.microsoft.com/office/drawing/2014/main" id="{341A0F62-2549-0019-F0D9-E4A07C86155C}"/>
              </a:ext>
            </a:extLst>
          </xdr:cNvPr>
          <xdr:cNvCxnSpPr/>
        </xdr:nvCxnSpPr>
        <xdr:spPr>
          <a:xfrm>
            <a:off x="5667375" y="1028700"/>
            <a:ext cx="0" cy="184785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9" name="Straight Connector 8">
            <a:extLst>
              <a:ext uri="{FF2B5EF4-FFF2-40B4-BE49-F238E27FC236}">
                <a16:creationId xmlns:a16="http://schemas.microsoft.com/office/drawing/2014/main" id="{B38DA798-6B3D-4225-A04A-CBF6B65146A2}"/>
              </a:ext>
            </a:extLst>
          </xdr:cNvPr>
          <xdr:cNvCxnSpPr/>
        </xdr:nvCxnSpPr>
        <xdr:spPr>
          <a:xfrm flipH="1">
            <a:off x="5634043" y="1062036"/>
            <a:ext cx="66675" cy="666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6" name="Straight Connector 15">
            <a:extLst>
              <a:ext uri="{FF2B5EF4-FFF2-40B4-BE49-F238E27FC236}">
                <a16:creationId xmlns:a16="http://schemas.microsoft.com/office/drawing/2014/main" id="{2FBD7D7A-9F53-44D8-AA81-25A0EC1D2C3A}"/>
              </a:ext>
            </a:extLst>
          </xdr:cNvPr>
          <xdr:cNvCxnSpPr/>
        </xdr:nvCxnSpPr>
        <xdr:spPr>
          <a:xfrm>
            <a:off x="5586410" y="1666876"/>
            <a:ext cx="347663"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8" name="Straight Connector 17">
            <a:extLst>
              <a:ext uri="{FF2B5EF4-FFF2-40B4-BE49-F238E27FC236}">
                <a16:creationId xmlns:a16="http://schemas.microsoft.com/office/drawing/2014/main" id="{E3AA59AE-94C6-49DA-93CF-8F93C9D80722}"/>
              </a:ext>
            </a:extLst>
          </xdr:cNvPr>
          <xdr:cNvCxnSpPr/>
        </xdr:nvCxnSpPr>
        <xdr:spPr>
          <a:xfrm flipH="1">
            <a:off x="5634043" y="1633536"/>
            <a:ext cx="66675" cy="666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9" name="Straight Connector 18">
            <a:extLst>
              <a:ext uri="{FF2B5EF4-FFF2-40B4-BE49-F238E27FC236}">
                <a16:creationId xmlns:a16="http://schemas.microsoft.com/office/drawing/2014/main" id="{38D512BF-A420-49C8-8E13-CF43A1529861}"/>
              </a:ext>
            </a:extLst>
          </xdr:cNvPr>
          <xdr:cNvCxnSpPr/>
        </xdr:nvCxnSpPr>
        <xdr:spPr>
          <a:xfrm>
            <a:off x="5586410" y="2428881"/>
            <a:ext cx="347663"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5" name="Straight Connector 24">
            <a:extLst>
              <a:ext uri="{FF2B5EF4-FFF2-40B4-BE49-F238E27FC236}">
                <a16:creationId xmlns:a16="http://schemas.microsoft.com/office/drawing/2014/main" id="{492C434F-8630-4367-ADFD-131F84593F73}"/>
              </a:ext>
            </a:extLst>
          </xdr:cNvPr>
          <xdr:cNvCxnSpPr/>
        </xdr:nvCxnSpPr>
        <xdr:spPr>
          <a:xfrm flipH="1">
            <a:off x="5634043" y="2395541"/>
            <a:ext cx="66675" cy="666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7" name="Straight Connector 26">
            <a:extLst>
              <a:ext uri="{FF2B5EF4-FFF2-40B4-BE49-F238E27FC236}">
                <a16:creationId xmlns:a16="http://schemas.microsoft.com/office/drawing/2014/main" id="{01F5A13C-A4E7-4C6B-A9D3-FE2A9F41EE9B}"/>
              </a:ext>
            </a:extLst>
          </xdr:cNvPr>
          <xdr:cNvCxnSpPr/>
        </xdr:nvCxnSpPr>
        <xdr:spPr>
          <a:xfrm>
            <a:off x="5586410" y="2047871"/>
            <a:ext cx="347663"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9" name="Straight Connector 28">
            <a:extLst>
              <a:ext uri="{FF2B5EF4-FFF2-40B4-BE49-F238E27FC236}">
                <a16:creationId xmlns:a16="http://schemas.microsoft.com/office/drawing/2014/main" id="{E8434548-353E-4BCC-9DD2-874E66B8D0DD}"/>
              </a:ext>
            </a:extLst>
          </xdr:cNvPr>
          <xdr:cNvCxnSpPr/>
        </xdr:nvCxnSpPr>
        <xdr:spPr>
          <a:xfrm flipH="1">
            <a:off x="5634043" y="2014531"/>
            <a:ext cx="66675" cy="666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30" name="Straight Connector 29">
            <a:extLst>
              <a:ext uri="{FF2B5EF4-FFF2-40B4-BE49-F238E27FC236}">
                <a16:creationId xmlns:a16="http://schemas.microsoft.com/office/drawing/2014/main" id="{F068C8B6-A0CC-4624-A4AF-1F8DF4C7F628}"/>
              </a:ext>
            </a:extLst>
          </xdr:cNvPr>
          <xdr:cNvCxnSpPr/>
        </xdr:nvCxnSpPr>
        <xdr:spPr>
          <a:xfrm>
            <a:off x="5586410" y="2809876"/>
            <a:ext cx="347663"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31" name="Straight Connector 30">
            <a:extLst>
              <a:ext uri="{FF2B5EF4-FFF2-40B4-BE49-F238E27FC236}">
                <a16:creationId xmlns:a16="http://schemas.microsoft.com/office/drawing/2014/main" id="{18EB70AD-F18E-480C-8AD7-23E59F61E762}"/>
              </a:ext>
            </a:extLst>
          </xdr:cNvPr>
          <xdr:cNvCxnSpPr/>
        </xdr:nvCxnSpPr>
        <xdr:spPr>
          <a:xfrm flipH="1">
            <a:off x="5634043" y="2776536"/>
            <a:ext cx="66675" cy="666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420" name="Straight Connector 419">
            <a:extLst>
              <a:ext uri="{FF2B5EF4-FFF2-40B4-BE49-F238E27FC236}">
                <a16:creationId xmlns:a16="http://schemas.microsoft.com/office/drawing/2014/main" id="{1E1D6CF4-DBFF-26BB-24C1-A26F8561089D}"/>
              </a:ext>
            </a:extLst>
          </xdr:cNvPr>
          <xdr:cNvCxnSpPr/>
        </xdr:nvCxnSpPr>
        <xdr:spPr>
          <a:xfrm flipV="1">
            <a:off x="9401175" y="962025"/>
            <a:ext cx="409575" cy="704850"/>
          </a:xfrm>
          <a:prstGeom prst="line">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21" name="Straight Connector 420">
            <a:extLst>
              <a:ext uri="{FF2B5EF4-FFF2-40B4-BE49-F238E27FC236}">
                <a16:creationId xmlns:a16="http://schemas.microsoft.com/office/drawing/2014/main" id="{813E934E-BED2-42BD-A44D-3AECFECAF66B}"/>
              </a:ext>
            </a:extLst>
          </xdr:cNvPr>
          <xdr:cNvCxnSpPr/>
        </xdr:nvCxnSpPr>
        <xdr:spPr>
          <a:xfrm flipH="1" flipV="1">
            <a:off x="9372600" y="2419350"/>
            <a:ext cx="209550" cy="1095375"/>
          </a:xfrm>
          <a:prstGeom prst="line">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23" name="Straight Connector 422">
            <a:extLst>
              <a:ext uri="{FF2B5EF4-FFF2-40B4-BE49-F238E27FC236}">
                <a16:creationId xmlns:a16="http://schemas.microsoft.com/office/drawing/2014/main" id="{C4D332D4-70FF-4933-AECD-C0AA2F4C0C3F}"/>
              </a:ext>
            </a:extLst>
          </xdr:cNvPr>
          <xdr:cNvCxnSpPr/>
        </xdr:nvCxnSpPr>
        <xdr:spPr>
          <a:xfrm flipV="1">
            <a:off x="9582150" y="2057400"/>
            <a:ext cx="19050" cy="1447800"/>
          </a:xfrm>
          <a:prstGeom prst="line">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81" name="Straight Connector 80">
            <a:extLst>
              <a:ext uri="{FF2B5EF4-FFF2-40B4-BE49-F238E27FC236}">
                <a16:creationId xmlns:a16="http://schemas.microsoft.com/office/drawing/2014/main" id="{D852A273-AC89-44D4-9670-19C357D6E527}"/>
              </a:ext>
            </a:extLst>
          </xdr:cNvPr>
          <xdr:cNvCxnSpPr/>
        </xdr:nvCxnSpPr>
        <xdr:spPr>
          <a:xfrm flipV="1">
            <a:off x="10372725" y="2200275"/>
            <a:ext cx="300038" cy="323850"/>
          </a:xfrm>
          <a:prstGeom prst="line">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98" name="Straight Connector 97">
            <a:extLst>
              <a:ext uri="{FF2B5EF4-FFF2-40B4-BE49-F238E27FC236}">
                <a16:creationId xmlns:a16="http://schemas.microsoft.com/office/drawing/2014/main" id="{6DE638A7-8871-4BF4-BD02-B887D4BDA19A}"/>
              </a:ext>
            </a:extLst>
          </xdr:cNvPr>
          <xdr:cNvCxnSpPr/>
        </xdr:nvCxnSpPr>
        <xdr:spPr>
          <a:xfrm>
            <a:off x="10320337" y="2162175"/>
            <a:ext cx="342901" cy="42863"/>
          </a:xfrm>
          <a:prstGeom prst="line">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04" name="Straight Connector 103">
            <a:extLst>
              <a:ext uri="{FF2B5EF4-FFF2-40B4-BE49-F238E27FC236}">
                <a16:creationId xmlns:a16="http://schemas.microsoft.com/office/drawing/2014/main" id="{2F0021B4-5CBA-4BC9-A4AE-06BB4E7FB452}"/>
              </a:ext>
            </a:extLst>
          </xdr:cNvPr>
          <xdr:cNvCxnSpPr/>
        </xdr:nvCxnSpPr>
        <xdr:spPr>
          <a:xfrm>
            <a:off x="10363199" y="1762125"/>
            <a:ext cx="309564" cy="447675"/>
          </a:xfrm>
          <a:prstGeom prst="line">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08" name="Straight Connector 107">
            <a:extLst>
              <a:ext uri="{FF2B5EF4-FFF2-40B4-BE49-F238E27FC236}">
                <a16:creationId xmlns:a16="http://schemas.microsoft.com/office/drawing/2014/main" id="{A37535D8-8B80-450A-8DCB-75A0A11101A6}"/>
              </a:ext>
            </a:extLst>
          </xdr:cNvPr>
          <xdr:cNvCxnSpPr/>
        </xdr:nvCxnSpPr>
        <xdr:spPr>
          <a:xfrm flipV="1">
            <a:off x="10391775" y="1352550"/>
            <a:ext cx="309563" cy="252412"/>
          </a:xfrm>
          <a:prstGeom prst="line">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3" name="Straight Connector 112">
            <a:extLst>
              <a:ext uri="{FF2B5EF4-FFF2-40B4-BE49-F238E27FC236}">
                <a16:creationId xmlns:a16="http://schemas.microsoft.com/office/drawing/2014/main" id="{803D7583-7F3D-4E5A-A28E-652424239001}"/>
              </a:ext>
            </a:extLst>
          </xdr:cNvPr>
          <xdr:cNvCxnSpPr/>
        </xdr:nvCxnSpPr>
        <xdr:spPr>
          <a:xfrm>
            <a:off x="10358437" y="1166812"/>
            <a:ext cx="333376" cy="185738"/>
          </a:xfrm>
          <a:prstGeom prst="line">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5" name="Straight Connector 4">
            <a:extLst>
              <a:ext uri="{FF2B5EF4-FFF2-40B4-BE49-F238E27FC236}">
                <a16:creationId xmlns:a16="http://schemas.microsoft.com/office/drawing/2014/main" id="{C066EE8B-1E8E-4314-8C45-DBC6E2392D50}"/>
              </a:ext>
            </a:extLst>
          </xdr:cNvPr>
          <xdr:cNvCxnSpPr/>
        </xdr:nvCxnSpPr>
        <xdr:spPr>
          <a:xfrm flipV="1">
            <a:off x="6638924" y="1387476"/>
            <a:ext cx="642937" cy="28098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8" name="Straight Connector 47">
            <a:extLst>
              <a:ext uri="{FF2B5EF4-FFF2-40B4-BE49-F238E27FC236}">
                <a16:creationId xmlns:a16="http://schemas.microsoft.com/office/drawing/2014/main" id="{D80923EE-6F8F-4825-B706-7831F7F144DC}"/>
              </a:ext>
            </a:extLst>
          </xdr:cNvPr>
          <xdr:cNvCxnSpPr/>
        </xdr:nvCxnSpPr>
        <xdr:spPr>
          <a:xfrm>
            <a:off x="6642099" y="1385888"/>
            <a:ext cx="647700" cy="2857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9" name="Straight Connector 48">
            <a:extLst>
              <a:ext uri="{FF2B5EF4-FFF2-40B4-BE49-F238E27FC236}">
                <a16:creationId xmlns:a16="http://schemas.microsoft.com/office/drawing/2014/main" id="{5C68AA74-9CA7-4544-9FE7-581B9A3DFCE8}"/>
              </a:ext>
            </a:extLst>
          </xdr:cNvPr>
          <xdr:cNvCxnSpPr/>
        </xdr:nvCxnSpPr>
        <xdr:spPr>
          <a:xfrm flipV="1">
            <a:off x="7281861" y="1387476"/>
            <a:ext cx="642937" cy="28098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0" name="Straight Connector 49">
            <a:extLst>
              <a:ext uri="{FF2B5EF4-FFF2-40B4-BE49-F238E27FC236}">
                <a16:creationId xmlns:a16="http://schemas.microsoft.com/office/drawing/2014/main" id="{516AD3E4-54B6-47ED-9AC3-8DDFA0ABF36C}"/>
              </a:ext>
            </a:extLst>
          </xdr:cNvPr>
          <xdr:cNvCxnSpPr/>
        </xdr:nvCxnSpPr>
        <xdr:spPr>
          <a:xfrm>
            <a:off x="7285036" y="1385888"/>
            <a:ext cx="647700" cy="2857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1" name="Straight Connector 50">
            <a:extLst>
              <a:ext uri="{FF2B5EF4-FFF2-40B4-BE49-F238E27FC236}">
                <a16:creationId xmlns:a16="http://schemas.microsoft.com/office/drawing/2014/main" id="{28B2B0F0-EC83-4299-9B64-5F61D4AEDB59}"/>
              </a:ext>
            </a:extLst>
          </xdr:cNvPr>
          <xdr:cNvCxnSpPr/>
        </xdr:nvCxnSpPr>
        <xdr:spPr>
          <a:xfrm flipV="1">
            <a:off x="8582025" y="1387477"/>
            <a:ext cx="642937" cy="28098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2" name="Straight Connector 51">
            <a:extLst>
              <a:ext uri="{FF2B5EF4-FFF2-40B4-BE49-F238E27FC236}">
                <a16:creationId xmlns:a16="http://schemas.microsoft.com/office/drawing/2014/main" id="{7533815F-802A-4BC9-B686-A3E87D610467}"/>
              </a:ext>
            </a:extLst>
          </xdr:cNvPr>
          <xdr:cNvCxnSpPr/>
        </xdr:nvCxnSpPr>
        <xdr:spPr>
          <a:xfrm>
            <a:off x="8585200" y="1385889"/>
            <a:ext cx="647700" cy="2857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3" name="Straight Connector 52">
            <a:extLst>
              <a:ext uri="{FF2B5EF4-FFF2-40B4-BE49-F238E27FC236}">
                <a16:creationId xmlns:a16="http://schemas.microsoft.com/office/drawing/2014/main" id="{F427658A-20E6-4E94-815C-831BB9D07611}"/>
              </a:ext>
            </a:extLst>
          </xdr:cNvPr>
          <xdr:cNvCxnSpPr/>
        </xdr:nvCxnSpPr>
        <xdr:spPr>
          <a:xfrm flipV="1">
            <a:off x="9229725" y="1387477"/>
            <a:ext cx="642937" cy="28098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4" name="Straight Connector 53">
            <a:extLst>
              <a:ext uri="{FF2B5EF4-FFF2-40B4-BE49-F238E27FC236}">
                <a16:creationId xmlns:a16="http://schemas.microsoft.com/office/drawing/2014/main" id="{7CBFAB9E-E7C7-4B7C-9696-DE94BD992F2C}"/>
              </a:ext>
            </a:extLst>
          </xdr:cNvPr>
          <xdr:cNvCxnSpPr/>
        </xdr:nvCxnSpPr>
        <xdr:spPr>
          <a:xfrm>
            <a:off x="9232900" y="1385889"/>
            <a:ext cx="647700" cy="2857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nvGrpSpPr>
          <xdr:cNvPr id="1910" name="Group 1909">
            <a:extLst>
              <a:ext uri="{FF2B5EF4-FFF2-40B4-BE49-F238E27FC236}">
                <a16:creationId xmlns:a16="http://schemas.microsoft.com/office/drawing/2014/main" id="{6ED65876-5423-B152-B814-081A47F5E350}"/>
              </a:ext>
            </a:extLst>
          </xdr:cNvPr>
          <xdr:cNvGrpSpPr/>
        </xdr:nvGrpSpPr>
        <xdr:grpSpPr>
          <a:xfrm>
            <a:off x="6638925" y="2171700"/>
            <a:ext cx="1295400" cy="1352550"/>
            <a:chOff x="6638925" y="2171700"/>
            <a:chExt cx="1295400" cy="1352550"/>
          </a:xfrm>
        </xdr:grpSpPr>
        <xdr:cxnSp macro="">
          <xdr:nvCxnSpPr>
            <xdr:cNvPr id="1898" name="Straight Connector 1897">
              <a:extLst>
                <a:ext uri="{FF2B5EF4-FFF2-40B4-BE49-F238E27FC236}">
                  <a16:creationId xmlns:a16="http://schemas.microsoft.com/office/drawing/2014/main" id="{A0CFE7B2-7D72-41DB-AF50-9EDDD2A72A11}"/>
                </a:ext>
              </a:extLst>
            </xdr:cNvPr>
            <xdr:cNvCxnSpPr/>
          </xdr:nvCxnSpPr>
          <xdr:spPr>
            <a:xfrm flipH="1" flipV="1">
              <a:off x="6638925" y="2171700"/>
              <a:ext cx="247650" cy="1352550"/>
            </a:xfrm>
            <a:prstGeom prst="line">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900" name="Straight Connector 1899">
              <a:extLst>
                <a:ext uri="{FF2B5EF4-FFF2-40B4-BE49-F238E27FC236}">
                  <a16:creationId xmlns:a16="http://schemas.microsoft.com/office/drawing/2014/main" id="{F9C5EBFB-E7DA-46D3-ACC1-E1F2D26F2DAA}"/>
                </a:ext>
              </a:extLst>
            </xdr:cNvPr>
            <xdr:cNvCxnSpPr/>
          </xdr:nvCxnSpPr>
          <xdr:spPr>
            <a:xfrm flipV="1">
              <a:off x="6886575" y="2200275"/>
              <a:ext cx="400050" cy="1323975"/>
            </a:xfrm>
            <a:prstGeom prst="line">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904" name="Straight Connector 1903">
              <a:extLst>
                <a:ext uri="{FF2B5EF4-FFF2-40B4-BE49-F238E27FC236}">
                  <a16:creationId xmlns:a16="http://schemas.microsoft.com/office/drawing/2014/main" id="{2FEFD3E6-3148-4655-9C7B-0E838357C79D}"/>
                </a:ext>
              </a:extLst>
            </xdr:cNvPr>
            <xdr:cNvCxnSpPr/>
          </xdr:nvCxnSpPr>
          <xdr:spPr>
            <a:xfrm flipV="1">
              <a:off x="6886575" y="2247900"/>
              <a:ext cx="1047750" cy="1276350"/>
            </a:xfrm>
            <a:prstGeom prst="line">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36</xdr:col>
      <xdr:colOff>80960</xdr:colOff>
      <xdr:row>385</xdr:row>
      <xdr:rowOff>9525</xdr:rowOff>
    </xdr:from>
    <xdr:to>
      <xdr:col>68</xdr:col>
      <xdr:colOff>14288</xdr:colOff>
      <xdr:row>403</xdr:row>
      <xdr:rowOff>9520</xdr:rowOff>
    </xdr:to>
    <xdr:grpSp>
      <xdr:nvGrpSpPr>
        <xdr:cNvPr id="1925" name="Group 1924">
          <a:extLst>
            <a:ext uri="{FF2B5EF4-FFF2-40B4-BE49-F238E27FC236}">
              <a16:creationId xmlns:a16="http://schemas.microsoft.com/office/drawing/2014/main" id="{CB108765-D589-2E2E-4634-75131577FC0D}"/>
            </a:ext>
          </a:extLst>
        </xdr:cNvPr>
        <xdr:cNvGrpSpPr/>
      </xdr:nvGrpSpPr>
      <xdr:grpSpPr>
        <a:xfrm>
          <a:off x="5910260" y="56311800"/>
          <a:ext cx="5114928" cy="2571745"/>
          <a:chOff x="5910260" y="18364200"/>
          <a:chExt cx="5114928" cy="2571745"/>
        </a:xfrm>
      </xdr:grpSpPr>
      <xdr:sp macro="" textlink="">
        <xdr:nvSpPr>
          <xdr:cNvPr id="315" name="Rectangle 314">
            <a:extLst>
              <a:ext uri="{FF2B5EF4-FFF2-40B4-BE49-F238E27FC236}">
                <a16:creationId xmlns:a16="http://schemas.microsoft.com/office/drawing/2014/main" id="{A19E7AD8-FF7C-C540-0C0E-B641D5886043}"/>
              </a:ext>
            </a:extLst>
          </xdr:cNvPr>
          <xdr:cNvSpPr/>
        </xdr:nvSpPr>
        <xdr:spPr>
          <a:xfrm>
            <a:off x="6315074" y="18497551"/>
            <a:ext cx="4533901" cy="1714500"/>
          </a:xfrm>
          <a:prstGeom prst="rect">
            <a:avLst/>
          </a:prstGeom>
          <a:solidFill>
            <a:schemeClr val="bg1">
              <a:lumMod val="95000"/>
            </a:schemeClr>
          </a:solidFill>
          <a:ln w="63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kern="1200"/>
          </a:p>
        </xdr:txBody>
      </xdr:sp>
      <xdr:cxnSp macro="">
        <xdr:nvCxnSpPr>
          <xdr:cNvPr id="316" name="Straight Connector 315">
            <a:extLst>
              <a:ext uri="{FF2B5EF4-FFF2-40B4-BE49-F238E27FC236}">
                <a16:creationId xmlns:a16="http://schemas.microsoft.com/office/drawing/2014/main" id="{7899B824-E715-F108-289E-C86890BEC3FD}"/>
              </a:ext>
            </a:extLst>
          </xdr:cNvPr>
          <xdr:cNvCxnSpPr/>
        </xdr:nvCxnSpPr>
        <xdr:spPr>
          <a:xfrm flipH="1">
            <a:off x="6315074" y="19445295"/>
            <a:ext cx="453390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17" name="Straight Connector 316">
            <a:extLst>
              <a:ext uri="{FF2B5EF4-FFF2-40B4-BE49-F238E27FC236}">
                <a16:creationId xmlns:a16="http://schemas.microsoft.com/office/drawing/2014/main" id="{E0079B12-7E32-86D7-71B9-310217E08F98}"/>
              </a:ext>
            </a:extLst>
          </xdr:cNvPr>
          <xdr:cNvCxnSpPr/>
        </xdr:nvCxnSpPr>
        <xdr:spPr>
          <a:xfrm flipH="1">
            <a:off x="6313488" y="19069050"/>
            <a:ext cx="453548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19" name="Straight Connector 318">
            <a:extLst>
              <a:ext uri="{FF2B5EF4-FFF2-40B4-BE49-F238E27FC236}">
                <a16:creationId xmlns:a16="http://schemas.microsoft.com/office/drawing/2014/main" id="{57E4D45A-3C78-83A7-1AB8-16737C0B9215}"/>
              </a:ext>
            </a:extLst>
          </xdr:cNvPr>
          <xdr:cNvCxnSpPr/>
        </xdr:nvCxnSpPr>
        <xdr:spPr>
          <a:xfrm flipH="1">
            <a:off x="6315075" y="18926178"/>
            <a:ext cx="452913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21" name="Straight Connector 320">
            <a:extLst>
              <a:ext uri="{FF2B5EF4-FFF2-40B4-BE49-F238E27FC236}">
                <a16:creationId xmlns:a16="http://schemas.microsoft.com/office/drawing/2014/main" id="{CCF7D276-B150-3399-264A-00279145601D}"/>
              </a:ext>
            </a:extLst>
          </xdr:cNvPr>
          <xdr:cNvCxnSpPr/>
        </xdr:nvCxnSpPr>
        <xdr:spPr>
          <a:xfrm flipH="1">
            <a:off x="6315075" y="18783303"/>
            <a:ext cx="45243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23" name="Straight Connector 322">
            <a:extLst>
              <a:ext uri="{FF2B5EF4-FFF2-40B4-BE49-F238E27FC236}">
                <a16:creationId xmlns:a16="http://schemas.microsoft.com/office/drawing/2014/main" id="{5DD5C21C-A4F9-382A-FB07-EE3B26E9335C}"/>
              </a:ext>
            </a:extLst>
          </xdr:cNvPr>
          <xdr:cNvCxnSpPr/>
        </xdr:nvCxnSpPr>
        <xdr:spPr>
          <a:xfrm flipH="1">
            <a:off x="6315076" y="18640427"/>
            <a:ext cx="4533899"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25" name="Straight Connector 324">
            <a:extLst>
              <a:ext uri="{FF2B5EF4-FFF2-40B4-BE49-F238E27FC236}">
                <a16:creationId xmlns:a16="http://schemas.microsoft.com/office/drawing/2014/main" id="{DE3DB33F-99DD-45C5-3C75-311C5B4A0BD0}"/>
              </a:ext>
            </a:extLst>
          </xdr:cNvPr>
          <xdr:cNvCxnSpPr/>
        </xdr:nvCxnSpPr>
        <xdr:spPr>
          <a:xfrm>
            <a:off x="6962784" y="18497550"/>
            <a:ext cx="0" cy="17145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26" name="Straight Connector 325">
            <a:extLst>
              <a:ext uri="{FF2B5EF4-FFF2-40B4-BE49-F238E27FC236}">
                <a16:creationId xmlns:a16="http://schemas.microsoft.com/office/drawing/2014/main" id="{84A87C18-98EE-154F-6B64-AB2166F4F79A}"/>
              </a:ext>
            </a:extLst>
          </xdr:cNvPr>
          <xdr:cNvCxnSpPr/>
        </xdr:nvCxnSpPr>
        <xdr:spPr>
          <a:xfrm flipV="1">
            <a:off x="6316663" y="18784888"/>
            <a:ext cx="642937" cy="28098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29" name="Straight Connector 328">
            <a:extLst>
              <a:ext uri="{FF2B5EF4-FFF2-40B4-BE49-F238E27FC236}">
                <a16:creationId xmlns:a16="http://schemas.microsoft.com/office/drawing/2014/main" id="{90CE6413-6C1F-F28B-5818-3FC7A6E56B4F}"/>
              </a:ext>
            </a:extLst>
          </xdr:cNvPr>
          <xdr:cNvCxnSpPr/>
        </xdr:nvCxnSpPr>
        <xdr:spPr>
          <a:xfrm>
            <a:off x="6319838" y="18783300"/>
            <a:ext cx="647700" cy="2857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30" name="Straight Connector 329">
            <a:extLst>
              <a:ext uri="{FF2B5EF4-FFF2-40B4-BE49-F238E27FC236}">
                <a16:creationId xmlns:a16="http://schemas.microsoft.com/office/drawing/2014/main" id="{A677B583-317C-75C6-250F-8733D1C9A895}"/>
              </a:ext>
            </a:extLst>
          </xdr:cNvPr>
          <xdr:cNvCxnSpPr/>
        </xdr:nvCxnSpPr>
        <xdr:spPr>
          <a:xfrm flipV="1">
            <a:off x="6316663" y="18495963"/>
            <a:ext cx="642937" cy="28098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31" name="Straight Connector 330">
            <a:extLst>
              <a:ext uri="{FF2B5EF4-FFF2-40B4-BE49-F238E27FC236}">
                <a16:creationId xmlns:a16="http://schemas.microsoft.com/office/drawing/2014/main" id="{BEDC2DED-2B9F-34E8-343B-2BC6E89A6DC8}"/>
              </a:ext>
            </a:extLst>
          </xdr:cNvPr>
          <xdr:cNvCxnSpPr/>
        </xdr:nvCxnSpPr>
        <xdr:spPr>
          <a:xfrm>
            <a:off x="6319838" y="18497550"/>
            <a:ext cx="647700" cy="2857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40" name="Straight Connector 339">
            <a:extLst>
              <a:ext uri="{FF2B5EF4-FFF2-40B4-BE49-F238E27FC236}">
                <a16:creationId xmlns:a16="http://schemas.microsoft.com/office/drawing/2014/main" id="{EED35675-7574-8006-7A8A-435F96C6519C}"/>
              </a:ext>
            </a:extLst>
          </xdr:cNvPr>
          <xdr:cNvCxnSpPr/>
        </xdr:nvCxnSpPr>
        <xdr:spPr>
          <a:xfrm flipH="1">
            <a:off x="6315075" y="19829470"/>
            <a:ext cx="453866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44" name="Straight Connector 343">
            <a:extLst>
              <a:ext uri="{FF2B5EF4-FFF2-40B4-BE49-F238E27FC236}">
                <a16:creationId xmlns:a16="http://schemas.microsoft.com/office/drawing/2014/main" id="{82F09685-BB37-D2B3-7D89-D22F723B423A}"/>
              </a:ext>
            </a:extLst>
          </xdr:cNvPr>
          <xdr:cNvCxnSpPr/>
        </xdr:nvCxnSpPr>
        <xdr:spPr>
          <a:xfrm flipV="1">
            <a:off x="6315075" y="19831050"/>
            <a:ext cx="654050" cy="37941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46" name="Straight Connector 345">
            <a:extLst>
              <a:ext uri="{FF2B5EF4-FFF2-40B4-BE49-F238E27FC236}">
                <a16:creationId xmlns:a16="http://schemas.microsoft.com/office/drawing/2014/main" id="{C5702498-C22C-89CA-8751-8642B6E10607}"/>
              </a:ext>
            </a:extLst>
          </xdr:cNvPr>
          <xdr:cNvCxnSpPr/>
        </xdr:nvCxnSpPr>
        <xdr:spPr>
          <a:xfrm>
            <a:off x="6311900" y="19831050"/>
            <a:ext cx="649287" cy="38100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48" name="Straight Connector 347">
            <a:extLst>
              <a:ext uri="{FF2B5EF4-FFF2-40B4-BE49-F238E27FC236}">
                <a16:creationId xmlns:a16="http://schemas.microsoft.com/office/drawing/2014/main" id="{C30380BB-CD8D-1F5B-727B-F5A5C2203E85}"/>
              </a:ext>
            </a:extLst>
          </xdr:cNvPr>
          <xdr:cNvCxnSpPr/>
        </xdr:nvCxnSpPr>
        <xdr:spPr>
          <a:xfrm flipV="1">
            <a:off x="6315075" y="19440525"/>
            <a:ext cx="647700" cy="38576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49" name="Straight Connector 348">
            <a:extLst>
              <a:ext uri="{FF2B5EF4-FFF2-40B4-BE49-F238E27FC236}">
                <a16:creationId xmlns:a16="http://schemas.microsoft.com/office/drawing/2014/main" id="{389BBAED-8C62-7F07-25D5-0363391360C5}"/>
              </a:ext>
            </a:extLst>
          </xdr:cNvPr>
          <xdr:cNvCxnSpPr/>
        </xdr:nvCxnSpPr>
        <xdr:spPr>
          <a:xfrm>
            <a:off x="6318071" y="19446875"/>
            <a:ext cx="643116" cy="38100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52" name="Straight Connector 351">
            <a:extLst>
              <a:ext uri="{FF2B5EF4-FFF2-40B4-BE49-F238E27FC236}">
                <a16:creationId xmlns:a16="http://schemas.microsoft.com/office/drawing/2014/main" id="{3E7D90AF-5604-C069-ABB1-49BDB86D5996}"/>
              </a:ext>
            </a:extLst>
          </xdr:cNvPr>
          <xdr:cNvCxnSpPr/>
        </xdr:nvCxnSpPr>
        <xdr:spPr>
          <a:xfrm flipV="1">
            <a:off x="6318250" y="19072225"/>
            <a:ext cx="644525" cy="37306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53" name="Straight Connector 352">
            <a:extLst>
              <a:ext uri="{FF2B5EF4-FFF2-40B4-BE49-F238E27FC236}">
                <a16:creationId xmlns:a16="http://schemas.microsoft.com/office/drawing/2014/main" id="{7FAFB35A-2430-29AE-7699-D965267C115B}"/>
              </a:ext>
            </a:extLst>
          </xdr:cNvPr>
          <xdr:cNvCxnSpPr/>
        </xdr:nvCxnSpPr>
        <xdr:spPr>
          <a:xfrm>
            <a:off x="6311900" y="19072225"/>
            <a:ext cx="652462" cy="37465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56" name="Straight Connector 355">
            <a:extLst>
              <a:ext uri="{FF2B5EF4-FFF2-40B4-BE49-F238E27FC236}">
                <a16:creationId xmlns:a16="http://schemas.microsoft.com/office/drawing/2014/main" id="{C8963D70-27E3-1794-A661-D8341CAB8DD9}"/>
              </a:ext>
            </a:extLst>
          </xdr:cNvPr>
          <xdr:cNvCxnSpPr/>
        </xdr:nvCxnSpPr>
        <xdr:spPr>
          <a:xfrm flipV="1">
            <a:off x="8259771" y="18784888"/>
            <a:ext cx="642937" cy="28098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57" name="Straight Connector 356">
            <a:extLst>
              <a:ext uri="{FF2B5EF4-FFF2-40B4-BE49-F238E27FC236}">
                <a16:creationId xmlns:a16="http://schemas.microsoft.com/office/drawing/2014/main" id="{99E71AC4-683B-964D-E7EC-7C44D0725262}"/>
              </a:ext>
            </a:extLst>
          </xdr:cNvPr>
          <xdr:cNvCxnSpPr/>
        </xdr:nvCxnSpPr>
        <xdr:spPr>
          <a:xfrm>
            <a:off x="8262946" y="18783300"/>
            <a:ext cx="647700" cy="2857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58" name="Straight Connector 357">
            <a:extLst>
              <a:ext uri="{FF2B5EF4-FFF2-40B4-BE49-F238E27FC236}">
                <a16:creationId xmlns:a16="http://schemas.microsoft.com/office/drawing/2014/main" id="{71289EFE-EA97-246D-1F23-D6D3E88FE857}"/>
              </a:ext>
            </a:extLst>
          </xdr:cNvPr>
          <xdr:cNvCxnSpPr/>
        </xdr:nvCxnSpPr>
        <xdr:spPr>
          <a:xfrm flipV="1">
            <a:off x="8259771" y="18495963"/>
            <a:ext cx="642937" cy="28098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59" name="Straight Connector 358">
            <a:extLst>
              <a:ext uri="{FF2B5EF4-FFF2-40B4-BE49-F238E27FC236}">
                <a16:creationId xmlns:a16="http://schemas.microsoft.com/office/drawing/2014/main" id="{5C128AEB-EC78-0AB0-EB6F-6665BAC39A7D}"/>
              </a:ext>
            </a:extLst>
          </xdr:cNvPr>
          <xdr:cNvCxnSpPr/>
        </xdr:nvCxnSpPr>
        <xdr:spPr>
          <a:xfrm>
            <a:off x="8262946" y="18497550"/>
            <a:ext cx="647700" cy="2857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60" name="Straight Connector 359">
            <a:extLst>
              <a:ext uri="{FF2B5EF4-FFF2-40B4-BE49-F238E27FC236}">
                <a16:creationId xmlns:a16="http://schemas.microsoft.com/office/drawing/2014/main" id="{839C2ED0-84E4-CAF7-D7BB-4429955272C8}"/>
              </a:ext>
            </a:extLst>
          </xdr:cNvPr>
          <xdr:cNvCxnSpPr/>
        </xdr:nvCxnSpPr>
        <xdr:spPr>
          <a:xfrm flipV="1">
            <a:off x="8258183" y="19831050"/>
            <a:ext cx="654050" cy="37941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61" name="Straight Connector 360">
            <a:extLst>
              <a:ext uri="{FF2B5EF4-FFF2-40B4-BE49-F238E27FC236}">
                <a16:creationId xmlns:a16="http://schemas.microsoft.com/office/drawing/2014/main" id="{6F2CF5C5-9F6F-0BA4-7BFB-FC6A0A7347BD}"/>
              </a:ext>
            </a:extLst>
          </xdr:cNvPr>
          <xdr:cNvCxnSpPr/>
        </xdr:nvCxnSpPr>
        <xdr:spPr>
          <a:xfrm>
            <a:off x="8255008" y="19831050"/>
            <a:ext cx="649287" cy="38100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62" name="Straight Connector 361">
            <a:extLst>
              <a:ext uri="{FF2B5EF4-FFF2-40B4-BE49-F238E27FC236}">
                <a16:creationId xmlns:a16="http://schemas.microsoft.com/office/drawing/2014/main" id="{38A9E1C4-1532-C5A8-2E5A-C7E7D7CAB483}"/>
              </a:ext>
            </a:extLst>
          </xdr:cNvPr>
          <xdr:cNvCxnSpPr/>
        </xdr:nvCxnSpPr>
        <xdr:spPr>
          <a:xfrm flipV="1">
            <a:off x="8258183" y="19440525"/>
            <a:ext cx="647700" cy="38576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63" name="Straight Connector 362">
            <a:extLst>
              <a:ext uri="{FF2B5EF4-FFF2-40B4-BE49-F238E27FC236}">
                <a16:creationId xmlns:a16="http://schemas.microsoft.com/office/drawing/2014/main" id="{F3F811E7-C45E-5E0C-09AE-78B6037870E2}"/>
              </a:ext>
            </a:extLst>
          </xdr:cNvPr>
          <xdr:cNvCxnSpPr/>
        </xdr:nvCxnSpPr>
        <xdr:spPr>
          <a:xfrm>
            <a:off x="8261179" y="19446875"/>
            <a:ext cx="643116" cy="38100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64" name="Straight Connector 363">
            <a:extLst>
              <a:ext uri="{FF2B5EF4-FFF2-40B4-BE49-F238E27FC236}">
                <a16:creationId xmlns:a16="http://schemas.microsoft.com/office/drawing/2014/main" id="{8DFD9010-7ADB-A748-32B6-CCDE08A0FEBD}"/>
              </a:ext>
            </a:extLst>
          </xdr:cNvPr>
          <xdr:cNvCxnSpPr/>
        </xdr:nvCxnSpPr>
        <xdr:spPr>
          <a:xfrm flipV="1">
            <a:off x="8261358" y="19072225"/>
            <a:ext cx="644525" cy="37306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65" name="Straight Connector 364">
            <a:extLst>
              <a:ext uri="{FF2B5EF4-FFF2-40B4-BE49-F238E27FC236}">
                <a16:creationId xmlns:a16="http://schemas.microsoft.com/office/drawing/2014/main" id="{32352097-DA2A-638D-75B2-BEB6B002A589}"/>
              </a:ext>
            </a:extLst>
          </xdr:cNvPr>
          <xdr:cNvCxnSpPr/>
        </xdr:nvCxnSpPr>
        <xdr:spPr>
          <a:xfrm>
            <a:off x="8255008" y="19072225"/>
            <a:ext cx="652462" cy="37465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68" name="Straight Connector 367">
            <a:extLst>
              <a:ext uri="{FF2B5EF4-FFF2-40B4-BE49-F238E27FC236}">
                <a16:creationId xmlns:a16="http://schemas.microsoft.com/office/drawing/2014/main" id="{4CB92300-503D-C203-AACF-EEB37104D3A4}"/>
              </a:ext>
            </a:extLst>
          </xdr:cNvPr>
          <xdr:cNvCxnSpPr/>
        </xdr:nvCxnSpPr>
        <xdr:spPr>
          <a:xfrm flipV="1">
            <a:off x="10202863" y="18784888"/>
            <a:ext cx="642937" cy="28098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70" name="Straight Connector 369">
            <a:extLst>
              <a:ext uri="{FF2B5EF4-FFF2-40B4-BE49-F238E27FC236}">
                <a16:creationId xmlns:a16="http://schemas.microsoft.com/office/drawing/2014/main" id="{E27FF8BC-16E2-F978-FDD4-6CDF70347742}"/>
              </a:ext>
            </a:extLst>
          </xdr:cNvPr>
          <xdr:cNvCxnSpPr/>
        </xdr:nvCxnSpPr>
        <xdr:spPr>
          <a:xfrm>
            <a:off x="10206038" y="18783300"/>
            <a:ext cx="647700" cy="2857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73" name="Straight Connector 372">
            <a:extLst>
              <a:ext uri="{FF2B5EF4-FFF2-40B4-BE49-F238E27FC236}">
                <a16:creationId xmlns:a16="http://schemas.microsoft.com/office/drawing/2014/main" id="{F3737380-AEFB-65EA-4088-06D6308F793F}"/>
              </a:ext>
            </a:extLst>
          </xdr:cNvPr>
          <xdr:cNvCxnSpPr/>
        </xdr:nvCxnSpPr>
        <xdr:spPr>
          <a:xfrm flipV="1">
            <a:off x="10202863" y="18495963"/>
            <a:ext cx="642937" cy="28098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75" name="Straight Connector 374">
            <a:extLst>
              <a:ext uri="{FF2B5EF4-FFF2-40B4-BE49-F238E27FC236}">
                <a16:creationId xmlns:a16="http://schemas.microsoft.com/office/drawing/2014/main" id="{02F7486F-7606-BBF3-ABC9-14157CB60670}"/>
              </a:ext>
            </a:extLst>
          </xdr:cNvPr>
          <xdr:cNvCxnSpPr/>
        </xdr:nvCxnSpPr>
        <xdr:spPr>
          <a:xfrm>
            <a:off x="10206038" y="18497550"/>
            <a:ext cx="647700" cy="2857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77" name="Straight Connector 376">
            <a:extLst>
              <a:ext uri="{FF2B5EF4-FFF2-40B4-BE49-F238E27FC236}">
                <a16:creationId xmlns:a16="http://schemas.microsoft.com/office/drawing/2014/main" id="{65279F99-92B4-259F-FD73-2D8B556C2DF6}"/>
              </a:ext>
            </a:extLst>
          </xdr:cNvPr>
          <xdr:cNvCxnSpPr/>
        </xdr:nvCxnSpPr>
        <xdr:spPr>
          <a:xfrm flipV="1">
            <a:off x="10201275" y="19831050"/>
            <a:ext cx="654050" cy="37941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78" name="Straight Connector 377">
            <a:extLst>
              <a:ext uri="{FF2B5EF4-FFF2-40B4-BE49-F238E27FC236}">
                <a16:creationId xmlns:a16="http://schemas.microsoft.com/office/drawing/2014/main" id="{6BEFCD85-85E7-8596-AFF2-05AA23D79FEF}"/>
              </a:ext>
            </a:extLst>
          </xdr:cNvPr>
          <xdr:cNvCxnSpPr/>
        </xdr:nvCxnSpPr>
        <xdr:spPr>
          <a:xfrm>
            <a:off x="10198100" y="19831050"/>
            <a:ext cx="649287" cy="38100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80" name="Straight Connector 379">
            <a:extLst>
              <a:ext uri="{FF2B5EF4-FFF2-40B4-BE49-F238E27FC236}">
                <a16:creationId xmlns:a16="http://schemas.microsoft.com/office/drawing/2014/main" id="{801B140D-76FB-8371-CA46-0AD940FC922C}"/>
              </a:ext>
            </a:extLst>
          </xdr:cNvPr>
          <xdr:cNvCxnSpPr/>
        </xdr:nvCxnSpPr>
        <xdr:spPr>
          <a:xfrm flipV="1">
            <a:off x="10201275" y="19440525"/>
            <a:ext cx="647700" cy="38576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81" name="Straight Connector 380">
            <a:extLst>
              <a:ext uri="{FF2B5EF4-FFF2-40B4-BE49-F238E27FC236}">
                <a16:creationId xmlns:a16="http://schemas.microsoft.com/office/drawing/2014/main" id="{1E2A9DE1-16CE-6537-D06B-C998C316E5B6}"/>
              </a:ext>
            </a:extLst>
          </xdr:cNvPr>
          <xdr:cNvCxnSpPr/>
        </xdr:nvCxnSpPr>
        <xdr:spPr>
          <a:xfrm>
            <a:off x="10204271" y="19446875"/>
            <a:ext cx="643116" cy="38100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82" name="Straight Connector 381">
            <a:extLst>
              <a:ext uri="{FF2B5EF4-FFF2-40B4-BE49-F238E27FC236}">
                <a16:creationId xmlns:a16="http://schemas.microsoft.com/office/drawing/2014/main" id="{990F1777-E68C-BD3A-ED67-E246110A4D35}"/>
              </a:ext>
            </a:extLst>
          </xdr:cNvPr>
          <xdr:cNvCxnSpPr/>
        </xdr:nvCxnSpPr>
        <xdr:spPr>
          <a:xfrm flipV="1">
            <a:off x="10204450" y="19072225"/>
            <a:ext cx="644525" cy="37306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84" name="Straight Connector 383">
            <a:extLst>
              <a:ext uri="{FF2B5EF4-FFF2-40B4-BE49-F238E27FC236}">
                <a16:creationId xmlns:a16="http://schemas.microsoft.com/office/drawing/2014/main" id="{591AAF02-640E-4EA7-7E62-93FEF16FD702}"/>
              </a:ext>
            </a:extLst>
          </xdr:cNvPr>
          <xdr:cNvCxnSpPr/>
        </xdr:nvCxnSpPr>
        <xdr:spPr>
          <a:xfrm>
            <a:off x="10198100" y="19072225"/>
            <a:ext cx="652462" cy="37465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90" name="Straight Connector 389">
            <a:extLst>
              <a:ext uri="{FF2B5EF4-FFF2-40B4-BE49-F238E27FC236}">
                <a16:creationId xmlns:a16="http://schemas.microsoft.com/office/drawing/2014/main" id="{0C100F7C-642E-4D47-3EA6-774EABD05D13}"/>
              </a:ext>
            </a:extLst>
          </xdr:cNvPr>
          <xdr:cNvCxnSpPr/>
        </xdr:nvCxnSpPr>
        <xdr:spPr>
          <a:xfrm>
            <a:off x="8258175" y="18497550"/>
            <a:ext cx="0" cy="17145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91" name="Straight Connector 390">
            <a:extLst>
              <a:ext uri="{FF2B5EF4-FFF2-40B4-BE49-F238E27FC236}">
                <a16:creationId xmlns:a16="http://schemas.microsoft.com/office/drawing/2014/main" id="{78B3FC4B-6C74-D185-9639-25C1B3DCD36C}"/>
              </a:ext>
            </a:extLst>
          </xdr:cNvPr>
          <xdr:cNvCxnSpPr/>
        </xdr:nvCxnSpPr>
        <xdr:spPr>
          <a:xfrm>
            <a:off x="7610475" y="18497550"/>
            <a:ext cx="0" cy="17145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92" name="Straight Connector 391">
            <a:extLst>
              <a:ext uri="{FF2B5EF4-FFF2-40B4-BE49-F238E27FC236}">
                <a16:creationId xmlns:a16="http://schemas.microsoft.com/office/drawing/2014/main" id="{7DA42894-EAD4-8038-45D4-152AE0FA8F09}"/>
              </a:ext>
            </a:extLst>
          </xdr:cNvPr>
          <xdr:cNvCxnSpPr/>
        </xdr:nvCxnSpPr>
        <xdr:spPr>
          <a:xfrm>
            <a:off x="9553575" y="18497551"/>
            <a:ext cx="0" cy="17145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94" name="Straight Connector 393">
            <a:extLst>
              <a:ext uri="{FF2B5EF4-FFF2-40B4-BE49-F238E27FC236}">
                <a16:creationId xmlns:a16="http://schemas.microsoft.com/office/drawing/2014/main" id="{E58DD475-E850-3E08-842A-996AC04DF4A5}"/>
              </a:ext>
            </a:extLst>
          </xdr:cNvPr>
          <xdr:cNvCxnSpPr/>
        </xdr:nvCxnSpPr>
        <xdr:spPr>
          <a:xfrm>
            <a:off x="8905875" y="18497551"/>
            <a:ext cx="0" cy="17145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96" name="Straight Connector 395">
            <a:extLst>
              <a:ext uri="{FF2B5EF4-FFF2-40B4-BE49-F238E27FC236}">
                <a16:creationId xmlns:a16="http://schemas.microsoft.com/office/drawing/2014/main" id="{20996010-D17F-B7C1-E806-1AA22DD67AD4}"/>
              </a:ext>
            </a:extLst>
          </xdr:cNvPr>
          <xdr:cNvCxnSpPr/>
        </xdr:nvCxnSpPr>
        <xdr:spPr>
          <a:xfrm>
            <a:off x="10201275" y="18497551"/>
            <a:ext cx="0" cy="17145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97" name="Straight Connector 396">
            <a:extLst>
              <a:ext uri="{FF2B5EF4-FFF2-40B4-BE49-F238E27FC236}">
                <a16:creationId xmlns:a16="http://schemas.microsoft.com/office/drawing/2014/main" id="{36667FC3-3C6A-8603-D5BD-72CAAD93D9B5}"/>
              </a:ext>
            </a:extLst>
          </xdr:cNvPr>
          <xdr:cNvCxnSpPr/>
        </xdr:nvCxnSpPr>
        <xdr:spPr>
          <a:xfrm>
            <a:off x="6315075" y="20321586"/>
            <a:ext cx="0" cy="5238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398" name="Straight Connector 397">
            <a:extLst>
              <a:ext uri="{FF2B5EF4-FFF2-40B4-BE49-F238E27FC236}">
                <a16:creationId xmlns:a16="http://schemas.microsoft.com/office/drawing/2014/main" id="{424D5451-8A17-CCC7-C508-7897B88CEBC6}"/>
              </a:ext>
            </a:extLst>
          </xdr:cNvPr>
          <xdr:cNvCxnSpPr/>
        </xdr:nvCxnSpPr>
        <xdr:spPr>
          <a:xfrm>
            <a:off x="6262689" y="20497800"/>
            <a:ext cx="4633911"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399" name="Straight Connector 398">
            <a:extLst>
              <a:ext uri="{FF2B5EF4-FFF2-40B4-BE49-F238E27FC236}">
                <a16:creationId xmlns:a16="http://schemas.microsoft.com/office/drawing/2014/main" id="{B4E970EA-6968-68CC-D15B-D15B1A93C861}"/>
              </a:ext>
            </a:extLst>
          </xdr:cNvPr>
          <xdr:cNvCxnSpPr/>
        </xdr:nvCxnSpPr>
        <xdr:spPr>
          <a:xfrm flipH="1">
            <a:off x="6286498" y="20473988"/>
            <a:ext cx="52388" cy="5238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400" name="Straight Connector 399">
            <a:extLst>
              <a:ext uri="{FF2B5EF4-FFF2-40B4-BE49-F238E27FC236}">
                <a16:creationId xmlns:a16="http://schemas.microsoft.com/office/drawing/2014/main" id="{694E5A00-907F-1F31-E382-D2EDB39F2E93}"/>
              </a:ext>
            </a:extLst>
          </xdr:cNvPr>
          <xdr:cNvCxnSpPr/>
        </xdr:nvCxnSpPr>
        <xdr:spPr>
          <a:xfrm>
            <a:off x="6262687" y="20783556"/>
            <a:ext cx="4629151"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401" name="Straight Connector 400">
            <a:extLst>
              <a:ext uri="{FF2B5EF4-FFF2-40B4-BE49-F238E27FC236}">
                <a16:creationId xmlns:a16="http://schemas.microsoft.com/office/drawing/2014/main" id="{09B68727-36B1-7323-D9E3-7EFD4ED7FE61}"/>
              </a:ext>
            </a:extLst>
          </xdr:cNvPr>
          <xdr:cNvCxnSpPr/>
        </xdr:nvCxnSpPr>
        <xdr:spPr>
          <a:xfrm flipH="1">
            <a:off x="6286496" y="20759744"/>
            <a:ext cx="52388" cy="5238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402" name="Straight Connector 401">
            <a:extLst>
              <a:ext uri="{FF2B5EF4-FFF2-40B4-BE49-F238E27FC236}">
                <a16:creationId xmlns:a16="http://schemas.microsoft.com/office/drawing/2014/main" id="{642F27B3-65BD-10C1-2987-CB463ACB8422}"/>
              </a:ext>
            </a:extLst>
          </xdr:cNvPr>
          <xdr:cNvCxnSpPr/>
        </xdr:nvCxnSpPr>
        <xdr:spPr>
          <a:xfrm>
            <a:off x="10848975" y="20316823"/>
            <a:ext cx="0" cy="5238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403" name="Straight Connector 402">
            <a:extLst>
              <a:ext uri="{FF2B5EF4-FFF2-40B4-BE49-F238E27FC236}">
                <a16:creationId xmlns:a16="http://schemas.microsoft.com/office/drawing/2014/main" id="{D07BD3ED-18CF-8E58-038D-2A399A05518F}"/>
              </a:ext>
            </a:extLst>
          </xdr:cNvPr>
          <xdr:cNvCxnSpPr/>
        </xdr:nvCxnSpPr>
        <xdr:spPr>
          <a:xfrm flipH="1">
            <a:off x="10820398" y="20473988"/>
            <a:ext cx="52388" cy="5238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404" name="Straight Connector 403">
            <a:extLst>
              <a:ext uri="{FF2B5EF4-FFF2-40B4-BE49-F238E27FC236}">
                <a16:creationId xmlns:a16="http://schemas.microsoft.com/office/drawing/2014/main" id="{8BE7D07B-2E23-CB6B-F4CE-594F3CA1B35E}"/>
              </a:ext>
            </a:extLst>
          </xdr:cNvPr>
          <xdr:cNvCxnSpPr/>
        </xdr:nvCxnSpPr>
        <xdr:spPr>
          <a:xfrm flipH="1">
            <a:off x="10820396" y="20759744"/>
            <a:ext cx="52388" cy="5238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406" name="Straight Connector 405">
            <a:extLst>
              <a:ext uri="{FF2B5EF4-FFF2-40B4-BE49-F238E27FC236}">
                <a16:creationId xmlns:a16="http://schemas.microsoft.com/office/drawing/2014/main" id="{BF891A5C-DD85-BF4A-E4FD-C6C483066C99}"/>
              </a:ext>
            </a:extLst>
          </xdr:cNvPr>
          <xdr:cNvCxnSpPr/>
        </xdr:nvCxnSpPr>
        <xdr:spPr>
          <a:xfrm>
            <a:off x="6962775" y="20297775"/>
            <a:ext cx="0" cy="25717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407" name="Straight Connector 406">
            <a:extLst>
              <a:ext uri="{FF2B5EF4-FFF2-40B4-BE49-F238E27FC236}">
                <a16:creationId xmlns:a16="http://schemas.microsoft.com/office/drawing/2014/main" id="{5A95F170-8361-A8C7-CD9D-48FF06177732}"/>
              </a:ext>
            </a:extLst>
          </xdr:cNvPr>
          <xdr:cNvCxnSpPr/>
        </xdr:nvCxnSpPr>
        <xdr:spPr>
          <a:xfrm flipH="1">
            <a:off x="6934196" y="20469231"/>
            <a:ext cx="52388" cy="5238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409" name="Straight Connector 408">
            <a:extLst>
              <a:ext uri="{FF2B5EF4-FFF2-40B4-BE49-F238E27FC236}">
                <a16:creationId xmlns:a16="http://schemas.microsoft.com/office/drawing/2014/main" id="{45703F34-429B-9014-DD40-FF535C1DD19B}"/>
              </a:ext>
            </a:extLst>
          </xdr:cNvPr>
          <xdr:cNvCxnSpPr/>
        </xdr:nvCxnSpPr>
        <xdr:spPr>
          <a:xfrm>
            <a:off x="7610475" y="20297775"/>
            <a:ext cx="0" cy="25717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411" name="Straight Connector 410">
            <a:extLst>
              <a:ext uri="{FF2B5EF4-FFF2-40B4-BE49-F238E27FC236}">
                <a16:creationId xmlns:a16="http://schemas.microsoft.com/office/drawing/2014/main" id="{66CEF40D-537F-EB00-5BDA-E169CE112AA3}"/>
              </a:ext>
            </a:extLst>
          </xdr:cNvPr>
          <xdr:cNvCxnSpPr/>
        </xdr:nvCxnSpPr>
        <xdr:spPr>
          <a:xfrm flipH="1">
            <a:off x="7581896" y="20469231"/>
            <a:ext cx="52388" cy="5238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414" name="Straight Connector 413">
            <a:extLst>
              <a:ext uri="{FF2B5EF4-FFF2-40B4-BE49-F238E27FC236}">
                <a16:creationId xmlns:a16="http://schemas.microsoft.com/office/drawing/2014/main" id="{FBB5DB63-8D01-64FC-F76D-16F1C09D7087}"/>
              </a:ext>
            </a:extLst>
          </xdr:cNvPr>
          <xdr:cNvCxnSpPr/>
        </xdr:nvCxnSpPr>
        <xdr:spPr>
          <a:xfrm>
            <a:off x="8258175" y="20297775"/>
            <a:ext cx="0" cy="25717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417" name="Straight Connector 416">
            <a:extLst>
              <a:ext uri="{FF2B5EF4-FFF2-40B4-BE49-F238E27FC236}">
                <a16:creationId xmlns:a16="http://schemas.microsoft.com/office/drawing/2014/main" id="{262707F6-7A3A-01C0-428D-18C8A5720CA6}"/>
              </a:ext>
            </a:extLst>
          </xdr:cNvPr>
          <xdr:cNvCxnSpPr/>
        </xdr:nvCxnSpPr>
        <xdr:spPr>
          <a:xfrm flipH="1">
            <a:off x="8229596" y="20469231"/>
            <a:ext cx="52388" cy="5238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418" name="Straight Connector 417">
            <a:extLst>
              <a:ext uri="{FF2B5EF4-FFF2-40B4-BE49-F238E27FC236}">
                <a16:creationId xmlns:a16="http://schemas.microsoft.com/office/drawing/2014/main" id="{D84C311A-DB36-BF81-318A-2804C7153622}"/>
              </a:ext>
            </a:extLst>
          </xdr:cNvPr>
          <xdr:cNvCxnSpPr/>
        </xdr:nvCxnSpPr>
        <xdr:spPr>
          <a:xfrm>
            <a:off x="8905875" y="20297775"/>
            <a:ext cx="0" cy="25717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419" name="Straight Connector 418">
            <a:extLst>
              <a:ext uri="{FF2B5EF4-FFF2-40B4-BE49-F238E27FC236}">
                <a16:creationId xmlns:a16="http://schemas.microsoft.com/office/drawing/2014/main" id="{A5381051-96F4-96CB-8CD4-3292EBD33DD9}"/>
              </a:ext>
            </a:extLst>
          </xdr:cNvPr>
          <xdr:cNvCxnSpPr/>
        </xdr:nvCxnSpPr>
        <xdr:spPr>
          <a:xfrm flipH="1">
            <a:off x="8877296" y="20469231"/>
            <a:ext cx="52388" cy="5238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422" name="Straight Connector 421">
            <a:extLst>
              <a:ext uri="{FF2B5EF4-FFF2-40B4-BE49-F238E27FC236}">
                <a16:creationId xmlns:a16="http://schemas.microsoft.com/office/drawing/2014/main" id="{C32BB975-53A8-76CA-AF74-E3FA6913407C}"/>
              </a:ext>
            </a:extLst>
          </xdr:cNvPr>
          <xdr:cNvCxnSpPr/>
        </xdr:nvCxnSpPr>
        <xdr:spPr>
          <a:xfrm>
            <a:off x="9553575" y="20297775"/>
            <a:ext cx="0" cy="25717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424" name="Straight Connector 423">
            <a:extLst>
              <a:ext uri="{FF2B5EF4-FFF2-40B4-BE49-F238E27FC236}">
                <a16:creationId xmlns:a16="http://schemas.microsoft.com/office/drawing/2014/main" id="{7D4262F7-364B-EB4E-642E-53F80689C8D1}"/>
              </a:ext>
            </a:extLst>
          </xdr:cNvPr>
          <xdr:cNvCxnSpPr/>
        </xdr:nvCxnSpPr>
        <xdr:spPr>
          <a:xfrm flipH="1">
            <a:off x="9524996" y="20469231"/>
            <a:ext cx="52388" cy="5238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425" name="Straight Connector 424">
            <a:extLst>
              <a:ext uri="{FF2B5EF4-FFF2-40B4-BE49-F238E27FC236}">
                <a16:creationId xmlns:a16="http://schemas.microsoft.com/office/drawing/2014/main" id="{44DA0962-DDF6-AA20-518F-E36ED2FFB799}"/>
              </a:ext>
            </a:extLst>
          </xdr:cNvPr>
          <xdr:cNvCxnSpPr/>
        </xdr:nvCxnSpPr>
        <xdr:spPr>
          <a:xfrm>
            <a:off x="10201275" y="20297775"/>
            <a:ext cx="0" cy="25717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426" name="Straight Connector 425">
            <a:extLst>
              <a:ext uri="{FF2B5EF4-FFF2-40B4-BE49-F238E27FC236}">
                <a16:creationId xmlns:a16="http://schemas.microsoft.com/office/drawing/2014/main" id="{7293C6CF-BF04-CEBF-9DFC-66FF0AD20A38}"/>
              </a:ext>
            </a:extLst>
          </xdr:cNvPr>
          <xdr:cNvCxnSpPr/>
        </xdr:nvCxnSpPr>
        <xdr:spPr>
          <a:xfrm flipH="1">
            <a:off x="10172696" y="20469231"/>
            <a:ext cx="52388" cy="5238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427" name="Straight Connector 426">
            <a:extLst>
              <a:ext uri="{FF2B5EF4-FFF2-40B4-BE49-F238E27FC236}">
                <a16:creationId xmlns:a16="http://schemas.microsoft.com/office/drawing/2014/main" id="{2AE38C0F-C76F-018F-704F-44452681D5AC}"/>
              </a:ext>
            </a:extLst>
          </xdr:cNvPr>
          <xdr:cNvCxnSpPr/>
        </xdr:nvCxnSpPr>
        <xdr:spPr>
          <a:xfrm>
            <a:off x="7196137" y="18402298"/>
            <a:ext cx="0" cy="323850"/>
          </a:xfrm>
          <a:prstGeom prst="line">
            <a:avLst/>
          </a:prstGeom>
          <a:ln w="9525">
            <a:solidFill>
              <a:schemeClr val="accent6">
                <a:lumMod val="75000"/>
              </a:schemeClr>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428" name="Straight Connector 427">
            <a:extLst>
              <a:ext uri="{FF2B5EF4-FFF2-40B4-BE49-F238E27FC236}">
                <a16:creationId xmlns:a16="http://schemas.microsoft.com/office/drawing/2014/main" id="{EFAB70FE-3A1F-4F8F-EBC7-4151C0B234A5}"/>
              </a:ext>
            </a:extLst>
          </xdr:cNvPr>
          <xdr:cNvCxnSpPr/>
        </xdr:nvCxnSpPr>
        <xdr:spPr>
          <a:xfrm>
            <a:off x="7219950" y="18402298"/>
            <a:ext cx="0" cy="323850"/>
          </a:xfrm>
          <a:prstGeom prst="line">
            <a:avLst/>
          </a:prstGeom>
          <a:ln w="9525">
            <a:solidFill>
              <a:schemeClr val="accent6">
                <a:lumMod val="75000"/>
              </a:schemeClr>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429" name="Straight Connector 428">
            <a:extLst>
              <a:ext uri="{FF2B5EF4-FFF2-40B4-BE49-F238E27FC236}">
                <a16:creationId xmlns:a16="http://schemas.microsoft.com/office/drawing/2014/main" id="{9121AB03-64AE-B334-94F9-07563368E7F5}"/>
              </a:ext>
            </a:extLst>
          </xdr:cNvPr>
          <xdr:cNvCxnSpPr/>
        </xdr:nvCxnSpPr>
        <xdr:spPr>
          <a:xfrm>
            <a:off x="7196137" y="20007260"/>
            <a:ext cx="0" cy="323850"/>
          </a:xfrm>
          <a:prstGeom prst="line">
            <a:avLst/>
          </a:prstGeom>
          <a:ln w="9525">
            <a:solidFill>
              <a:schemeClr val="accent6">
                <a:lumMod val="75000"/>
              </a:schemeClr>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431" name="Straight Connector 430">
            <a:extLst>
              <a:ext uri="{FF2B5EF4-FFF2-40B4-BE49-F238E27FC236}">
                <a16:creationId xmlns:a16="http://schemas.microsoft.com/office/drawing/2014/main" id="{B7B9415F-4CCA-6DD2-2513-C12D4C4BDC6A}"/>
              </a:ext>
            </a:extLst>
          </xdr:cNvPr>
          <xdr:cNvCxnSpPr/>
        </xdr:nvCxnSpPr>
        <xdr:spPr>
          <a:xfrm>
            <a:off x="7219950" y="20007260"/>
            <a:ext cx="0" cy="323850"/>
          </a:xfrm>
          <a:prstGeom prst="line">
            <a:avLst/>
          </a:prstGeom>
          <a:ln w="9525">
            <a:solidFill>
              <a:schemeClr val="accent6">
                <a:lumMod val="75000"/>
              </a:schemeClr>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433" name="Straight Connector 432">
            <a:extLst>
              <a:ext uri="{FF2B5EF4-FFF2-40B4-BE49-F238E27FC236}">
                <a16:creationId xmlns:a16="http://schemas.microsoft.com/office/drawing/2014/main" id="{8115C58C-4EA3-5957-1C7D-7BCC2B247520}"/>
              </a:ext>
            </a:extLst>
          </xdr:cNvPr>
          <xdr:cNvCxnSpPr/>
        </xdr:nvCxnSpPr>
        <xdr:spPr>
          <a:xfrm>
            <a:off x="5910260" y="18497551"/>
            <a:ext cx="347663"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435" name="Straight Connector 434">
            <a:extLst>
              <a:ext uri="{FF2B5EF4-FFF2-40B4-BE49-F238E27FC236}">
                <a16:creationId xmlns:a16="http://schemas.microsoft.com/office/drawing/2014/main" id="{47903D1D-8037-6C82-78D3-C8A5927BA925}"/>
              </a:ext>
            </a:extLst>
          </xdr:cNvPr>
          <xdr:cNvCxnSpPr/>
        </xdr:nvCxnSpPr>
        <xdr:spPr>
          <a:xfrm>
            <a:off x="5991225" y="18430875"/>
            <a:ext cx="0" cy="185261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436" name="Straight Connector 435">
            <a:extLst>
              <a:ext uri="{FF2B5EF4-FFF2-40B4-BE49-F238E27FC236}">
                <a16:creationId xmlns:a16="http://schemas.microsoft.com/office/drawing/2014/main" id="{411E8F3D-19D5-5F61-58BF-B325DE11D4EB}"/>
              </a:ext>
            </a:extLst>
          </xdr:cNvPr>
          <xdr:cNvCxnSpPr/>
        </xdr:nvCxnSpPr>
        <xdr:spPr>
          <a:xfrm flipH="1">
            <a:off x="5957893" y="18464211"/>
            <a:ext cx="66675" cy="666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437" name="Straight Connector 436">
            <a:extLst>
              <a:ext uri="{FF2B5EF4-FFF2-40B4-BE49-F238E27FC236}">
                <a16:creationId xmlns:a16="http://schemas.microsoft.com/office/drawing/2014/main" id="{EB8363B6-307C-88EF-7AED-20D2D5BF67D2}"/>
              </a:ext>
            </a:extLst>
          </xdr:cNvPr>
          <xdr:cNvCxnSpPr/>
        </xdr:nvCxnSpPr>
        <xdr:spPr>
          <a:xfrm>
            <a:off x="5910260" y="19069051"/>
            <a:ext cx="347663"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438" name="Straight Connector 437">
            <a:extLst>
              <a:ext uri="{FF2B5EF4-FFF2-40B4-BE49-F238E27FC236}">
                <a16:creationId xmlns:a16="http://schemas.microsoft.com/office/drawing/2014/main" id="{85E7FB82-68F0-42CD-6BCC-084D249632C6}"/>
              </a:ext>
            </a:extLst>
          </xdr:cNvPr>
          <xdr:cNvCxnSpPr/>
        </xdr:nvCxnSpPr>
        <xdr:spPr>
          <a:xfrm flipH="1">
            <a:off x="5957893" y="19035711"/>
            <a:ext cx="66675" cy="666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440" name="Straight Connector 439">
            <a:extLst>
              <a:ext uri="{FF2B5EF4-FFF2-40B4-BE49-F238E27FC236}">
                <a16:creationId xmlns:a16="http://schemas.microsoft.com/office/drawing/2014/main" id="{94030E27-A144-CAD7-4F51-7A19B9ACC1FF}"/>
              </a:ext>
            </a:extLst>
          </xdr:cNvPr>
          <xdr:cNvCxnSpPr/>
        </xdr:nvCxnSpPr>
        <xdr:spPr>
          <a:xfrm>
            <a:off x="5910260" y="19831056"/>
            <a:ext cx="347663"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442" name="Straight Connector 441">
            <a:extLst>
              <a:ext uri="{FF2B5EF4-FFF2-40B4-BE49-F238E27FC236}">
                <a16:creationId xmlns:a16="http://schemas.microsoft.com/office/drawing/2014/main" id="{80A550B8-7A69-F213-7EB5-7F42A3E23102}"/>
              </a:ext>
            </a:extLst>
          </xdr:cNvPr>
          <xdr:cNvCxnSpPr/>
        </xdr:nvCxnSpPr>
        <xdr:spPr>
          <a:xfrm flipH="1">
            <a:off x="5957893" y="19797716"/>
            <a:ext cx="66675" cy="666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444" name="Straight Connector 443">
            <a:extLst>
              <a:ext uri="{FF2B5EF4-FFF2-40B4-BE49-F238E27FC236}">
                <a16:creationId xmlns:a16="http://schemas.microsoft.com/office/drawing/2014/main" id="{9BA09AEA-A427-B35C-F528-810367C7EEE6}"/>
              </a:ext>
            </a:extLst>
          </xdr:cNvPr>
          <xdr:cNvCxnSpPr/>
        </xdr:nvCxnSpPr>
        <xdr:spPr>
          <a:xfrm>
            <a:off x="5910260" y="19450046"/>
            <a:ext cx="347663"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446" name="Straight Connector 445">
            <a:extLst>
              <a:ext uri="{FF2B5EF4-FFF2-40B4-BE49-F238E27FC236}">
                <a16:creationId xmlns:a16="http://schemas.microsoft.com/office/drawing/2014/main" id="{ADE035E5-6A04-E981-3290-E348B0858581}"/>
              </a:ext>
            </a:extLst>
          </xdr:cNvPr>
          <xdr:cNvCxnSpPr/>
        </xdr:nvCxnSpPr>
        <xdr:spPr>
          <a:xfrm flipH="1">
            <a:off x="5957893" y="19416706"/>
            <a:ext cx="66675" cy="666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447" name="Straight Connector 446">
            <a:extLst>
              <a:ext uri="{FF2B5EF4-FFF2-40B4-BE49-F238E27FC236}">
                <a16:creationId xmlns:a16="http://schemas.microsoft.com/office/drawing/2014/main" id="{0A9197E6-ADA4-ED1D-3B80-1884F28D9C2A}"/>
              </a:ext>
            </a:extLst>
          </xdr:cNvPr>
          <xdr:cNvCxnSpPr/>
        </xdr:nvCxnSpPr>
        <xdr:spPr>
          <a:xfrm>
            <a:off x="5910260" y="20212051"/>
            <a:ext cx="347663"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76" name="Straight Connector 575">
            <a:extLst>
              <a:ext uri="{FF2B5EF4-FFF2-40B4-BE49-F238E27FC236}">
                <a16:creationId xmlns:a16="http://schemas.microsoft.com/office/drawing/2014/main" id="{EA59596C-9700-F77F-C98F-ECAAD9C4758B}"/>
              </a:ext>
            </a:extLst>
          </xdr:cNvPr>
          <xdr:cNvCxnSpPr/>
        </xdr:nvCxnSpPr>
        <xdr:spPr>
          <a:xfrm flipH="1">
            <a:off x="5957893" y="20178711"/>
            <a:ext cx="66675" cy="666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77" name="Straight Connector 576">
            <a:extLst>
              <a:ext uri="{FF2B5EF4-FFF2-40B4-BE49-F238E27FC236}">
                <a16:creationId xmlns:a16="http://schemas.microsoft.com/office/drawing/2014/main" id="{E760F17B-6AD5-A6D4-B619-10DAD4C6A2D7}"/>
              </a:ext>
            </a:extLst>
          </xdr:cNvPr>
          <xdr:cNvCxnSpPr/>
        </xdr:nvCxnSpPr>
        <xdr:spPr>
          <a:xfrm flipV="1">
            <a:off x="9725025" y="18364200"/>
            <a:ext cx="409575" cy="704850"/>
          </a:xfrm>
          <a:prstGeom prst="line">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578" name="Straight Connector 577">
            <a:extLst>
              <a:ext uri="{FF2B5EF4-FFF2-40B4-BE49-F238E27FC236}">
                <a16:creationId xmlns:a16="http://schemas.microsoft.com/office/drawing/2014/main" id="{9B70D39F-68E9-D2A9-D818-D3DC33FABDAF}"/>
              </a:ext>
            </a:extLst>
          </xdr:cNvPr>
          <xdr:cNvCxnSpPr/>
        </xdr:nvCxnSpPr>
        <xdr:spPr>
          <a:xfrm flipH="1" flipV="1">
            <a:off x="9696450" y="19821525"/>
            <a:ext cx="209550" cy="1095375"/>
          </a:xfrm>
          <a:prstGeom prst="line">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579" name="Straight Connector 578">
            <a:extLst>
              <a:ext uri="{FF2B5EF4-FFF2-40B4-BE49-F238E27FC236}">
                <a16:creationId xmlns:a16="http://schemas.microsoft.com/office/drawing/2014/main" id="{8F3FC9E6-388C-A56A-6AE8-5CF231DED178}"/>
              </a:ext>
            </a:extLst>
          </xdr:cNvPr>
          <xdr:cNvCxnSpPr/>
        </xdr:nvCxnSpPr>
        <xdr:spPr>
          <a:xfrm flipV="1">
            <a:off x="9906000" y="19459575"/>
            <a:ext cx="19050" cy="1447800"/>
          </a:xfrm>
          <a:prstGeom prst="line">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580" name="Straight Connector 579">
            <a:extLst>
              <a:ext uri="{FF2B5EF4-FFF2-40B4-BE49-F238E27FC236}">
                <a16:creationId xmlns:a16="http://schemas.microsoft.com/office/drawing/2014/main" id="{01D399CD-4B5E-DCB7-1797-6C737E93258D}"/>
              </a:ext>
            </a:extLst>
          </xdr:cNvPr>
          <xdr:cNvCxnSpPr/>
        </xdr:nvCxnSpPr>
        <xdr:spPr>
          <a:xfrm flipV="1">
            <a:off x="10696575" y="19602450"/>
            <a:ext cx="300038" cy="323850"/>
          </a:xfrm>
          <a:prstGeom prst="line">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581" name="Straight Connector 580">
            <a:extLst>
              <a:ext uri="{FF2B5EF4-FFF2-40B4-BE49-F238E27FC236}">
                <a16:creationId xmlns:a16="http://schemas.microsoft.com/office/drawing/2014/main" id="{344341EB-ECC2-3F5C-6E32-B4E309B97FA2}"/>
              </a:ext>
            </a:extLst>
          </xdr:cNvPr>
          <xdr:cNvCxnSpPr/>
        </xdr:nvCxnSpPr>
        <xdr:spPr>
          <a:xfrm>
            <a:off x="10644187" y="19564350"/>
            <a:ext cx="342901" cy="42863"/>
          </a:xfrm>
          <a:prstGeom prst="line">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582" name="Straight Connector 581">
            <a:extLst>
              <a:ext uri="{FF2B5EF4-FFF2-40B4-BE49-F238E27FC236}">
                <a16:creationId xmlns:a16="http://schemas.microsoft.com/office/drawing/2014/main" id="{B3C29CA3-15C8-038F-1BD4-081DAFA1C333}"/>
              </a:ext>
            </a:extLst>
          </xdr:cNvPr>
          <xdr:cNvCxnSpPr/>
        </xdr:nvCxnSpPr>
        <xdr:spPr>
          <a:xfrm>
            <a:off x="10687049" y="19164300"/>
            <a:ext cx="309564" cy="447675"/>
          </a:xfrm>
          <a:prstGeom prst="line">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583" name="Straight Connector 582">
            <a:extLst>
              <a:ext uri="{FF2B5EF4-FFF2-40B4-BE49-F238E27FC236}">
                <a16:creationId xmlns:a16="http://schemas.microsoft.com/office/drawing/2014/main" id="{AF96D377-7877-9A28-3B49-DB0775E3D384}"/>
              </a:ext>
            </a:extLst>
          </xdr:cNvPr>
          <xdr:cNvCxnSpPr/>
        </xdr:nvCxnSpPr>
        <xdr:spPr>
          <a:xfrm flipV="1">
            <a:off x="10715625" y="18754725"/>
            <a:ext cx="309563" cy="252412"/>
          </a:xfrm>
          <a:prstGeom prst="line">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584" name="Straight Connector 583">
            <a:extLst>
              <a:ext uri="{FF2B5EF4-FFF2-40B4-BE49-F238E27FC236}">
                <a16:creationId xmlns:a16="http://schemas.microsoft.com/office/drawing/2014/main" id="{BCAD2ABA-8765-78A6-6832-6F7031406ED5}"/>
              </a:ext>
            </a:extLst>
          </xdr:cNvPr>
          <xdr:cNvCxnSpPr/>
        </xdr:nvCxnSpPr>
        <xdr:spPr>
          <a:xfrm>
            <a:off x="10682287" y="18568987"/>
            <a:ext cx="333376" cy="185738"/>
          </a:xfrm>
          <a:prstGeom prst="line">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585" name="Straight Connector 584">
            <a:extLst>
              <a:ext uri="{FF2B5EF4-FFF2-40B4-BE49-F238E27FC236}">
                <a16:creationId xmlns:a16="http://schemas.microsoft.com/office/drawing/2014/main" id="{03DD09D1-DAAE-6D57-E99A-BADBAB88E2E1}"/>
              </a:ext>
            </a:extLst>
          </xdr:cNvPr>
          <xdr:cNvCxnSpPr/>
        </xdr:nvCxnSpPr>
        <xdr:spPr>
          <a:xfrm flipV="1">
            <a:off x="6962774" y="18789651"/>
            <a:ext cx="642937" cy="28098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86" name="Straight Connector 585">
            <a:extLst>
              <a:ext uri="{FF2B5EF4-FFF2-40B4-BE49-F238E27FC236}">
                <a16:creationId xmlns:a16="http://schemas.microsoft.com/office/drawing/2014/main" id="{A5D97B5F-2E58-58DC-1298-39315DE8B010}"/>
              </a:ext>
            </a:extLst>
          </xdr:cNvPr>
          <xdr:cNvCxnSpPr/>
        </xdr:nvCxnSpPr>
        <xdr:spPr>
          <a:xfrm>
            <a:off x="6965949" y="18788063"/>
            <a:ext cx="647700" cy="2857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87" name="Straight Connector 586">
            <a:extLst>
              <a:ext uri="{FF2B5EF4-FFF2-40B4-BE49-F238E27FC236}">
                <a16:creationId xmlns:a16="http://schemas.microsoft.com/office/drawing/2014/main" id="{36457848-5DCE-EC35-2EC9-E8CD2794639F}"/>
              </a:ext>
            </a:extLst>
          </xdr:cNvPr>
          <xdr:cNvCxnSpPr/>
        </xdr:nvCxnSpPr>
        <xdr:spPr>
          <a:xfrm flipV="1">
            <a:off x="7605711" y="18789651"/>
            <a:ext cx="642937" cy="28098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88" name="Straight Connector 587">
            <a:extLst>
              <a:ext uri="{FF2B5EF4-FFF2-40B4-BE49-F238E27FC236}">
                <a16:creationId xmlns:a16="http://schemas.microsoft.com/office/drawing/2014/main" id="{2689C6D5-1803-F826-BF83-92F762E059FA}"/>
              </a:ext>
            </a:extLst>
          </xdr:cNvPr>
          <xdr:cNvCxnSpPr/>
        </xdr:nvCxnSpPr>
        <xdr:spPr>
          <a:xfrm>
            <a:off x="7608886" y="18788063"/>
            <a:ext cx="647700" cy="2857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89" name="Straight Connector 588">
            <a:extLst>
              <a:ext uri="{FF2B5EF4-FFF2-40B4-BE49-F238E27FC236}">
                <a16:creationId xmlns:a16="http://schemas.microsoft.com/office/drawing/2014/main" id="{8356AC10-0225-31F9-0E8C-E4EC430F74C2}"/>
              </a:ext>
            </a:extLst>
          </xdr:cNvPr>
          <xdr:cNvCxnSpPr/>
        </xdr:nvCxnSpPr>
        <xdr:spPr>
          <a:xfrm flipV="1">
            <a:off x="8905875" y="18789652"/>
            <a:ext cx="642937" cy="28098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90" name="Straight Connector 589">
            <a:extLst>
              <a:ext uri="{FF2B5EF4-FFF2-40B4-BE49-F238E27FC236}">
                <a16:creationId xmlns:a16="http://schemas.microsoft.com/office/drawing/2014/main" id="{5A97A142-230F-1067-14D8-743DA7A0B89C}"/>
              </a:ext>
            </a:extLst>
          </xdr:cNvPr>
          <xdr:cNvCxnSpPr/>
        </xdr:nvCxnSpPr>
        <xdr:spPr>
          <a:xfrm>
            <a:off x="8909050" y="18788064"/>
            <a:ext cx="647700" cy="2857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91" name="Straight Connector 590">
            <a:extLst>
              <a:ext uri="{FF2B5EF4-FFF2-40B4-BE49-F238E27FC236}">
                <a16:creationId xmlns:a16="http://schemas.microsoft.com/office/drawing/2014/main" id="{FC78B252-D55F-2DDA-C8E4-182423C2E4EE}"/>
              </a:ext>
            </a:extLst>
          </xdr:cNvPr>
          <xdr:cNvCxnSpPr/>
        </xdr:nvCxnSpPr>
        <xdr:spPr>
          <a:xfrm flipV="1">
            <a:off x="9553575" y="18789652"/>
            <a:ext cx="642937" cy="28098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92" name="Straight Connector 591">
            <a:extLst>
              <a:ext uri="{FF2B5EF4-FFF2-40B4-BE49-F238E27FC236}">
                <a16:creationId xmlns:a16="http://schemas.microsoft.com/office/drawing/2014/main" id="{E9435FAF-8E9B-9593-92E8-4F2016BE6CB5}"/>
              </a:ext>
            </a:extLst>
          </xdr:cNvPr>
          <xdr:cNvCxnSpPr/>
        </xdr:nvCxnSpPr>
        <xdr:spPr>
          <a:xfrm>
            <a:off x="9556750" y="18788064"/>
            <a:ext cx="647700" cy="2857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nvGrpSpPr>
          <xdr:cNvPr id="1911" name="Group 1910">
            <a:extLst>
              <a:ext uri="{FF2B5EF4-FFF2-40B4-BE49-F238E27FC236}">
                <a16:creationId xmlns:a16="http://schemas.microsoft.com/office/drawing/2014/main" id="{610BA3D6-481F-4358-ABA6-ED1C9219522E}"/>
              </a:ext>
            </a:extLst>
          </xdr:cNvPr>
          <xdr:cNvGrpSpPr/>
        </xdr:nvGrpSpPr>
        <xdr:grpSpPr>
          <a:xfrm>
            <a:off x="6962775" y="19583395"/>
            <a:ext cx="1295400" cy="1352550"/>
            <a:chOff x="6638925" y="2171700"/>
            <a:chExt cx="1295400" cy="1352550"/>
          </a:xfrm>
        </xdr:grpSpPr>
        <xdr:cxnSp macro="">
          <xdr:nvCxnSpPr>
            <xdr:cNvPr id="1912" name="Straight Connector 1911">
              <a:extLst>
                <a:ext uri="{FF2B5EF4-FFF2-40B4-BE49-F238E27FC236}">
                  <a16:creationId xmlns:a16="http://schemas.microsoft.com/office/drawing/2014/main" id="{434E4047-DB6B-3899-92C1-C9B7BF73EA6C}"/>
                </a:ext>
              </a:extLst>
            </xdr:cNvPr>
            <xdr:cNvCxnSpPr/>
          </xdr:nvCxnSpPr>
          <xdr:spPr>
            <a:xfrm flipH="1" flipV="1">
              <a:off x="6638925" y="2171700"/>
              <a:ext cx="247650" cy="1352550"/>
            </a:xfrm>
            <a:prstGeom prst="line">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913" name="Straight Connector 1912">
              <a:extLst>
                <a:ext uri="{FF2B5EF4-FFF2-40B4-BE49-F238E27FC236}">
                  <a16:creationId xmlns:a16="http://schemas.microsoft.com/office/drawing/2014/main" id="{82FD9302-E56D-BD8A-F6CE-1BEA05C9CE91}"/>
                </a:ext>
              </a:extLst>
            </xdr:cNvPr>
            <xdr:cNvCxnSpPr/>
          </xdr:nvCxnSpPr>
          <xdr:spPr>
            <a:xfrm flipV="1">
              <a:off x="6886575" y="2200275"/>
              <a:ext cx="400050" cy="1323975"/>
            </a:xfrm>
            <a:prstGeom prst="line">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914" name="Straight Connector 1913">
              <a:extLst>
                <a:ext uri="{FF2B5EF4-FFF2-40B4-BE49-F238E27FC236}">
                  <a16:creationId xmlns:a16="http://schemas.microsoft.com/office/drawing/2014/main" id="{78B5424D-B071-FCC4-F8A5-1ADE0834F1B0}"/>
                </a:ext>
              </a:extLst>
            </xdr:cNvPr>
            <xdr:cNvCxnSpPr/>
          </xdr:nvCxnSpPr>
          <xdr:spPr>
            <a:xfrm flipV="1">
              <a:off x="6886575" y="2247900"/>
              <a:ext cx="1047750" cy="1276350"/>
            </a:xfrm>
            <a:prstGeom prst="line">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34</xdr:col>
      <xdr:colOff>80960</xdr:colOff>
      <xdr:row>574</xdr:row>
      <xdr:rowOff>9525</xdr:rowOff>
    </xdr:from>
    <xdr:to>
      <xdr:col>66</xdr:col>
      <xdr:colOff>14288</xdr:colOff>
      <xdr:row>592</xdr:row>
      <xdr:rowOff>3</xdr:rowOff>
    </xdr:to>
    <xdr:grpSp>
      <xdr:nvGrpSpPr>
        <xdr:cNvPr id="1924" name="Group 1923">
          <a:extLst>
            <a:ext uri="{FF2B5EF4-FFF2-40B4-BE49-F238E27FC236}">
              <a16:creationId xmlns:a16="http://schemas.microsoft.com/office/drawing/2014/main" id="{C229CCBA-C755-20B3-6C17-70BB66B07001}"/>
            </a:ext>
          </a:extLst>
        </xdr:cNvPr>
        <xdr:cNvGrpSpPr/>
      </xdr:nvGrpSpPr>
      <xdr:grpSpPr>
        <a:xfrm>
          <a:off x="5586410" y="83762850"/>
          <a:ext cx="5114928" cy="2562228"/>
          <a:chOff x="5586410" y="36385500"/>
          <a:chExt cx="5114928" cy="2562228"/>
        </a:xfrm>
      </xdr:grpSpPr>
      <xdr:sp macro="" textlink="">
        <xdr:nvSpPr>
          <xdr:cNvPr id="879" name="Rectangle 878">
            <a:extLst>
              <a:ext uri="{FF2B5EF4-FFF2-40B4-BE49-F238E27FC236}">
                <a16:creationId xmlns:a16="http://schemas.microsoft.com/office/drawing/2014/main" id="{BB9E1405-7C7C-B45D-A864-43D51220B66C}"/>
              </a:ext>
            </a:extLst>
          </xdr:cNvPr>
          <xdr:cNvSpPr/>
        </xdr:nvSpPr>
        <xdr:spPr>
          <a:xfrm>
            <a:off x="5991224" y="36518851"/>
            <a:ext cx="4533901" cy="1714500"/>
          </a:xfrm>
          <a:prstGeom prst="rect">
            <a:avLst/>
          </a:prstGeom>
          <a:solidFill>
            <a:schemeClr val="bg1">
              <a:lumMod val="95000"/>
            </a:schemeClr>
          </a:solidFill>
          <a:ln w="63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kern="1200"/>
          </a:p>
        </xdr:txBody>
      </xdr:sp>
      <xdr:cxnSp macro="">
        <xdr:nvCxnSpPr>
          <xdr:cNvPr id="880" name="Straight Connector 879">
            <a:extLst>
              <a:ext uri="{FF2B5EF4-FFF2-40B4-BE49-F238E27FC236}">
                <a16:creationId xmlns:a16="http://schemas.microsoft.com/office/drawing/2014/main" id="{56AFB828-37AF-56AD-6EC1-9AFBBE1E2F66}"/>
              </a:ext>
            </a:extLst>
          </xdr:cNvPr>
          <xdr:cNvCxnSpPr/>
        </xdr:nvCxnSpPr>
        <xdr:spPr>
          <a:xfrm flipH="1">
            <a:off x="5991224" y="37466595"/>
            <a:ext cx="453390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81" name="Straight Connector 880">
            <a:extLst>
              <a:ext uri="{FF2B5EF4-FFF2-40B4-BE49-F238E27FC236}">
                <a16:creationId xmlns:a16="http://schemas.microsoft.com/office/drawing/2014/main" id="{AE800947-C84B-15E9-4F95-AE410586B5D7}"/>
              </a:ext>
            </a:extLst>
          </xdr:cNvPr>
          <xdr:cNvCxnSpPr/>
        </xdr:nvCxnSpPr>
        <xdr:spPr>
          <a:xfrm flipH="1">
            <a:off x="5989638" y="37090350"/>
            <a:ext cx="453548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82" name="Straight Connector 881">
            <a:extLst>
              <a:ext uri="{FF2B5EF4-FFF2-40B4-BE49-F238E27FC236}">
                <a16:creationId xmlns:a16="http://schemas.microsoft.com/office/drawing/2014/main" id="{67D2920D-0368-AE38-F138-99FD872BC04C}"/>
              </a:ext>
            </a:extLst>
          </xdr:cNvPr>
          <xdr:cNvCxnSpPr/>
        </xdr:nvCxnSpPr>
        <xdr:spPr>
          <a:xfrm flipH="1">
            <a:off x="5991225" y="36947478"/>
            <a:ext cx="452913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83" name="Straight Connector 882">
            <a:extLst>
              <a:ext uri="{FF2B5EF4-FFF2-40B4-BE49-F238E27FC236}">
                <a16:creationId xmlns:a16="http://schemas.microsoft.com/office/drawing/2014/main" id="{07FB62E4-B7F2-3E00-1785-4862CE3374CF}"/>
              </a:ext>
            </a:extLst>
          </xdr:cNvPr>
          <xdr:cNvCxnSpPr/>
        </xdr:nvCxnSpPr>
        <xdr:spPr>
          <a:xfrm flipH="1">
            <a:off x="5991225" y="36804603"/>
            <a:ext cx="45243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84" name="Straight Connector 883">
            <a:extLst>
              <a:ext uri="{FF2B5EF4-FFF2-40B4-BE49-F238E27FC236}">
                <a16:creationId xmlns:a16="http://schemas.microsoft.com/office/drawing/2014/main" id="{3CC9C38D-39E3-0225-D7B0-1872FB2D946E}"/>
              </a:ext>
            </a:extLst>
          </xdr:cNvPr>
          <xdr:cNvCxnSpPr/>
        </xdr:nvCxnSpPr>
        <xdr:spPr>
          <a:xfrm flipH="1">
            <a:off x="5991226" y="36661727"/>
            <a:ext cx="4533899"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85" name="Straight Connector 884">
            <a:extLst>
              <a:ext uri="{FF2B5EF4-FFF2-40B4-BE49-F238E27FC236}">
                <a16:creationId xmlns:a16="http://schemas.microsoft.com/office/drawing/2014/main" id="{0D344356-2642-2667-DAF0-7787D6FE45CE}"/>
              </a:ext>
            </a:extLst>
          </xdr:cNvPr>
          <xdr:cNvCxnSpPr/>
        </xdr:nvCxnSpPr>
        <xdr:spPr>
          <a:xfrm>
            <a:off x="6638934" y="36518850"/>
            <a:ext cx="0" cy="17145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86" name="Straight Connector 885">
            <a:extLst>
              <a:ext uri="{FF2B5EF4-FFF2-40B4-BE49-F238E27FC236}">
                <a16:creationId xmlns:a16="http://schemas.microsoft.com/office/drawing/2014/main" id="{FEACC65A-93B6-5A8C-18E7-ABEBC8F374D3}"/>
              </a:ext>
            </a:extLst>
          </xdr:cNvPr>
          <xdr:cNvCxnSpPr/>
        </xdr:nvCxnSpPr>
        <xdr:spPr>
          <a:xfrm flipV="1">
            <a:off x="5992813" y="36806188"/>
            <a:ext cx="642937" cy="28098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87" name="Straight Connector 886">
            <a:extLst>
              <a:ext uri="{FF2B5EF4-FFF2-40B4-BE49-F238E27FC236}">
                <a16:creationId xmlns:a16="http://schemas.microsoft.com/office/drawing/2014/main" id="{927C80AD-CA1A-50DA-F792-867FEB1F8BAD}"/>
              </a:ext>
            </a:extLst>
          </xdr:cNvPr>
          <xdr:cNvCxnSpPr/>
        </xdr:nvCxnSpPr>
        <xdr:spPr>
          <a:xfrm>
            <a:off x="5995988" y="36804600"/>
            <a:ext cx="647700" cy="2857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88" name="Straight Connector 887">
            <a:extLst>
              <a:ext uri="{FF2B5EF4-FFF2-40B4-BE49-F238E27FC236}">
                <a16:creationId xmlns:a16="http://schemas.microsoft.com/office/drawing/2014/main" id="{763119ED-A633-BDCB-934D-5B9DDA496481}"/>
              </a:ext>
            </a:extLst>
          </xdr:cNvPr>
          <xdr:cNvCxnSpPr/>
        </xdr:nvCxnSpPr>
        <xdr:spPr>
          <a:xfrm flipV="1">
            <a:off x="5992813" y="36517263"/>
            <a:ext cx="642937" cy="28098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89" name="Straight Connector 888">
            <a:extLst>
              <a:ext uri="{FF2B5EF4-FFF2-40B4-BE49-F238E27FC236}">
                <a16:creationId xmlns:a16="http://schemas.microsoft.com/office/drawing/2014/main" id="{2668A0E6-36A0-73B6-7E0A-8F6DCEE214B3}"/>
              </a:ext>
            </a:extLst>
          </xdr:cNvPr>
          <xdr:cNvCxnSpPr/>
        </xdr:nvCxnSpPr>
        <xdr:spPr>
          <a:xfrm>
            <a:off x="5995988" y="36518850"/>
            <a:ext cx="647700" cy="2857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90" name="Straight Connector 889">
            <a:extLst>
              <a:ext uri="{FF2B5EF4-FFF2-40B4-BE49-F238E27FC236}">
                <a16:creationId xmlns:a16="http://schemas.microsoft.com/office/drawing/2014/main" id="{3A38BA07-6507-044A-65F9-4191A7C04556}"/>
              </a:ext>
            </a:extLst>
          </xdr:cNvPr>
          <xdr:cNvCxnSpPr/>
        </xdr:nvCxnSpPr>
        <xdr:spPr>
          <a:xfrm flipH="1">
            <a:off x="5991225" y="37850770"/>
            <a:ext cx="453866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91" name="Straight Connector 890">
            <a:extLst>
              <a:ext uri="{FF2B5EF4-FFF2-40B4-BE49-F238E27FC236}">
                <a16:creationId xmlns:a16="http://schemas.microsoft.com/office/drawing/2014/main" id="{79AF97F8-783B-00C0-023C-22A30AE373E6}"/>
              </a:ext>
            </a:extLst>
          </xdr:cNvPr>
          <xdr:cNvCxnSpPr/>
        </xdr:nvCxnSpPr>
        <xdr:spPr>
          <a:xfrm flipV="1">
            <a:off x="5991225" y="37852350"/>
            <a:ext cx="654050" cy="37941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92" name="Straight Connector 891">
            <a:extLst>
              <a:ext uri="{FF2B5EF4-FFF2-40B4-BE49-F238E27FC236}">
                <a16:creationId xmlns:a16="http://schemas.microsoft.com/office/drawing/2014/main" id="{179EA9C2-B022-AB25-512E-F96A3201D730}"/>
              </a:ext>
            </a:extLst>
          </xdr:cNvPr>
          <xdr:cNvCxnSpPr/>
        </xdr:nvCxnSpPr>
        <xdr:spPr>
          <a:xfrm>
            <a:off x="5988050" y="37852350"/>
            <a:ext cx="649287" cy="38100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93" name="Straight Connector 892">
            <a:extLst>
              <a:ext uri="{FF2B5EF4-FFF2-40B4-BE49-F238E27FC236}">
                <a16:creationId xmlns:a16="http://schemas.microsoft.com/office/drawing/2014/main" id="{F469CACA-1EAB-70CC-4A70-782554BE6403}"/>
              </a:ext>
            </a:extLst>
          </xdr:cNvPr>
          <xdr:cNvCxnSpPr/>
        </xdr:nvCxnSpPr>
        <xdr:spPr>
          <a:xfrm flipV="1">
            <a:off x="5991225" y="37461825"/>
            <a:ext cx="647700" cy="38576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94" name="Straight Connector 893">
            <a:extLst>
              <a:ext uri="{FF2B5EF4-FFF2-40B4-BE49-F238E27FC236}">
                <a16:creationId xmlns:a16="http://schemas.microsoft.com/office/drawing/2014/main" id="{F98DCB11-8171-596A-920B-D737148E2C50}"/>
              </a:ext>
            </a:extLst>
          </xdr:cNvPr>
          <xdr:cNvCxnSpPr/>
        </xdr:nvCxnSpPr>
        <xdr:spPr>
          <a:xfrm>
            <a:off x="5994221" y="37468175"/>
            <a:ext cx="643116" cy="38100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95" name="Straight Connector 894">
            <a:extLst>
              <a:ext uri="{FF2B5EF4-FFF2-40B4-BE49-F238E27FC236}">
                <a16:creationId xmlns:a16="http://schemas.microsoft.com/office/drawing/2014/main" id="{D87BADA6-8330-D068-8996-6ED5098A644D}"/>
              </a:ext>
            </a:extLst>
          </xdr:cNvPr>
          <xdr:cNvCxnSpPr/>
        </xdr:nvCxnSpPr>
        <xdr:spPr>
          <a:xfrm flipV="1">
            <a:off x="5994400" y="37093525"/>
            <a:ext cx="644525" cy="37306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96" name="Straight Connector 895">
            <a:extLst>
              <a:ext uri="{FF2B5EF4-FFF2-40B4-BE49-F238E27FC236}">
                <a16:creationId xmlns:a16="http://schemas.microsoft.com/office/drawing/2014/main" id="{8ED4D249-FB22-A02B-6DB4-C783B27F2B42}"/>
              </a:ext>
            </a:extLst>
          </xdr:cNvPr>
          <xdr:cNvCxnSpPr/>
        </xdr:nvCxnSpPr>
        <xdr:spPr>
          <a:xfrm>
            <a:off x="5988050" y="37093525"/>
            <a:ext cx="652462" cy="37465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97" name="Straight Connector 896">
            <a:extLst>
              <a:ext uri="{FF2B5EF4-FFF2-40B4-BE49-F238E27FC236}">
                <a16:creationId xmlns:a16="http://schemas.microsoft.com/office/drawing/2014/main" id="{EFF35A78-90B0-20F9-8DE9-8502538FED92}"/>
              </a:ext>
            </a:extLst>
          </xdr:cNvPr>
          <xdr:cNvCxnSpPr/>
        </xdr:nvCxnSpPr>
        <xdr:spPr>
          <a:xfrm flipV="1">
            <a:off x="7935921" y="36806188"/>
            <a:ext cx="642937" cy="28098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98" name="Straight Connector 897">
            <a:extLst>
              <a:ext uri="{FF2B5EF4-FFF2-40B4-BE49-F238E27FC236}">
                <a16:creationId xmlns:a16="http://schemas.microsoft.com/office/drawing/2014/main" id="{DD0FFF4E-49E8-40F1-C86B-0B89A2735000}"/>
              </a:ext>
            </a:extLst>
          </xdr:cNvPr>
          <xdr:cNvCxnSpPr/>
        </xdr:nvCxnSpPr>
        <xdr:spPr>
          <a:xfrm>
            <a:off x="7939096" y="36804600"/>
            <a:ext cx="647700" cy="2857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99" name="Straight Connector 898">
            <a:extLst>
              <a:ext uri="{FF2B5EF4-FFF2-40B4-BE49-F238E27FC236}">
                <a16:creationId xmlns:a16="http://schemas.microsoft.com/office/drawing/2014/main" id="{DFDE9367-FED7-E940-AC5A-459E645D1551}"/>
              </a:ext>
            </a:extLst>
          </xdr:cNvPr>
          <xdr:cNvCxnSpPr/>
        </xdr:nvCxnSpPr>
        <xdr:spPr>
          <a:xfrm flipV="1">
            <a:off x="7935921" y="36517263"/>
            <a:ext cx="642937" cy="28098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00" name="Straight Connector 899">
            <a:extLst>
              <a:ext uri="{FF2B5EF4-FFF2-40B4-BE49-F238E27FC236}">
                <a16:creationId xmlns:a16="http://schemas.microsoft.com/office/drawing/2014/main" id="{104F0BB1-C686-7BAD-7271-B60D0A2CFF74}"/>
              </a:ext>
            </a:extLst>
          </xdr:cNvPr>
          <xdr:cNvCxnSpPr/>
        </xdr:nvCxnSpPr>
        <xdr:spPr>
          <a:xfrm>
            <a:off x="7939096" y="36518850"/>
            <a:ext cx="647700" cy="2857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01" name="Straight Connector 900">
            <a:extLst>
              <a:ext uri="{FF2B5EF4-FFF2-40B4-BE49-F238E27FC236}">
                <a16:creationId xmlns:a16="http://schemas.microsoft.com/office/drawing/2014/main" id="{EBFE9ABE-4D06-CFAF-4BF7-1B3C7878B43F}"/>
              </a:ext>
            </a:extLst>
          </xdr:cNvPr>
          <xdr:cNvCxnSpPr/>
        </xdr:nvCxnSpPr>
        <xdr:spPr>
          <a:xfrm flipV="1">
            <a:off x="7934333" y="37852350"/>
            <a:ext cx="654050" cy="37941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02" name="Straight Connector 901">
            <a:extLst>
              <a:ext uri="{FF2B5EF4-FFF2-40B4-BE49-F238E27FC236}">
                <a16:creationId xmlns:a16="http://schemas.microsoft.com/office/drawing/2014/main" id="{CE76E668-DE16-E7B0-1E46-0285C36131B4}"/>
              </a:ext>
            </a:extLst>
          </xdr:cNvPr>
          <xdr:cNvCxnSpPr/>
        </xdr:nvCxnSpPr>
        <xdr:spPr>
          <a:xfrm>
            <a:off x="7931158" y="37852350"/>
            <a:ext cx="649287" cy="38100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03" name="Straight Connector 902">
            <a:extLst>
              <a:ext uri="{FF2B5EF4-FFF2-40B4-BE49-F238E27FC236}">
                <a16:creationId xmlns:a16="http://schemas.microsoft.com/office/drawing/2014/main" id="{4EA240A5-080A-E63A-BF57-885614E2AFF5}"/>
              </a:ext>
            </a:extLst>
          </xdr:cNvPr>
          <xdr:cNvCxnSpPr/>
        </xdr:nvCxnSpPr>
        <xdr:spPr>
          <a:xfrm flipV="1">
            <a:off x="7934333" y="37461825"/>
            <a:ext cx="647700" cy="38576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04" name="Straight Connector 903">
            <a:extLst>
              <a:ext uri="{FF2B5EF4-FFF2-40B4-BE49-F238E27FC236}">
                <a16:creationId xmlns:a16="http://schemas.microsoft.com/office/drawing/2014/main" id="{333D6B51-A63B-5F40-3FB9-2A2E1CCA0F7F}"/>
              </a:ext>
            </a:extLst>
          </xdr:cNvPr>
          <xdr:cNvCxnSpPr/>
        </xdr:nvCxnSpPr>
        <xdr:spPr>
          <a:xfrm>
            <a:off x="7937329" y="37468175"/>
            <a:ext cx="643116" cy="38100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05" name="Straight Connector 904">
            <a:extLst>
              <a:ext uri="{FF2B5EF4-FFF2-40B4-BE49-F238E27FC236}">
                <a16:creationId xmlns:a16="http://schemas.microsoft.com/office/drawing/2014/main" id="{D6D7F1BB-9822-FD8F-3F8C-7C65C48EB8AB}"/>
              </a:ext>
            </a:extLst>
          </xdr:cNvPr>
          <xdr:cNvCxnSpPr/>
        </xdr:nvCxnSpPr>
        <xdr:spPr>
          <a:xfrm flipV="1">
            <a:off x="7937508" y="37093525"/>
            <a:ext cx="644525" cy="37306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06" name="Straight Connector 905">
            <a:extLst>
              <a:ext uri="{FF2B5EF4-FFF2-40B4-BE49-F238E27FC236}">
                <a16:creationId xmlns:a16="http://schemas.microsoft.com/office/drawing/2014/main" id="{E0E776B5-EF88-243A-B879-51972520CDE1}"/>
              </a:ext>
            </a:extLst>
          </xdr:cNvPr>
          <xdr:cNvCxnSpPr/>
        </xdr:nvCxnSpPr>
        <xdr:spPr>
          <a:xfrm>
            <a:off x="7931158" y="37093525"/>
            <a:ext cx="652462" cy="37465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07" name="Straight Connector 906">
            <a:extLst>
              <a:ext uri="{FF2B5EF4-FFF2-40B4-BE49-F238E27FC236}">
                <a16:creationId xmlns:a16="http://schemas.microsoft.com/office/drawing/2014/main" id="{A4139AA7-6CF6-B7D9-9DCE-2EC93C36CCC6}"/>
              </a:ext>
            </a:extLst>
          </xdr:cNvPr>
          <xdr:cNvCxnSpPr/>
        </xdr:nvCxnSpPr>
        <xdr:spPr>
          <a:xfrm flipV="1">
            <a:off x="9879013" y="36806188"/>
            <a:ext cx="642937" cy="28098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08" name="Straight Connector 907">
            <a:extLst>
              <a:ext uri="{FF2B5EF4-FFF2-40B4-BE49-F238E27FC236}">
                <a16:creationId xmlns:a16="http://schemas.microsoft.com/office/drawing/2014/main" id="{3FE04BE1-9238-B0D8-20CC-FEA8E54EF368}"/>
              </a:ext>
            </a:extLst>
          </xdr:cNvPr>
          <xdr:cNvCxnSpPr/>
        </xdr:nvCxnSpPr>
        <xdr:spPr>
          <a:xfrm>
            <a:off x="9882188" y="36804600"/>
            <a:ext cx="647700" cy="2857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09" name="Straight Connector 908">
            <a:extLst>
              <a:ext uri="{FF2B5EF4-FFF2-40B4-BE49-F238E27FC236}">
                <a16:creationId xmlns:a16="http://schemas.microsoft.com/office/drawing/2014/main" id="{CE1120ED-6157-1802-25A7-D59BB3ED3104}"/>
              </a:ext>
            </a:extLst>
          </xdr:cNvPr>
          <xdr:cNvCxnSpPr/>
        </xdr:nvCxnSpPr>
        <xdr:spPr>
          <a:xfrm flipV="1">
            <a:off x="9879013" y="36517263"/>
            <a:ext cx="642937" cy="28098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10" name="Straight Connector 909">
            <a:extLst>
              <a:ext uri="{FF2B5EF4-FFF2-40B4-BE49-F238E27FC236}">
                <a16:creationId xmlns:a16="http://schemas.microsoft.com/office/drawing/2014/main" id="{8FCFAAE5-84FA-39A4-B97E-516839FF87DE}"/>
              </a:ext>
            </a:extLst>
          </xdr:cNvPr>
          <xdr:cNvCxnSpPr/>
        </xdr:nvCxnSpPr>
        <xdr:spPr>
          <a:xfrm>
            <a:off x="9882188" y="36518850"/>
            <a:ext cx="647700" cy="2857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11" name="Straight Connector 910">
            <a:extLst>
              <a:ext uri="{FF2B5EF4-FFF2-40B4-BE49-F238E27FC236}">
                <a16:creationId xmlns:a16="http://schemas.microsoft.com/office/drawing/2014/main" id="{D06C262C-18C2-6EDF-AA1B-CCF93741F58B}"/>
              </a:ext>
            </a:extLst>
          </xdr:cNvPr>
          <xdr:cNvCxnSpPr/>
        </xdr:nvCxnSpPr>
        <xdr:spPr>
          <a:xfrm flipV="1">
            <a:off x="9877425" y="37852350"/>
            <a:ext cx="654050" cy="37941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12" name="Straight Connector 911">
            <a:extLst>
              <a:ext uri="{FF2B5EF4-FFF2-40B4-BE49-F238E27FC236}">
                <a16:creationId xmlns:a16="http://schemas.microsoft.com/office/drawing/2014/main" id="{B08333AA-B9C2-B318-C13B-4C17B0120D75}"/>
              </a:ext>
            </a:extLst>
          </xdr:cNvPr>
          <xdr:cNvCxnSpPr/>
        </xdr:nvCxnSpPr>
        <xdr:spPr>
          <a:xfrm>
            <a:off x="9874250" y="37852350"/>
            <a:ext cx="649287" cy="38100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13" name="Straight Connector 912">
            <a:extLst>
              <a:ext uri="{FF2B5EF4-FFF2-40B4-BE49-F238E27FC236}">
                <a16:creationId xmlns:a16="http://schemas.microsoft.com/office/drawing/2014/main" id="{1CBB2A8B-D1BE-B20D-6784-709AE658107B}"/>
              </a:ext>
            </a:extLst>
          </xdr:cNvPr>
          <xdr:cNvCxnSpPr/>
        </xdr:nvCxnSpPr>
        <xdr:spPr>
          <a:xfrm flipV="1">
            <a:off x="9877425" y="37461825"/>
            <a:ext cx="647700" cy="38576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14" name="Straight Connector 913">
            <a:extLst>
              <a:ext uri="{FF2B5EF4-FFF2-40B4-BE49-F238E27FC236}">
                <a16:creationId xmlns:a16="http://schemas.microsoft.com/office/drawing/2014/main" id="{4D876400-006A-865C-EF3C-09AA998B95A3}"/>
              </a:ext>
            </a:extLst>
          </xdr:cNvPr>
          <xdr:cNvCxnSpPr/>
        </xdr:nvCxnSpPr>
        <xdr:spPr>
          <a:xfrm>
            <a:off x="9880421" y="37468175"/>
            <a:ext cx="643116" cy="38100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15" name="Straight Connector 914">
            <a:extLst>
              <a:ext uri="{FF2B5EF4-FFF2-40B4-BE49-F238E27FC236}">
                <a16:creationId xmlns:a16="http://schemas.microsoft.com/office/drawing/2014/main" id="{A098B98B-4970-42C0-B3E6-680BE1F83B94}"/>
              </a:ext>
            </a:extLst>
          </xdr:cNvPr>
          <xdr:cNvCxnSpPr/>
        </xdr:nvCxnSpPr>
        <xdr:spPr>
          <a:xfrm flipV="1">
            <a:off x="9880600" y="37093525"/>
            <a:ext cx="644525" cy="37306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16" name="Straight Connector 915">
            <a:extLst>
              <a:ext uri="{FF2B5EF4-FFF2-40B4-BE49-F238E27FC236}">
                <a16:creationId xmlns:a16="http://schemas.microsoft.com/office/drawing/2014/main" id="{3D454B6C-27A7-A639-5389-AFA4218C9F79}"/>
              </a:ext>
            </a:extLst>
          </xdr:cNvPr>
          <xdr:cNvCxnSpPr/>
        </xdr:nvCxnSpPr>
        <xdr:spPr>
          <a:xfrm>
            <a:off x="9874250" y="37093525"/>
            <a:ext cx="652462" cy="37465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17" name="Straight Connector 916">
            <a:extLst>
              <a:ext uri="{FF2B5EF4-FFF2-40B4-BE49-F238E27FC236}">
                <a16:creationId xmlns:a16="http://schemas.microsoft.com/office/drawing/2014/main" id="{06A1A5B3-2965-8A05-F8B7-659A4F704116}"/>
              </a:ext>
            </a:extLst>
          </xdr:cNvPr>
          <xdr:cNvCxnSpPr/>
        </xdr:nvCxnSpPr>
        <xdr:spPr>
          <a:xfrm>
            <a:off x="7934325" y="36518850"/>
            <a:ext cx="0" cy="17145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18" name="Straight Connector 917">
            <a:extLst>
              <a:ext uri="{FF2B5EF4-FFF2-40B4-BE49-F238E27FC236}">
                <a16:creationId xmlns:a16="http://schemas.microsoft.com/office/drawing/2014/main" id="{9C09DA64-5897-AEEE-C26A-450792595637}"/>
              </a:ext>
            </a:extLst>
          </xdr:cNvPr>
          <xdr:cNvCxnSpPr/>
        </xdr:nvCxnSpPr>
        <xdr:spPr>
          <a:xfrm>
            <a:off x="7286625" y="36518850"/>
            <a:ext cx="0" cy="17145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19" name="Straight Connector 918">
            <a:extLst>
              <a:ext uri="{FF2B5EF4-FFF2-40B4-BE49-F238E27FC236}">
                <a16:creationId xmlns:a16="http://schemas.microsoft.com/office/drawing/2014/main" id="{F4AF87AF-F587-5C30-45A1-1AA5158163F2}"/>
              </a:ext>
            </a:extLst>
          </xdr:cNvPr>
          <xdr:cNvCxnSpPr/>
        </xdr:nvCxnSpPr>
        <xdr:spPr>
          <a:xfrm>
            <a:off x="9229725" y="36518851"/>
            <a:ext cx="0" cy="17145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20" name="Straight Connector 919">
            <a:extLst>
              <a:ext uri="{FF2B5EF4-FFF2-40B4-BE49-F238E27FC236}">
                <a16:creationId xmlns:a16="http://schemas.microsoft.com/office/drawing/2014/main" id="{86B0681B-E5D8-17CA-6AA4-49C7E3E8507F}"/>
              </a:ext>
            </a:extLst>
          </xdr:cNvPr>
          <xdr:cNvCxnSpPr/>
        </xdr:nvCxnSpPr>
        <xdr:spPr>
          <a:xfrm>
            <a:off x="8582025" y="36518851"/>
            <a:ext cx="0" cy="17145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21" name="Straight Connector 920">
            <a:extLst>
              <a:ext uri="{FF2B5EF4-FFF2-40B4-BE49-F238E27FC236}">
                <a16:creationId xmlns:a16="http://schemas.microsoft.com/office/drawing/2014/main" id="{88151137-FCF2-D2DD-BEA1-AEEF4D7B589F}"/>
              </a:ext>
            </a:extLst>
          </xdr:cNvPr>
          <xdr:cNvCxnSpPr/>
        </xdr:nvCxnSpPr>
        <xdr:spPr>
          <a:xfrm>
            <a:off x="9877425" y="36518851"/>
            <a:ext cx="0" cy="17145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22" name="Straight Connector 921">
            <a:extLst>
              <a:ext uri="{FF2B5EF4-FFF2-40B4-BE49-F238E27FC236}">
                <a16:creationId xmlns:a16="http://schemas.microsoft.com/office/drawing/2014/main" id="{57ED5BC0-5DB1-AAD0-667D-F1AD9E5A499C}"/>
              </a:ext>
            </a:extLst>
          </xdr:cNvPr>
          <xdr:cNvCxnSpPr/>
        </xdr:nvCxnSpPr>
        <xdr:spPr>
          <a:xfrm>
            <a:off x="5991225" y="38342886"/>
            <a:ext cx="0" cy="5238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923" name="Straight Connector 922">
            <a:extLst>
              <a:ext uri="{FF2B5EF4-FFF2-40B4-BE49-F238E27FC236}">
                <a16:creationId xmlns:a16="http://schemas.microsoft.com/office/drawing/2014/main" id="{FC54BBB4-97F2-46D4-8259-D1B8F1AB8D50}"/>
              </a:ext>
            </a:extLst>
          </xdr:cNvPr>
          <xdr:cNvCxnSpPr/>
        </xdr:nvCxnSpPr>
        <xdr:spPr>
          <a:xfrm>
            <a:off x="5938839" y="38519100"/>
            <a:ext cx="4633911"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924" name="Straight Connector 923">
            <a:extLst>
              <a:ext uri="{FF2B5EF4-FFF2-40B4-BE49-F238E27FC236}">
                <a16:creationId xmlns:a16="http://schemas.microsoft.com/office/drawing/2014/main" id="{D455EBAB-129A-FD3E-46DF-58345663B51D}"/>
              </a:ext>
            </a:extLst>
          </xdr:cNvPr>
          <xdr:cNvCxnSpPr/>
        </xdr:nvCxnSpPr>
        <xdr:spPr>
          <a:xfrm flipH="1">
            <a:off x="5962648" y="38495288"/>
            <a:ext cx="52388" cy="5238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925" name="Straight Connector 924">
            <a:extLst>
              <a:ext uri="{FF2B5EF4-FFF2-40B4-BE49-F238E27FC236}">
                <a16:creationId xmlns:a16="http://schemas.microsoft.com/office/drawing/2014/main" id="{F244D376-EBBA-F78F-3496-0088A4E12D84}"/>
              </a:ext>
            </a:extLst>
          </xdr:cNvPr>
          <xdr:cNvCxnSpPr/>
        </xdr:nvCxnSpPr>
        <xdr:spPr>
          <a:xfrm>
            <a:off x="5938837" y="38804856"/>
            <a:ext cx="4629151"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926" name="Straight Connector 925">
            <a:extLst>
              <a:ext uri="{FF2B5EF4-FFF2-40B4-BE49-F238E27FC236}">
                <a16:creationId xmlns:a16="http://schemas.microsoft.com/office/drawing/2014/main" id="{5E3E1C3A-FBCF-27F0-9933-E58CEF078579}"/>
              </a:ext>
            </a:extLst>
          </xdr:cNvPr>
          <xdr:cNvCxnSpPr/>
        </xdr:nvCxnSpPr>
        <xdr:spPr>
          <a:xfrm flipH="1">
            <a:off x="5962646" y="38781044"/>
            <a:ext cx="52388" cy="5238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927" name="Straight Connector 926">
            <a:extLst>
              <a:ext uri="{FF2B5EF4-FFF2-40B4-BE49-F238E27FC236}">
                <a16:creationId xmlns:a16="http://schemas.microsoft.com/office/drawing/2014/main" id="{6AEEFC56-691E-17A7-B85D-A33065FD8D6E}"/>
              </a:ext>
            </a:extLst>
          </xdr:cNvPr>
          <xdr:cNvCxnSpPr/>
        </xdr:nvCxnSpPr>
        <xdr:spPr>
          <a:xfrm>
            <a:off x="10525125" y="38338123"/>
            <a:ext cx="0" cy="5238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928" name="Straight Connector 927">
            <a:extLst>
              <a:ext uri="{FF2B5EF4-FFF2-40B4-BE49-F238E27FC236}">
                <a16:creationId xmlns:a16="http://schemas.microsoft.com/office/drawing/2014/main" id="{1F5B281E-AEB5-45A9-FF5F-C346FAD86CB8}"/>
              </a:ext>
            </a:extLst>
          </xdr:cNvPr>
          <xdr:cNvCxnSpPr/>
        </xdr:nvCxnSpPr>
        <xdr:spPr>
          <a:xfrm flipH="1">
            <a:off x="10496548" y="38495288"/>
            <a:ext cx="52388" cy="5238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929" name="Straight Connector 928">
            <a:extLst>
              <a:ext uri="{FF2B5EF4-FFF2-40B4-BE49-F238E27FC236}">
                <a16:creationId xmlns:a16="http://schemas.microsoft.com/office/drawing/2014/main" id="{894CF1C4-3C50-4511-CBC0-4E2362947568}"/>
              </a:ext>
            </a:extLst>
          </xdr:cNvPr>
          <xdr:cNvCxnSpPr/>
        </xdr:nvCxnSpPr>
        <xdr:spPr>
          <a:xfrm flipH="1">
            <a:off x="10496546" y="38781044"/>
            <a:ext cx="52388" cy="5238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930" name="Straight Connector 929">
            <a:extLst>
              <a:ext uri="{FF2B5EF4-FFF2-40B4-BE49-F238E27FC236}">
                <a16:creationId xmlns:a16="http://schemas.microsoft.com/office/drawing/2014/main" id="{938F7601-3E95-CB00-0A8F-B9CD0AF87D8C}"/>
              </a:ext>
            </a:extLst>
          </xdr:cNvPr>
          <xdr:cNvCxnSpPr/>
        </xdr:nvCxnSpPr>
        <xdr:spPr>
          <a:xfrm>
            <a:off x="6638925" y="38319075"/>
            <a:ext cx="0" cy="25717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931" name="Straight Connector 930">
            <a:extLst>
              <a:ext uri="{FF2B5EF4-FFF2-40B4-BE49-F238E27FC236}">
                <a16:creationId xmlns:a16="http://schemas.microsoft.com/office/drawing/2014/main" id="{8A8FFAA9-3AB3-0AF4-5801-10088403ADD3}"/>
              </a:ext>
            </a:extLst>
          </xdr:cNvPr>
          <xdr:cNvCxnSpPr/>
        </xdr:nvCxnSpPr>
        <xdr:spPr>
          <a:xfrm flipH="1">
            <a:off x="6610346" y="38490531"/>
            <a:ext cx="52388" cy="5238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932" name="Straight Connector 931">
            <a:extLst>
              <a:ext uri="{FF2B5EF4-FFF2-40B4-BE49-F238E27FC236}">
                <a16:creationId xmlns:a16="http://schemas.microsoft.com/office/drawing/2014/main" id="{72E20E4A-7F68-1C72-3C05-93C17F94618C}"/>
              </a:ext>
            </a:extLst>
          </xdr:cNvPr>
          <xdr:cNvCxnSpPr/>
        </xdr:nvCxnSpPr>
        <xdr:spPr>
          <a:xfrm>
            <a:off x="7286625" y="38319075"/>
            <a:ext cx="0" cy="25717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933" name="Straight Connector 932">
            <a:extLst>
              <a:ext uri="{FF2B5EF4-FFF2-40B4-BE49-F238E27FC236}">
                <a16:creationId xmlns:a16="http://schemas.microsoft.com/office/drawing/2014/main" id="{6190F215-66FA-5670-DAAC-DDACB961B7A7}"/>
              </a:ext>
            </a:extLst>
          </xdr:cNvPr>
          <xdr:cNvCxnSpPr/>
        </xdr:nvCxnSpPr>
        <xdr:spPr>
          <a:xfrm flipH="1">
            <a:off x="7258046" y="38490531"/>
            <a:ext cx="52388" cy="5238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934" name="Straight Connector 933">
            <a:extLst>
              <a:ext uri="{FF2B5EF4-FFF2-40B4-BE49-F238E27FC236}">
                <a16:creationId xmlns:a16="http://schemas.microsoft.com/office/drawing/2014/main" id="{D3348361-9B74-1671-48BA-64E282C8F47C}"/>
              </a:ext>
            </a:extLst>
          </xdr:cNvPr>
          <xdr:cNvCxnSpPr/>
        </xdr:nvCxnSpPr>
        <xdr:spPr>
          <a:xfrm>
            <a:off x="7934325" y="38319075"/>
            <a:ext cx="0" cy="25717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935" name="Straight Connector 934">
            <a:extLst>
              <a:ext uri="{FF2B5EF4-FFF2-40B4-BE49-F238E27FC236}">
                <a16:creationId xmlns:a16="http://schemas.microsoft.com/office/drawing/2014/main" id="{BA9045A3-9C06-7F97-38FB-7E3489A18D7A}"/>
              </a:ext>
            </a:extLst>
          </xdr:cNvPr>
          <xdr:cNvCxnSpPr/>
        </xdr:nvCxnSpPr>
        <xdr:spPr>
          <a:xfrm flipH="1">
            <a:off x="7905746" y="38490531"/>
            <a:ext cx="52388" cy="5238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936" name="Straight Connector 935">
            <a:extLst>
              <a:ext uri="{FF2B5EF4-FFF2-40B4-BE49-F238E27FC236}">
                <a16:creationId xmlns:a16="http://schemas.microsoft.com/office/drawing/2014/main" id="{AA39BD14-FFCE-48F9-B331-A43E76A91EA8}"/>
              </a:ext>
            </a:extLst>
          </xdr:cNvPr>
          <xdr:cNvCxnSpPr/>
        </xdr:nvCxnSpPr>
        <xdr:spPr>
          <a:xfrm>
            <a:off x="8582025" y="38319075"/>
            <a:ext cx="0" cy="25717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937" name="Straight Connector 936">
            <a:extLst>
              <a:ext uri="{FF2B5EF4-FFF2-40B4-BE49-F238E27FC236}">
                <a16:creationId xmlns:a16="http://schemas.microsoft.com/office/drawing/2014/main" id="{6DD6EC92-00AE-2E9B-14AC-2D8AD74E8A9D}"/>
              </a:ext>
            </a:extLst>
          </xdr:cNvPr>
          <xdr:cNvCxnSpPr/>
        </xdr:nvCxnSpPr>
        <xdr:spPr>
          <a:xfrm flipH="1">
            <a:off x="8553446" y="38490531"/>
            <a:ext cx="52388" cy="5238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938" name="Straight Connector 937">
            <a:extLst>
              <a:ext uri="{FF2B5EF4-FFF2-40B4-BE49-F238E27FC236}">
                <a16:creationId xmlns:a16="http://schemas.microsoft.com/office/drawing/2014/main" id="{AAD4D354-CD18-40E1-AF28-18C93292AA34}"/>
              </a:ext>
            </a:extLst>
          </xdr:cNvPr>
          <xdr:cNvCxnSpPr/>
        </xdr:nvCxnSpPr>
        <xdr:spPr>
          <a:xfrm>
            <a:off x="9229725" y="38319075"/>
            <a:ext cx="0" cy="25717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939" name="Straight Connector 938">
            <a:extLst>
              <a:ext uri="{FF2B5EF4-FFF2-40B4-BE49-F238E27FC236}">
                <a16:creationId xmlns:a16="http://schemas.microsoft.com/office/drawing/2014/main" id="{98D5261D-3AF3-D943-2062-C79BA31245BC}"/>
              </a:ext>
            </a:extLst>
          </xdr:cNvPr>
          <xdr:cNvCxnSpPr/>
        </xdr:nvCxnSpPr>
        <xdr:spPr>
          <a:xfrm flipH="1">
            <a:off x="9201146" y="38490531"/>
            <a:ext cx="52388" cy="5238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940" name="Straight Connector 939">
            <a:extLst>
              <a:ext uri="{FF2B5EF4-FFF2-40B4-BE49-F238E27FC236}">
                <a16:creationId xmlns:a16="http://schemas.microsoft.com/office/drawing/2014/main" id="{CA09DAA7-D3BB-000A-350C-EB0C20137F16}"/>
              </a:ext>
            </a:extLst>
          </xdr:cNvPr>
          <xdr:cNvCxnSpPr/>
        </xdr:nvCxnSpPr>
        <xdr:spPr>
          <a:xfrm>
            <a:off x="9877425" y="38319075"/>
            <a:ext cx="0" cy="25717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941" name="Straight Connector 940">
            <a:extLst>
              <a:ext uri="{FF2B5EF4-FFF2-40B4-BE49-F238E27FC236}">
                <a16:creationId xmlns:a16="http://schemas.microsoft.com/office/drawing/2014/main" id="{4360CA34-E17F-250B-2EB4-083888C99E39}"/>
              </a:ext>
            </a:extLst>
          </xdr:cNvPr>
          <xdr:cNvCxnSpPr/>
        </xdr:nvCxnSpPr>
        <xdr:spPr>
          <a:xfrm flipH="1">
            <a:off x="9848846" y="38490531"/>
            <a:ext cx="52388" cy="5238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942" name="Straight Connector 941">
            <a:extLst>
              <a:ext uri="{FF2B5EF4-FFF2-40B4-BE49-F238E27FC236}">
                <a16:creationId xmlns:a16="http://schemas.microsoft.com/office/drawing/2014/main" id="{3D93409C-CB68-6051-45DD-7F860987C016}"/>
              </a:ext>
            </a:extLst>
          </xdr:cNvPr>
          <xdr:cNvCxnSpPr/>
        </xdr:nvCxnSpPr>
        <xdr:spPr>
          <a:xfrm>
            <a:off x="6872287" y="36423598"/>
            <a:ext cx="0" cy="323850"/>
          </a:xfrm>
          <a:prstGeom prst="line">
            <a:avLst/>
          </a:prstGeom>
          <a:ln w="9525">
            <a:solidFill>
              <a:schemeClr val="accent6">
                <a:lumMod val="75000"/>
              </a:schemeClr>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943" name="Straight Connector 942">
            <a:extLst>
              <a:ext uri="{FF2B5EF4-FFF2-40B4-BE49-F238E27FC236}">
                <a16:creationId xmlns:a16="http://schemas.microsoft.com/office/drawing/2014/main" id="{3C90C483-7493-434C-7072-87647F0C4D99}"/>
              </a:ext>
            </a:extLst>
          </xdr:cNvPr>
          <xdr:cNvCxnSpPr/>
        </xdr:nvCxnSpPr>
        <xdr:spPr>
          <a:xfrm>
            <a:off x="6896100" y="36423598"/>
            <a:ext cx="0" cy="323850"/>
          </a:xfrm>
          <a:prstGeom prst="line">
            <a:avLst/>
          </a:prstGeom>
          <a:ln w="9525">
            <a:solidFill>
              <a:schemeClr val="accent6">
                <a:lumMod val="75000"/>
              </a:schemeClr>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944" name="Straight Connector 943">
            <a:extLst>
              <a:ext uri="{FF2B5EF4-FFF2-40B4-BE49-F238E27FC236}">
                <a16:creationId xmlns:a16="http://schemas.microsoft.com/office/drawing/2014/main" id="{23115187-05C4-B252-B8E0-465225DC9818}"/>
              </a:ext>
            </a:extLst>
          </xdr:cNvPr>
          <xdr:cNvCxnSpPr/>
        </xdr:nvCxnSpPr>
        <xdr:spPr>
          <a:xfrm>
            <a:off x="6872287" y="38028560"/>
            <a:ext cx="0" cy="323850"/>
          </a:xfrm>
          <a:prstGeom prst="line">
            <a:avLst/>
          </a:prstGeom>
          <a:ln w="9525">
            <a:solidFill>
              <a:schemeClr val="accent6">
                <a:lumMod val="75000"/>
              </a:schemeClr>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945" name="Straight Connector 944">
            <a:extLst>
              <a:ext uri="{FF2B5EF4-FFF2-40B4-BE49-F238E27FC236}">
                <a16:creationId xmlns:a16="http://schemas.microsoft.com/office/drawing/2014/main" id="{A28D0362-7F75-71A2-9F41-B3D819C64C50}"/>
              </a:ext>
            </a:extLst>
          </xdr:cNvPr>
          <xdr:cNvCxnSpPr/>
        </xdr:nvCxnSpPr>
        <xdr:spPr>
          <a:xfrm>
            <a:off x="6896100" y="38028560"/>
            <a:ext cx="0" cy="323850"/>
          </a:xfrm>
          <a:prstGeom prst="line">
            <a:avLst/>
          </a:prstGeom>
          <a:ln w="9525">
            <a:solidFill>
              <a:schemeClr val="accent6">
                <a:lumMod val="75000"/>
              </a:schemeClr>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946" name="Straight Connector 945">
            <a:extLst>
              <a:ext uri="{FF2B5EF4-FFF2-40B4-BE49-F238E27FC236}">
                <a16:creationId xmlns:a16="http://schemas.microsoft.com/office/drawing/2014/main" id="{851B2478-86C5-1105-05BD-2DA002C42478}"/>
              </a:ext>
            </a:extLst>
          </xdr:cNvPr>
          <xdr:cNvCxnSpPr/>
        </xdr:nvCxnSpPr>
        <xdr:spPr>
          <a:xfrm>
            <a:off x="5586410" y="36518851"/>
            <a:ext cx="347663"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947" name="Straight Connector 946">
            <a:extLst>
              <a:ext uri="{FF2B5EF4-FFF2-40B4-BE49-F238E27FC236}">
                <a16:creationId xmlns:a16="http://schemas.microsoft.com/office/drawing/2014/main" id="{34CFBDE8-90FE-9064-C9CE-6696F63674D7}"/>
              </a:ext>
            </a:extLst>
          </xdr:cNvPr>
          <xdr:cNvCxnSpPr/>
        </xdr:nvCxnSpPr>
        <xdr:spPr>
          <a:xfrm>
            <a:off x="5667375" y="36452175"/>
            <a:ext cx="0" cy="184785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948" name="Straight Connector 947">
            <a:extLst>
              <a:ext uri="{FF2B5EF4-FFF2-40B4-BE49-F238E27FC236}">
                <a16:creationId xmlns:a16="http://schemas.microsoft.com/office/drawing/2014/main" id="{C95AC62C-8A51-D1EB-492E-0ABFC2C30AF2}"/>
              </a:ext>
            </a:extLst>
          </xdr:cNvPr>
          <xdr:cNvCxnSpPr/>
        </xdr:nvCxnSpPr>
        <xdr:spPr>
          <a:xfrm flipH="1">
            <a:off x="5634043" y="36485511"/>
            <a:ext cx="66675" cy="666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949" name="Straight Connector 948">
            <a:extLst>
              <a:ext uri="{FF2B5EF4-FFF2-40B4-BE49-F238E27FC236}">
                <a16:creationId xmlns:a16="http://schemas.microsoft.com/office/drawing/2014/main" id="{E4772BD1-A145-A0BA-C679-B26D7A547A04}"/>
              </a:ext>
            </a:extLst>
          </xdr:cNvPr>
          <xdr:cNvCxnSpPr/>
        </xdr:nvCxnSpPr>
        <xdr:spPr>
          <a:xfrm>
            <a:off x="5586410" y="37090351"/>
            <a:ext cx="347663"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950" name="Straight Connector 949">
            <a:extLst>
              <a:ext uri="{FF2B5EF4-FFF2-40B4-BE49-F238E27FC236}">
                <a16:creationId xmlns:a16="http://schemas.microsoft.com/office/drawing/2014/main" id="{5322F712-7E84-6654-CEF7-37685D1FB1E7}"/>
              </a:ext>
            </a:extLst>
          </xdr:cNvPr>
          <xdr:cNvCxnSpPr/>
        </xdr:nvCxnSpPr>
        <xdr:spPr>
          <a:xfrm flipH="1">
            <a:off x="5634043" y="37057011"/>
            <a:ext cx="66675" cy="666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951" name="Straight Connector 950">
            <a:extLst>
              <a:ext uri="{FF2B5EF4-FFF2-40B4-BE49-F238E27FC236}">
                <a16:creationId xmlns:a16="http://schemas.microsoft.com/office/drawing/2014/main" id="{21C21C18-4639-F8E6-1474-352CDCC112A6}"/>
              </a:ext>
            </a:extLst>
          </xdr:cNvPr>
          <xdr:cNvCxnSpPr/>
        </xdr:nvCxnSpPr>
        <xdr:spPr>
          <a:xfrm>
            <a:off x="5586410" y="37852356"/>
            <a:ext cx="347663"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952" name="Straight Connector 951">
            <a:extLst>
              <a:ext uri="{FF2B5EF4-FFF2-40B4-BE49-F238E27FC236}">
                <a16:creationId xmlns:a16="http://schemas.microsoft.com/office/drawing/2014/main" id="{EE5B2417-1060-F418-FB6D-355CD9333264}"/>
              </a:ext>
            </a:extLst>
          </xdr:cNvPr>
          <xdr:cNvCxnSpPr/>
        </xdr:nvCxnSpPr>
        <xdr:spPr>
          <a:xfrm flipH="1">
            <a:off x="5634043" y="37819016"/>
            <a:ext cx="66675" cy="666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953" name="Straight Connector 952">
            <a:extLst>
              <a:ext uri="{FF2B5EF4-FFF2-40B4-BE49-F238E27FC236}">
                <a16:creationId xmlns:a16="http://schemas.microsoft.com/office/drawing/2014/main" id="{54E474CE-F05D-16A4-ED24-276BF594E214}"/>
              </a:ext>
            </a:extLst>
          </xdr:cNvPr>
          <xdr:cNvCxnSpPr/>
        </xdr:nvCxnSpPr>
        <xdr:spPr>
          <a:xfrm>
            <a:off x="5586410" y="37471346"/>
            <a:ext cx="347663"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954" name="Straight Connector 953">
            <a:extLst>
              <a:ext uri="{FF2B5EF4-FFF2-40B4-BE49-F238E27FC236}">
                <a16:creationId xmlns:a16="http://schemas.microsoft.com/office/drawing/2014/main" id="{EE04A5AB-BFEC-79BC-59CA-679ACB553757}"/>
              </a:ext>
            </a:extLst>
          </xdr:cNvPr>
          <xdr:cNvCxnSpPr/>
        </xdr:nvCxnSpPr>
        <xdr:spPr>
          <a:xfrm flipH="1">
            <a:off x="5634043" y="37438006"/>
            <a:ext cx="66675" cy="666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955" name="Straight Connector 954">
            <a:extLst>
              <a:ext uri="{FF2B5EF4-FFF2-40B4-BE49-F238E27FC236}">
                <a16:creationId xmlns:a16="http://schemas.microsoft.com/office/drawing/2014/main" id="{44C12A9B-E802-32B1-A90D-ADC90F5D88A4}"/>
              </a:ext>
            </a:extLst>
          </xdr:cNvPr>
          <xdr:cNvCxnSpPr/>
        </xdr:nvCxnSpPr>
        <xdr:spPr>
          <a:xfrm>
            <a:off x="5586410" y="38233351"/>
            <a:ext cx="347663"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956" name="Straight Connector 955">
            <a:extLst>
              <a:ext uri="{FF2B5EF4-FFF2-40B4-BE49-F238E27FC236}">
                <a16:creationId xmlns:a16="http://schemas.microsoft.com/office/drawing/2014/main" id="{9685A55B-E52F-B264-0AFF-A3A4052C09CB}"/>
              </a:ext>
            </a:extLst>
          </xdr:cNvPr>
          <xdr:cNvCxnSpPr/>
        </xdr:nvCxnSpPr>
        <xdr:spPr>
          <a:xfrm flipH="1">
            <a:off x="5634043" y="38200011"/>
            <a:ext cx="66675" cy="666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957" name="Straight Connector 956">
            <a:extLst>
              <a:ext uri="{FF2B5EF4-FFF2-40B4-BE49-F238E27FC236}">
                <a16:creationId xmlns:a16="http://schemas.microsoft.com/office/drawing/2014/main" id="{95BF07DC-1EAC-F6E0-36FD-3AEDAF302FAB}"/>
              </a:ext>
            </a:extLst>
          </xdr:cNvPr>
          <xdr:cNvCxnSpPr/>
        </xdr:nvCxnSpPr>
        <xdr:spPr>
          <a:xfrm flipV="1">
            <a:off x="9401175" y="36385500"/>
            <a:ext cx="409575" cy="704850"/>
          </a:xfrm>
          <a:prstGeom prst="line">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958" name="Straight Connector 957">
            <a:extLst>
              <a:ext uri="{FF2B5EF4-FFF2-40B4-BE49-F238E27FC236}">
                <a16:creationId xmlns:a16="http://schemas.microsoft.com/office/drawing/2014/main" id="{62452FE2-F231-C366-7BD8-8CF60F403BE3}"/>
              </a:ext>
            </a:extLst>
          </xdr:cNvPr>
          <xdr:cNvCxnSpPr/>
        </xdr:nvCxnSpPr>
        <xdr:spPr>
          <a:xfrm flipH="1" flipV="1">
            <a:off x="9372600" y="37842825"/>
            <a:ext cx="209550" cy="1095375"/>
          </a:xfrm>
          <a:prstGeom prst="line">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959" name="Straight Connector 958">
            <a:extLst>
              <a:ext uri="{FF2B5EF4-FFF2-40B4-BE49-F238E27FC236}">
                <a16:creationId xmlns:a16="http://schemas.microsoft.com/office/drawing/2014/main" id="{30CDCA68-A3A7-D0EF-9BE6-B96C941D3E18}"/>
              </a:ext>
            </a:extLst>
          </xdr:cNvPr>
          <xdr:cNvCxnSpPr/>
        </xdr:nvCxnSpPr>
        <xdr:spPr>
          <a:xfrm flipV="1">
            <a:off x="9582150" y="37480875"/>
            <a:ext cx="19050" cy="1447800"/>
          </a:xfrm>
          <a:prstGeom prst="line">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960" name="Straight Connector 959">
            <a:extLst>
              <a:ext uri="{FF2B5EF4-FFF2-40B4-BE49-F238E27FC236}">
                <a16:creationId xmlns:a16="http://schemas.microsoft.com/office/drawing/2014/main" id="{33B74457-D726-D543-19AC-D5A41B0E5543}"/>
              </a:ext>
            </a:extLst>
          </xdr:cNvPr>
          <xdr:cNvCxnSpPr/>
        </xdr:nvCxnSpPr>
        <xdr:spPr>
          <a:xfrm flipV="1">
            <a:off x="10372725" y="37623750"/>
            <a:ext cx="300038" cy="323850"/>
          </a:xfrm>
          <a:prstGeom prst="line">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961" name="Straight Connector 960">
            <a:extLst>
              <a:ext uri="{FF2B5EF4-FFF2-40B4-BE49-F238E27FC236}">
                <a16:creationId xmlns:a16="http://schemas.microsoft.com/office/drawing/2014/main" id="{26E90AE2-3C49-C8F0-76AD-109645C86A2F}"/>
              </a:ext>
            </a:extLst>
          </xdr:cNvPr>
          <xdr:cNvCxnSpPr/>
        </xdr:nvCxnSpPr>
        <xdr:spPr>
          <a:xfrm>
            <a:off x="10320337" y="37585650"/>
            <a:ext cx="342901" cy="42863"/>
          </a:xfrm>
          <a:prstGeom prst="line">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962" name="Straight Connector 961">
            <a:extLst>
              <a:ext uri="{FF2B5EF4-FFF2-40B4-BE49-F238E27FC236}">
                <a16:creationId xmlns:a16="http://schemas.microsoft.com/office/drawing/2014/main" id="{EAC56FED-54AE-BCB7-DB87-15BC406EC666}"/>
              </a:ext>
            </a:extLst>
          </xdr:cNvPr>
          <xdr:cNvCxnSpPr/>
        </xdr:nvCxnSpPr>
        <xdr:spPr>
          <a:xfrm>
            <a:off x="10363199" y="37185600"/>
            <a:ext cx="309564" cy="447675"/>
          </a:xfrm>
          <a:prstGeom prst="line">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963" name="Straight Connector 962">
            <a:extLst>
              <a:ext uri="{FF2B5EF4-FFF2-40B4-BE49-F238E27FC236}">
                <a16:creationId xmlns:a16="http://schemas.microsoft.com/office/drawing/2014/main" id="{BA58CF7E-A83C-D09B-4F41-C5B180195F46}"/>
              </a:ext>
            </a:extLst>
          </xdr:cNvPr>
          <xdr:cNvCxnSpPr/>
        </xdr:nvCxnSpPr>
        <xdr:spPr>
          <a:xfrm flipV="1">
            <a:off x="10391775" y="36776025"/>
            <a:ext cx="309563" cy="252412"/>
          </a:xfrm>
          <a:prstGeom prst="line">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964" name="Straight Connector 963">
            <a:extLst>
              <a:ext uri="{FF2B5EF4-FFF2-40B4-BE49-F238E27FC236}">
                <a16:creationId xmlns:a16="http://schemas.microsoft.com/office/drawing/2014/main" id="{AE9D00A1-32E2-A3D0-CE57-531FE7EEED64}"/>
              </a:ext>
            </a:extLst>
          </xdr:cNvPr>
          <xdr:cNvCxnSpPr/>
        </xdr:nvCxnSpPr>
        <xdr:spPr>
          <a:xfrm>
            <a:off x="10358437" y="36590287"/>
            <a:ext cx="333376" cy="185738"/>
          </a:xfrm>
          <a:prstGeom prst="line">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965" name="Straight Connector 964">
            <a:extLst>
              <a:ext uri="{FF2B5EF4-FFF2-40B4-BE49-F238E27FC236}">
                <a16:creationId xmlns:a16="http://schemas.microsoft.com/office/drawing/2014/main" id="{37FCD34E-FE40-63F0-2ADB-FA94BEA43E14}"/>
              </a:ext>
            </a:extLst>
          </xdr:cNvPr>
          <xdr:cNvCxnSpPr/>
        </xdr:nvCxnSpPr>
        <xdr:spPr>
          <a:xfrm flipV="1">
            <a:off x="6638924" y="36810951"/>
            <a:ext cx="642937" cy="28098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66" name="Straight Connector 965">
            <a:extLst>
              <a:ext uri="{FF2B5EF4-FFF2-40B4-BE49-F238E27FC236}">
                <a16:creationId xmlns:a16="http://schemas.microsoft.com/office/drawing/2014/main" id="{E11F4581-B714-900B-562D-C96DA5915BC5}"/>
              </a:ext>
            </a:extLst>
          </xdr:cNvPr>
          <xdr:cNvCxnSpPr/>
        </xdr:nvCxnSpPr>
        <xdr:spPr>
          <a:xfrm>
            <a:off x="6642099" y="36809363"/>
            <a:ext cx="647700" cy="2857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67" name="Straight Connector 966">
            <a:extLst>
              <a:ext uri="{FF2B5EF4-FFF2-40B4-BE49-F238E27FC236}">
                <a16:creationId xmlns:a16="http://schemas.microsoft.com/office/drawing/2014/main" id="{6E2254C7-8FEC-4140-1993-36515517A17B}"/>
              </a:ext>
            </a:extLst>
          </xdr:cNvPr>
          <xdr:cNvCxnSpPr/>
        </xdr:nvCxnSpPr>
        <xdr:spPr>
          <a:xfrm flipV="1">
            <a:off x="7281861" y="36810951"/>
            <a:ext cx="642937" cy="28098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68" name="Straight Connector 967">
            <a:extLst>
              <a:ext uri="{FF2B5EF4-FFF2-40B4-BE49-F238E27FC236}">
                <a16:creationId xmlns:a16="http://schemas.microsoft.com/office/drawing/2014/main" id="{615C04D9-969F-9905-3F47-A3F39B139288}"/>
              </a:ext>
            </a:extLst>
          </xdr:cNvPr>
          <xdr:cNvCxnSpPr/>
        </xdr:nvCxnSpPr>
        <xdr:spPr>
          <a:xfrm>
            <a:off x="7285036" y="36809363"/>
            <a:ext cx="647700" cy="2857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69" name="Straight Connector 968">
            <a:extLst>
              <a:ext uri="{FF2B5EF4-FFF2-40B4-BE49-F238E27FC236}">
                <a16:creationId xmlns:a16="http://schemas.microsoft.com/office/drawing/2014/main" id="{F652FEEE-2A16-DE0F-0ADC-C21493BC3B23}"/>
              </a:ext>
            </a:extLst>
          </xdr:cNvPr>
          <xdr:cNvCxnSpPr/>
        </xdr:nvCxnSpPr>
        <xdr:spPr>
          <a:xfrm flipV="1">
            <a:off x="8582025" y="36810952"/>
            <a:ext cx="642937" cy="28098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70" name="Straight Connector 969">
            <a:extLst>
              <a:ext uri="{FF2B5EF4-FFF2-40B4-BE49-F238E27FC236}">
                <a16:creationId xmlns:a16="http://schemas.microsoft.com/office/drawing/2014/main" id="{A3DEEFEB-60F6-7222-5E9D-12BB75AD9CD5}"/>
              </a:ext>
            </a:extLst>
          </xdr:cNvPr>
          <xdr:cNvCxnSpPr/>
        </xdr:nvCxnSpPr>
        <xdr:spPr>
          <a:xfrm>
            <a:off x="8585200" y="36809364"/>
            <a:ext cx="647700" cy="2857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71" name="Straight Connector 970">
            <a:extLst>
              <a:ext uri="{FF2B5EF4-FFF2-40B4-BE49-F238E27FC236}">
                <a16:creationId xmlns:a16="http://schemas.microsoft.com/office/drawing/2014/main" id="{0F338007-DAF4-A247-9C7C-5673D6926926}"/>
              </a:ext>
            </a:extLst>
          </xdr:cNvPr>
          <xdr:cNvCxnSpPr/>
        </xdr:nvCxnSpPr>
        <xdr:spPr>
          <a:xfrm flipV="1">
            <a:off x="9229725" y="36810952"/>
            <a:ext cx="642937" cy="28098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72" name="Straight Connector 971">
            <a:extLst>
              <a:ext uri="{FF2B5EF4-FFF2-40B4-BE49-F238E27FC236}">
                <a16:creationId xmlns:a16="http://schemas.microsoft.com/office/drawing/2014/main" id="{B0B009B0-9539-1D43-67CE-81CC57A032C2}"/>
              </a:ext>
            </a:extLst>
          </xdr:cNvPr>
          <xdr:cNvCxnSpPr/>
        </xdr:nvCxnSpPr>
        <xdr:spPr>
          <a:xfrm>
            <a:off x="9232900" y="36809364"/>
            <a:ext cx="647700" cy="2857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nvGrpSpPr>
          <xdr:cNvPr id="1915" name="Group 1914">
            <a:extLst>
              <a:ext uri="{FF2B5EF4-FFF2-40B4-BE49-F238E27FC236}">
                <a16:creationId xmlns:a16="http://schemas.microsoft.com/office/drawing/2014/main" id="{4057C832-D470-4C55-A6E5-9AE38D1AADF8}"/>
              </a:ext>
            </a:extLst>
          </xdr:cNvPr>
          <xdr:cNvGrpSpPr/>
        </xdr:nvGrpSpPr>
        <xdr:grpSpPr>
          <a:xfrm>
            <a:off x="6638926" y="37595178"/>
            <a:ext cx="1295400" cy="1352550"/>
            <a:chOff x="6638925" y="2171700"/>
            <a:chExt cx="1295400" cy="1352550"/>
          </a:xfrm>
        </xdr:grpSpPr>
        <xdr:cxnSp macro="">
          <xdr:nvCxnSpPr>
            <xdr:cNvPr id="1916" name="Straight Connector 1915">
              <a:extLst>
                <a:ext uri="{FF2B5EF4-FFF2-40B4-BE49-F238E27FC236}">
                  <a16:creationId xmlns:a16="http://schemas.microsoft.com/office/drawing/2014/main" id="{6D136A74-9535-66B4-3973-ACA052F475C5}"/>
                </a:ext>
              </a:extLst>
            </xdr:cNvPr>
            <xdr:cNvCxnSpPr/>
          </xdr:nvCxnSpPr>
          <xdr:spPr>
            <a:xfrm flipH="1" flipV="1">
              <a:off x="6638925" y="2171700"/>
              <a:ext cx="247650" cy="1352550"/>
            </a:xfrm>
            <a:prstGeom prst="line">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917" name="Straight Connector 1916">
              <a:extLst>
                <a:ext uri="{FF2B5EF4-FFF2-40B4-BE49-F238E27FC236}">
                  <a16:creationId xmlns:a16="http://schemas.microsoft.com/office/drawing/2014/main" id="{BFB7765C-B141-3871-AEAC-292B8AFAA802}"/>
                </a:ext>
              </a:extLst>
            </xdr:cNvPr>
            <xdr:cNvCxnSpPr/>
          </xdr:nvCxnSpPr>
          <xdr:spPr>
            <a:xfrm flipV="1">
              <a:off x="6886575" y="2200275"/>
              <a:ext cx="400050" cy="1323975"/>
            </a:xfrm>
            <a:prstGeom prst="line">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918" name="Straight Connector 1917">
              <a:extLst>
                <a:ext uri="{FF2B5EF4-FFF2-40B4-BE49-F238E27FC236}">
                  <a16:creationId xmlns:a16="http://schemas.microsoft.com/office/drawing/2014/main" id="{8418532B-FC5A-0729-D135-40652784F4C4}"/>
                </a:ext>
              </a:extLst>
            </xdr:cNvPr>
            <xdr:cNvCxnSpPr/>
          </xdr:nvCxnSpPr>
          <xdr:spPr>
            <a:xfrm flipV="1">
              <a:off x="6886575" y="2247900"/>
              <a:ext cx="1047750" cy="1276350"/>
            </a:xfrm>
            <a:prstGeom prst="line">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36</xdr:col>
      <xdr:colOff>80960</xdr:colOff>
      <xdr:row>769</xdr:row>
      <xdr:rowOff>9525</xdr:rowOff>
    </xdr:from>
    <xdr:to>
      <xdr:col>68</xdr:col>
      <xdr:colOff>14288</xdr:colOff>
      <xdr:row>787</xdr:row>
      <xdr:rowOff>3</xdr:rowOff>
    </xdr:to>
    <xdr:grpSp>
      <xdr:nvGrpSpPr>
        <xdr:cNvPr id="1923" name="Group 1922">
          <a:extLst>
            <a:ext uri="{FF2B5EF4-FFF2-40B4-BE49-F238E27FC236}">
              <a16:creationId xmlns:a16="http://schemas.microsoft.com/office/drawing/2014/main" id="{8E7A25D5-D600-A31A-2B33-AA3E34C4B117}"/>
            </a:ext>
          </a:extLst>
        </xdr:cNvPr>
        <xdr:cNvGrpSpPr/>
      </xdr:nvGrpSpPr>
      <xdr:grpSpPr>
        <a:xfrm>
          <a:off x="5910260" y="112061625"/>
          <a:ext cx="5114928" cy="2562228"/>
          <a:chOff x="5910260" y="54825900"/>
          <a:chExt cx="5114928" cy="2562228"/>
        </a:xfrm>
      </xdr:grpSpPr>
      <xdr:sp macro="" textlink="">
        <xdr:nvSpPr>
          <xdr:cNvPr id="1124" name="Rectangle 1123">
            <a:extLst>
              <a:ext uri="{FF2B5EF4-FFF2-40B4-BE49-F238E27FC236}">
                <a16:creationId xmlns:a16="http://schemas.microsoft.com/office/drawing/2014/main" id="{4E60A375-A812-909C-7993-CAC420CFD7FA}"/>
              </a:ext>
            </a:extLst>
          </xdr:cNvPr>
          <xdr:cNvSpPr/>
        </xdr:nvSpPr>
        <xdr:spPr>
          <a:xfrm>
            <a:off x="6315074" y="54959251"/>
            <a:ext cx="4533901" cy="1714500"/>
          </a:xfrm>
          <a:prstGeom prst="rect">
            <a:avLst/>
          </a:prstGeom>
          <a:solidFill>
            <a:schemeClr val="bg1">
              <a:lumMod val="95000"/>
            </a:schemeClr>
          </a:solidFill>
          <a:ln w="63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kern="1200"/>
          </a:p>
        </xdr:txBody>
      </xdr:sp>
      <xdr:cxnSp macro="">
        <xdr:nvCxnSpPr>
          <xdr:cNvPr id="1125" name="Straight Connector 1124">
            <a:extLst>
              <a:ext uri="{FF2B5EF4-FFF2-40B4-BE49-F238E27FC236}">
                <a16:creationId xmlns:a16="http://schemas.microsoft.com/office/drawing/2014/main" id="{20BC5B38-CBBE-70DB-A40A-5C6C186D0A27}"/>
              </a:ext>
            </a:extLst>
          </xdr:cNvPr>
          <xdr:cNvCxnSpPr/>
        </xdr:nvCxnSpPr>
        <xdr:spPr>
          <a:xfrm flipH="1">
            <a:off x="6315074" y="55906995"/>
            <a:ext cx="453390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126" name="Straight Connector 1125">
            <a:extLst>
              <a:ext uri="{FF2B5EF4-FFF2-40B4-BE49-F238E27FC236}">
                <a16:creationId xmlns:a16="http://schemas.microsoft.com/office/drawing/2014/main" id="{1AE39EDA-1C3F-BF79-C0EC-D9A4DCFBEF71}"/>
              </a:ext>
            </a:extLst>
          </xdr:cNvPr>
          <xdr:cNvCxnSpPr/>
        </xdr:nvCxnSpPr>
        <xdr:spPr>
          <a:xfrm flipH="1">
            <a:off x="6313488" y="55530750"/>
            <a:ext cx="453548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127" name="Straight Connector 1126">
            <a:extLst>
              <a:ext uri="{FF2B5EF4-FFF2-40B4-BE49-F238E27FC236}">
                <a16:creationId xmlns:a16="http://schemas.microsoft.com/office/drawing/2014/main" id="{88ECB7AB-A5DF-9C1E-E8E8-93C021CA4ED9}"/>
              </a:ext>
            </a:extLst>
          </xdr:cNvPr>
          <xdr:cNvCxnSpPr/>
        </xdr:nvCxnSpPr>
        <xdr:spPr>
          <a:xfrm flipH="1">
            <a:off x="6315075" y="55387878"/>
            <a:ext cx="452913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128" name="Straight Connector 1127">
            <a:extLst>
              <a:ext uri="{FF2B5EF4-FFF2-40B4-BE49-F238E27FC236}">
                <a16:creationId xmlns:a16="http://schemas.microsoft.com/office/drawing/2014/main" id="{93E12365-84F3-7922-682C-CE4116B51161}"/>
              </a:ext>
            </a:extLst>
          </xdr:cNvPr>
          <xdr:cNvCxnSpPr/>
        </xdr:nvCxnSpPr>
        <xdr:spPr>
          <a:xfrm flipH="1">
            <a:off x="6315075" y="55245003"/>
            <a:ext cx="45243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129" name="Straight Connector 1128">
            <a:extLst>
              <a:ext uri="{FF2B5EF4-FFF2-40B4-BE49-F238E27FC236}">
                <a16:creationId xmlns:a16="http://schemas.microsoft.com/office/drawing/2014/main" id="{2F7DC3EB-CFB2-67FA-93EB-1DE725C0BA5A}"/>
              </a:ext>
            </a:extLst>
          </xdr:cNvPr>
          <xdr:cNvCxnSpPr/>
        </xdr:nvCxnSpPr>
        <xdr:spPr>
          <a:xfrm flipH="1">
            <a:off x="6315076" y="55102127"/>
            <a:ext cx="4533899"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130" name="Straight Connector 1129">
            <a:extLst>
              <a:ext uri="{FF2B5EF4-FFF2-40B4-BE49-F238E27FC236}">
                <a16:creationId xmlns:a16="http://schemas.microsoft.com/office/drawing/2014/main" id="{FAF63E07-7332-0A9C-8029-8CC1AB2BF35B}"/>
              </a:ext>
            </a:extLst>
          </xdr:cNvPr>
          <xdr:cNvCxnSpPr/>
        </xdr:nvCxnSpPr>
        <xdr:spPr>
          <a:xfrm>
            <a:off x="6962784" y="54959250"/>
            <a:ext cx="0" cy="17145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131" name="Straight Connector 1130">
            <a:extLst>
              <a:ext uri="{FF2B5EF4-FFF2-40B4-BE49-F238E27FC236}">
                <a16:creationId xmlns:a16="http://schemas.microsoft.com/office/drawing/2014/main" id="{DA95DD45-1D8B-E72A-9538-A897B36385E4}"/>
              </a:ext>
            </a:extLst>
          </xdr:cNvPr>
          <xdr:cNvCxnSpPr/>
        </xdr:nvCxnSpPr>
        <xdr:spPr>
          <a:xfrm flipV="1">
            <a:off x="6316663" y="55246588"/>
            <a:ext cx="642937" cy="28098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132" name="Straight Connector 1131">
            <a:extLst>
              <a:ext uri="{FF2B5EF4-FFF2-40B4-BE49-F238E27FC236}">
                <a16:creationId xmlns:a16="http://schemas.microsoft.com/office/drawing/2014/main" id="{E7BAB05C-977B-1149-0EC8-5BC74C21F8CD}"/>
              </a:ext>
            </a:extLst>
          </xdr:cNvPr>
          <xdr:cNvCxnSpPr/>
        </xdr:nvCxnSpPr>
        <xdr:spPr>
          <a:xfrm>
            <a:off x="6319838" y="55245000"/>
            <a:ext cx="647700" cy="2857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133" name="Straight Connector 1132">
            <a:extLst>
              <a:ext uri="{FF2B5EF4-FFF2-40B4-BE49-F238E27FC236}">
                <a16:creationId xmlns:a16="http://schemas.microsoft.com/office/drawing/2014/main" id="{0BF6BDC9-DAFD-DC83-2A09-7E6A18A19A59}"/>
              </a:ext>
            </a:extLst>
          </xdr:cNvPr>
          <xdr:cNvCxnSpPr/>
        </xdr:nvCxnSpPr>
        <xdr:spPr>
          <a:xfrm flipV="1">
            <a:off x="6316663" y="54957663"/>
            <a:ext cx="642937" cy="28098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134" name="Straight Connector 1133">
            <a:extLst>
              <a:ext uri="{FF2B5EF4-FFF2-40B4-BE49-F238E27FC236}">
                <a16:creationId xmlns:a16="http://schemas.microsoft.com/office/drawing/2014/main" id="{EEA77150-4276-BAD7-ABB8-2165721DA339}"/>
              </a:ext>
            </a:extLst>
          </xdr:cNvPr>
          <xdr:cNvCxnSpPr/>
        </xdr:nvCxnSpPr>
        <xdr:spPr>
          <a:xfrm>
            <a:off x="6319838" y="54959250"/>
            <a:ext cx="647700" cy="2857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135" name="Straight Connector 1134">
            <a:extLst>
              <a:ext uri="{FF2B5EF4-FFF2-40B4-BE49-F238E27FC236}">
                <a16:creationId xmlns:a16="http://schemas.microsoft.com/office/drawing/2014/main" id="{E50EA6BC-3EAC-2DB6-11AF-0C43BF60B1DD}"/>
              </a:ext>
            </a:extLst>
          </xdr:cNvPr>
          <xdr:cNvCxnSpPr/>
        </xdr:nvCxnSpPr>
        <xdr:spPr>
          <a:xfrm flipH="1">
            <a:off x="6315075" y="56291170"/>
            <a:ext cx="453866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136" name="Straight Connector 1135">
            <a:extLst>
              <a:ext uri="{FF2B5EF4-FFF2-40B4-BE49-F238E27FC236}">
                <a16:creationId xmlns:a16="http://schemas.microsoft.com/office/drawing/2014/main" id="{FB05D058-D52C-9C26-D1C6-E956F217311D}"/>
              </a:ext>
            </a:extLst>
          </xdr:cNvPr>
          <xdr:cNvCxnSpPr/>
        </xdr:nvCxnSpPr>
        <xdr:spPr>
          <a:xfrm flipV="1">
            <a:off x="6315075" y="56292750"/>
            <a:ext cx="654050" cy="37941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137" name="Straight Connector 1136">
            <a:extLst>
              <a:ext uri="{FF2B5EF4-FFF2-40B4-BE49-F238E27FC236}">
                <a16:creationId xmlns:a16="http://schemas.microsoft.com/office/drawing/2014/main" id="{C6AFC662-AAD0-BCE0-F9CE-F7A2BB600041}"/>
              </a:ext>
            </a:extLst>
          </xdr:cNvPr>
          <xdr:cNvCxnSpPr/>
        </xdr:nvCxnSpPr>
        <xdr:spPr>
          <a:xfrm>
            <a:off x="6311900" y="56292750"/>
            <a:ext cx="649287" cy="38100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138" name="Straight Connector 1137">
            <a:extLst>
              <a:ext uri="{FF2B5EF4-FFF2-40B4-BE49-F238E27FC236}">
                <a16:creationId xmlns:a16="http://schemas.microsoft.com/office/drawing/2014/main" id="{06826676-E1E7-2A63-FEE0-4525BF88522F}"/>
              </a:ext>
            </a:extLst>
          </xdr:cNvPr>
          <xdr:cNvCxnSpPr/>
        </xdr:nvCxnSpPr>
        <xdr:spPr>
          <a:xfrm flipV="1">
            <a:off x="6315075" y="55902225"/>
            <a:ext cx="647700" cy="38576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139" name="Straight Connector 1138">
            <a:extLst>
              <a:ext uri="{FF2B5EF4-FFF2-40B4-BE49-F238E27FC236}">
                <a16:creationId xmlns:a16="http://schemas.microsoft.com/office/drawing/2014/main" id="{A782419A-B0ED-4AF7-E3EB-F3D8576424D6}"/>
              </a:ext>
            </a:extLst>
          </xdr:cNvPr>
          <xdr:cNvCxnSpPr/>
        </xdr:nvCxnSpPr>
        <xdr:spPr>
          <a:xfrm>
            <a:off x="6318071" y="55908575"/>
            <a:ext cx="643116" cy="38100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140" name="Straight Connector 1139">
            <a:extLst>
              <a:ext uri="{FF2B5EF4-FFF2-40B4-BE49-F238E27FC236}">
                <a16:creationId xmlns:a16="http://schemas.microsoft.com/office/drawing/2014/main" id="{8B823E80-73C8-61F8-4BD7-E0904F3DE0E0}"/>
              </a:ext>
            </a:extLst>
          </xdr:cNvPr>
          <xdr:cNvCxnSpPr/>
        </xdr:nvCxnSpPr>
        <xdr:spPr>
          <a:xfrm flipV="1">
            <a:off x="6318250" y="55533925"/>
            <a:ext cx="644525" cy="37306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141" name="Straight Connector 1140">
            <a:extLst>
              <a:ext uri="{FF2B5EF4-FFF2-40B4-BE49-F238E27FC236}">
                <a16:creationId xmlns:a16="http://schemas.microsoft.com/office/drawing/2014/main" id="{2CD426A5-82B6-190D-D45F-19D4D1B4F40A}"/>
              </a:ext>
            </a:extLst>
          </xdr:cNvPr>
          <xdr:cNvCxnSpPr/>
        </xdr:nvCxnSpPr>
        <xdr:spPr>
          <a:xfrm>
            <a:off x="6311900" y="55533925"/>
            <a:ext cx="652462" cy="37465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142" name="Straight Connector 1141">
            <a:extLst>
              <a:ext uri="{FF2B5EF4-FFF2-40B4-BE49-F238E27FC236}">
                <a16:creationId xmlns:a16="http://schemas.microsoft.com/office/drawing/2014/main" id="{C11F34AB-0255-0937-5AF5-E67F87775B63}"/>
              </a:ext>
            </a:extLst>
          </xdr:cNvPr>
          <xdr:cNvCxnSpPr/>
        </xdr:nvCxnSpPr>
        <xdr:spPr>
          <a:xfrm flipV="1">
            <a:off x="8259771" y="55246588"/>
            <a:ext cx="642937" cy="28098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143" name="Straight Connector 1142">
            <a:extLst>
              <a:ext uri="{FF2B5EF4-FFF2-40B4-BE49-F238E27FC236}">
                <a16:creationId xmlns:a16="http://schemas.microsoft.com/office/drawing/2014/main" id="{BC97DA8F-EE33-B2FD-1671-BFF0DE621B1C}"/>
              </a:ext>
            </a:extLst>
          </xdr:cNvPr>
          <xdr:cNvCxnSpPr/>
        </xdr:nvCxnSpPr>
        <xdr:spPr>
          <a:xfrm>
            <a:off x="8262946" y="55245000"/>
            <a:ext cx="647700" cy="2857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144" name="Straight Connector 1143">
            <a:extLst>
              <a:ext uri="{FF2B5EF4-FFF2-40B4-BE49-F238E27FC236}">
                <a16:creationId xmlns:a16="http://schemas.microsoft.com/office/drawing/2014/main" id="{9CDD5341-9448-9F37-9670-F98B92C528DD}"/>
              </a:ext>
            </a:extLst>
          </xdr:cNvPr>
          <xdr:cNvCxnSpPr/>
        </xdr:nvCxnSpPr>
        <xdr:spPr>
          <a:xfrm flipV="1">
            <a:off x="8259771" y="54957663"/>
            <a:ext cx="642937" cy="28098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145" name="Straight Connector 1144">
            <a:extLst>
              <a:ext uri="{FF2B5EF4-FFF2-40B4-BE49-F238E27FC236}">
                <a16:creationId xmlns:a16="http://schemas.microsoft.com/office/drawing/2014/main" id="{A9D447C0-69A6-681E-E136-AE47DC5A90C0}"/>
              </a:ext>
            </a:extLst>
          </xdr:cNvPr>
          <xdr:cNvCxnSpPr/>
        </xdr:nvCxnSpPr>
        <xdr:spPr>
          <a:xfrm>
            <a:off x="8262946" y="54959250"/>
            <a:ext cx="647700" cy="2857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146" name="Straight Connector 1145">
            <a:extLst>
              <a:ext uri="{FF2B5EF4-FFF2-40B4-BE49-F238E27FC236}">
                <a16:creationId xmlns:a16="http://schemas.microsoft.com/office/drawing/2014/main" id="{8B4FA54C-40A3-5C80-6E01-635D2F7D350D}"/>
              </a:ext>
            </a:extLst>
          </xdr:cNvPr>
          <xdr:cNvCxnSpPr/>
        </xdr:nvCxnSpPr>
        <xdr:spPr>
          <a:xfrm flipV="1">
            <a:off x="8258183" y="56292750"/>
            <a:ext cx="654050" cy="37941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147" name="Straight Connector 1146">
            <a:extLst>
              <a:ext uri="{FF2B5EF4-FFF2-40B4-BE49-F238E27FC236}">
                <a16:creationId xmlns:a16="http://schemas.microsoft.com/office/drawing/2014/main" id="{2180BEA6-2E7A-C8CB-51EB-066ABB256856}"/>
              </a:ext>
            </a:extLst>
          </xdr:cNvPr>
          <xdr:cNvCxnSpPr/>
        </xdr:nvCxnSpPr>
        <xdr:spPr>
          <a:xfrm>
            <a:off x="8255008" y="56292750"/>
            <a:ext cx="649287" cy="38100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148" name="Straight Connector 1147">
            <a:extLst>
              <a:ext uri="{FF2B5EF4-FFF2-40B4-BE49-F238E27FC236}">
                <a16:creationId xmlns:a16="http://schemas.microsoft.com/office/drawing/2014/main" id="{CC0269BB-4E87-5446-10B7-FEC47E2AAA7C}"/>
              </a:ext>
            </a:extLst>
          </xdr:cNvPr>
          <xdr:cNvCxnSpPr/>
        </xdr:nvCxnSpPr>
        <xdr:spPr>
          <a:xfrm flipV="1">
            <a:off x="8258183" y="55902225"/>
            <a:ext cx="647700" cy="38576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149" name="Straight Connector 1148">
            <a:extLst>
              <a:ext uri="{FF2B5EF4-FFF2-40B4-BE49-F238E27FC236}">
                <a16:creationId xmlns:a16="http://schemas.microsoft.com/office/drawing/2014/main" id="{4BD4644F-2107-FFF1-A4CB-BA3009F8AE6B}"/>
              </a:ext>
            </a:extLst>
          </xdr:cNvPr>
          <xdr:cNvCxnSpPr/>
        </xdr:nvCxnSpPr>
        <xdr:spPr>
          <a:xfrm>
            <a:off x="8261179" y="55908575"/>
            <a:ext cx="643116" cy="38100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150" name="Straight Connector 1149">
            <a:extLst>
              <a:ext uri="{FF2B5EF4-FFF2-40B4-BE49-F238E27FC236}">
                <a16:creationId xmlns:a16="http://schemas.microsoft.com/office/drawing/2014/main" id="{B1D818BA-0B71-5D8A-3997-1446AA0793E6}"/>
              </a:ext>
            </a:extLst>
          </xdr:cNvPr>
          <xdr:cNvCxnSpPr/>
        </xdr:nvCxnSpPr>
        <xdr:spPr>
          <a:xfrm flipV="1">
            <a:off x="8261358" y="55533925"/>
            <a:ext cx="644525" cy="37306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151" name="Straight Connector 1150">
            <a:extLst>
              <a:ext uri="{FF2B5EF4-FFF2-40B4-BE49-F238E27FC236}">
                <a16:creationId xmlns:a16="http://schemas.microsoft.com/office/drawing/2014/main" id="{957F6EBD-EB66-B4CD-0A1D-D07AD894D936}"/>
              </a:ext>
            </a:extLst>
          </xdr:cNvPr>
          <xdr:cNvCxnSpPr/>
        </xdr:nvCxnSpPr>
        <xdr:spPr>
          <a:xfrm>
            <a:off x="8255008" y="55533925"/>
            <a:ext cx="652462" cy="37465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152" name="Straight Connector 1151">
            <a:extLst>
              <a:ext uri="{FF2B5EF4-FFF2-40B4-BE49-F238E27FC236}">
                <a16:creationId xmlns:a16="http://schemas.microsoft.com/office/drawing/2014/main" id="{F3C079FC-1744-908E-832B-6C0B2F9BAE55}"/>
              </a:ext>
            </a:extLst>
          </xdr:cNvPr>
          <xdr:cNvCxnSpPr/>
        </xdr:nvCxnSpPr>
        <xdr:spPr>
          <a:xfrm flipV="1">
            <a:off x="10202863" y="55246588"/>
            <a:ext cx="642937" cy="28098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153" name="Straight Connector 1152">
            <a:extLst>
              <a:ext uri="{FF2B5EF4-FFF2-40B4-BE49-F238E27FC236}">
                <a16:creationId xmlns:a16="http://schemas.microsoft.com/office/drawing/2014/main" id="{DAB77095-E7A0-43B3-5B86-2DD632B50337}"/>
              </a:ext>
            </a:extLst>
          </xdr:cNvPr>
          <xdr:cNvCxnSpPr/>
        </xdr:nvCxnSpPr>
        <xdr:spPr>
          <a:xfrm>
            <a:off x="10206038" y="55245000"/>
            <a:ext cx="647700" cy="2857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154" name="Straight Connector 1153">
            <a:extLst>
              <a:ext uri="{FF2B5EF4-FFF2-40B4-BE49-F238E27FC236}">
                <a16:creationId xmlns:a16="http://schemas.microsoft.com/office/drawing/2014/main" id="{C8A5C158-7DB6-ABDB-FC5A-C38FDECE323E}"/>
              </a:ext>
            </a:extLst>
          </xdr:cNvPr>
          <xdr:cNvCxnSpPr/>
        </xdr:nvCxnSpPr>
        <xdr:spPr>
          <a:xfrm flipV="1">
            <a:off x="10202863" y="54957663"/>
            <a:ext cx="642937" cy="28098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155" name="Straight Connector 1154">
            <a:extLst>
              <a:ext uri="{FF2B5EF4-FFF2-40B4-BE49-F238E27FC236}">
                <a16:creationId xmlns:a16="http://schemas.microsoft.com/office/drawing/2014/main" id="{4905916D-482B-4E9E-7C98-F2D2690EDDB1}"/>
              </a:ext>
            </a:extLst>
          </xdr:cNvPr>
          <xdr:cNvCxnSpPr/>
        </xdr:nvCxnSpPr>
        <xdr:spPr>
          <a:xfrm>
            <a:off x="10206038" y="54959250"/>
            <a:ext cx="647700" cy="2857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156" name="Straight Connector 1155">
            <a:extLst>
              <a:ext uri="{FF2B5EF4-FFF2-40B4-BE49-F238E27FC236}">
                <a16:creationId xmlns:a16="http://schemas.microsoft.com/office/drawing/2014/main" id="{65516474-E06E-9A5B-D4F2-7124DE0418C8}"/>
              </a:ext>
            </a:extLst>
          </xdr:cNvPr>
          <xdr:cNvCxnSpPr/>
        </xdr:nvCxnSpPr>
        <xdr:spPr>
          <a:xfrm flipV="1">
            <a:off x="10201275" y="56292750"/>
            <a:ext cx="654050" cy="37941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157" name="Straight Connector 1156">
            <a:extLst>
              <a:ext uri="{FF2B5EF4-FFF2-40B4-BE49-F238E27FC236}">
                <a16:creationId xmlns:a16="http://schemas.microsoft.com/office/drawing/2014/main" id="{A8BA28DB-D9F3-D9C4-BBEF-C19B6C28D3E6}"/>
              </a:ext>
            </a:extLst>
          </xdr:cNvPr>
          <xdr:cNvCxnSpPr/>
        </xdr:nvCxnSpPr>
        <xdr:spPr>
          <a:xfrm>
            <a:off x="10198100" y="56292750"/>
            <a:ext cx="649287" cy="38100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158" name="Straight Connector 1157">
            <a:extLst>
              <a:ext uri="{FF2B5EF4-FFF2-40B4-BE49-F238E27FC236}">
                <a16:creationId xmlns:a16="http://schemas.microsoft.com/office/drawing/2014/main" id="{B178D756-35C6-AE1B-D032-B68E96587068}"/>
              </a:ext>
            </a:extLst>
          </xdr:cNvPr>
          <xdr:cNvCxnSpPr/>
        </xdr:nvCxnSpPr>
        <xdr:spPr>
          <a:xfrm flipV="1">
            <a:off x="10201275" y="55902225"/>
            <a:ext cx="647700" cy="38576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159" name="Straight Connector 1158">
            <a:extLst>
              <a:ext uri="{FF2B5EF4-FFF2-40B4-BE49-F238E27FC236}">
                <a16:creationId xmlns:a16="http://schemas.microsoft.com/office/drawing/2014/main" id="{F68D35B8-174E-6D6E-5409-AA2C064A6045}"/>
              </a:ext>
            </a:extLst>
          </xdr:cNvPr>
          <xdr:cNvCxnSpPr/>
        </xdr:nvCxnSpPr>
        <xdr:spPr>
          <a:xfrm>
            <a:off x="10204271" y="55908575"/>
            <a:ext cx="643116" cy="38100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160" name="Straight Connector 1159">
            <a:extLst>
              <a:ext uri="{FF2B5EF4-FFF2-40B4-BE49-F238E27FC236}">
                <a16:creationId xmlns:a16="http://schemas.microsoft.com/office/drawing/2014/main" id="{BDF7505E-AC71-C3CE-E1E8-7AB087AAB65F}"/>
              </a:ext>
            </a:extLst>
          </xdr:cNvPr>
          <xdr:cNvCxnSpPr/>
        </xdr:nvCxnSpPr>
        <xdr:spPr>
          <a:xfrm flipV="1">
            <a:off x="10204450" y="55533925"/>
            <a:ext cx="644525" cy="37306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161" name="Straight Connector 1160">
            <a:extLst>
              <a:ext uri="{FF2B5EF4-FFF2-40B4-BE49-F238E27FC236}">
                <a16:creationId xmlns:a16="http://schemas.microsoft.com/office/drawing/2014/main" id="{AA0CF81E-F1B3-A6AC-8534-50A42036C3DE}"/>
              </a:ext>
            </a:extLst>
          </xdr:cNvPr>
          <xdr:cNvCxnSpPr/>
        </xdr:nvCxnSpPr>
        <xdr:spPr>
          <a:xfrm>
            <a:off x="10198100" y="55533925"/>
            <a:ext cx="652462" cy="37465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162" name="Straight Connector 1161">
            <a:extLst>
              <a:ext uri="{FF2B5EF4-FFF2-40B4-BE49-F238E27FC236}">
                <a16:creationId xmlns:a16="http://schemas.microsoft.com/office/drawing/2014/main" id="{5C793F99-84BB-7F73-68BF-FA24FCF3D26D}"/>
              </a:ext>
            </a:extLst>
          </xdr:cNvPr>
          <xdr:cNvCxnSpPr/>
        </xdr:nvCxnSpPr>
        <xdr:spPr>
          <a:xfrm>
            <a:off x="8258175" y="54959250"/>
            <a:ext cx="0" cy="17145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163" name="Straight Connector 1162">
            <a:extLst>
              <a:ext uri="{FF2B5EF4-FFF2-40B4-BE49-F238E27FC236}">
                <a16:creationId xmlns:a16="http://schemas.microsoft.com/office/drawing/2014/main" id="{5013E7BB-A3CB-D65C-C042-F45FE373F470}"/>
              </a:ext>
            </a:extLst>
          </xdr:cNvPr>
          <xdr:cNvCxnSpPr/>
        </xdr:nvCxnSpPr>
        <xdr:spPr>
          <a:xfrm>
            <a:off x="7610475" y="54959250"/>
            <a:ext cx="0" cy="17145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164" name="Straight Connector 1163">
            <a:extLst>
              <a:ext uri="{FF2B5EF4-FFF2-40B4-BE49-F238E27FC236}">
                <a16:creationId xmlns:a16="http://schemas.microsoft.com/office/drawing/2014/main" id="{0655794D-8407-44C9-D9AC-F1820ABA8EDE}"/>
              </a:ext>
            </a:extLst>
          </xdr:cNvPr>
          <xdr:cNvCxnSpPr/>
        </xdr:nvCxnSpPr>
        <xdr:spPr>
          <a:xfrm>
            <a:off x="9553575" y="54959251"/>
            <a:ext cx="0" cy="17145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165" name="Straight Connector 1164">
            <a:extLst>
              <a:ext uri="{FF2B5EF4-FFF2-40B4-BE49-F238E27FC236}">
                <a16:creationId xmlns:a16="http://schemas.microsoft.com/office/drawing/2014/main" id="{AAA59977-3FEE-75FE-448A-46936005AFA5}"/>
              </a:ext>
            </a:extLst>
          </xdr:cNvPr>
          <xdr:cNvCxnSpPr/>
        </xdr:nvCxnSpPr>
        <xdr:spPr>
          <a:xfrm>
            <a:off x="8905875" y="54959251"/>
            <a:ext cx="0" cy="17145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166" name="Straight Connector 1165">
            <a:extLst>
              <a:ext uri="{FF2B5EF4-FFF2-40B4-BE49-F238E27FC236}">
                <a16:creationId xmlns:a16="http://schemas.microsoft.com/office/drawing/2014/main" id="{EA8B2CFB-6F67-F0B4-DF11-DCDCC48803FA}"/>
              </a:ext>
            </a:extLst>
          </xdr:cNvPr>
          <xdr:cNvCxnSpPr/>
        </xdr:nvCxnSpPr>
        <xdr:spPr>
          <a:xfrm>
            <a:off x="10201275" y="54959251"/>
            <a:ext cx="0" cy="17145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167" name="Straight Connector 1166">
            <a:extLst>
              <a:ext uri="{FF2B5EF4-FFF2-40B4-BE49-F238E27FC236}">
                <a16:creationId xmlns:a16="http://schemas.microsoft.com/office/drawing/2014/main" id="{8A767A89-75F2-895A-2F24-0A7B64C13923}"/>
              </a:ext>
            </a:extLst>
          </xdr:cNvPr>
          <xdr:cNvCxnSpPr/>
        </xdr:nvCxnSpPr>
        <xdr:spPr>
          <a:xfrm>
            <a:off x="6315075" y="56783286"/>
            <a:ext cx="0" cy="5238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168" name="Straight Connector 1167">
            <a:extLst>
              <a:ext uri="{FF2B5EF4-FFF2-40B4-BE49-F238E27FC236}">
                <a16:creationId xmlns:a16="http://schemas.microsoft.com/office/drawing/2014/main" id="{9530EFAD-0413-93F8-5F0E-F2D81371DE9F}"/>
              </a:ext>
            </a:extLst>
          </xdr:cNvPr>
          <xdr:cNvCxnSpPr/>
        </xdr:nvCxnSpPr>
        <xdr:spPr>
          <a:xfrm>
            <a:off x="6262689" y="56959500"/>
            <a:ext cx="4633911"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169" name="Straight Connector 1168">
            <a:extLst>
              <a:ext uri="{FF2B5EF4-FFF2-40B4-BE49-F238E27FC236}">
                <a16:creationId xmlns:a16="http://schemas.microsoft.com/office/drawing/2014/main" id="{AEB00386-EF5A-9331-3F2E-F8634B4834C2}"/>
              </a:ext>
            </a:extLst>
          </xdr:cNvPr>
          <xdr:cNvCxnSpPr/>
        </xdr:nvCxnSpPr>
        <xdr:spPr>
          <a:xfrm flipH="1">
            <a:off x="6286498" y="56935688"/>
            <a:ext cx="52388" cy="5238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170" name="Straight Connector 1169">
            <a:extLst>
              <a:ext uri="{FF2B5EF4-FFF2-40B4-BE49-F238E27FC236}">
                <a16:creationId xmlns:a16="http://schemas.microsoft.com/office/drawing/2014/main" id="{408F2195-C572-7139-518C-5A9BFD0F826F}"/>
              </a:ext>
            </a:extLst>
          </xdr:cNvPr>
          <xdr:cNvCxnSpPr/>
        </xdr:nvCxnSpPr>
        <xdr:spPr>
          <a:xfrm>
            <a:off x="6262687" y="57245256"/>
            <a:ext cx="4629151"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171" name="Straight Connector 1170">
            <a:extLst>
              <a:ext uri="{FF2B5EF4-FFF2-40B4-BE49-F238E27FC236}">
                <a16:creationId xmlns:a16="http://schemas.microsoft.com/office/drawing/2014/main" id="{8C871ED2-2CF2-B47B-6FE2-077693667F5F}"/>
              </a:ext>
            </a:extLst>
          </xdr:cNvPr>
          <xdr:cNvCxnSpPr/>
        </xdr:nvCxnSpPr>
        <xdr:spPr>
          <a:xfrm flipH="1">
            <a:off x="6286496" y="57221444"/>
            <a:ext cx="52388" cy="5238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172" name="Straight Connector 1171">
            <a:extLst>
              <a:ext uri="{FF2B5EF4-FFF2-40B4-BE49-F238E27FC236}">
                <a16:creationId xmlns:a16="http://schemas.microsoft.com/office/drawing/2014/main" id="{1398FDEA-3B7A-5B3D-3A89-A30DA6E82E83}"/>
              </a:ext>
            </a:extLst>
          </xdr:cNvPr>
          <xdr:cNvCxnSpPr/>
        </xdr:nvCxnSpPr>
        <xdr:spPr>
          <a:xfrm>
            <a:off x="10848975" y="56778523"/>
            <a:ext cx="0" cy="5238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173" name="Straight Connector 1172">
            <a:extLst>
              <a:ext uri="{FF2B5EF4-FFF2-40B4-BE49-F238E27FC236}">
                <a16:creationId xmlns:a16="http://schemas.microsoft.com/office/drawing/2014/main" id="{A857D05B-7643-9507-67AB-3B0E05D0C1F3}"/>
              </a:ext>
            </a:extLst>
          </xdr:cNvPr>
          <xdr:cNvCxnSpPr/>
        </xdr:nvCxnSpPr>
        <xdr:spPr>
          <a:xfrm flipH="1">
            <a:off x="10820398" y="56935688"/>
            <a:ext cx="52388" cy="5238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174" name="Straight Connector 1173">
            <a:extLst>
              <a:ext uri="{FF2B5EF4-FFF2-40B4-BE49-F238E27FC236}">
                <a16:creationId xmlns:a16="http://schemas.microsoft.com/office/drawing/2014/main" id="{6D11DF6E-2F0F-00C8-6E16-BB7A247136E1}"/>
              </a:ext>
            </a:extLst>
          </xdr:cNvPr>
          <xdr:cNvCxnSpPr/>
        </xdr:nvCxnSpPr>
        <xdr:spPr>
          <a:xfrm flipH="1">
            <a:off x="10820396" y="57221444"/>
            <a:ext cx="52388" cy="5238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175" name="Straight Connector 1174">
            <a:extLst>
              <a:ext uri="{FF2B5EF4-FFF2-40B4-BE49-F238E27FC236}">
                <a16:creationId xmlns:a16="http://schemas.microsoft.com/office/drawing/2014/main" id="{EFF76847-9A6B-3ECC-7777-318866392773}"/>
              </a:ext>
            </a:extLst>
          </xdr:cNvPr>
          <xdr:cNvCxnSpPr/>
        </xdr:nvCxnSpPr>
        <xdr:spPr>
          <a:xfrm>
            <a:off x="6962775" y="56759475"/>
            <a:ext cx="0" cy="25717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176" name="Straight Connector 1175">
            <a:extLst>
              <a:ext uri="{FF2B5EF4-FFF2-40B4-BE49-F238E27FC236}">
                <a16:creationId xmlns:a16="http://schemas.microsoft.com/office/drawing/2014/main" id="{754EEFDF-C6C2-DCA7-D792-CFA42F911548}"/>
              </a:ext>
            </a:extLst>
          </xdr:cNvPr>
          <xdr:cNvCxnSpPr/>
        </xdr:nvCxnSpPr>
        <xdr:spPr>
          <a:xfrm flipH="1">
            <a:off x="6934196" y="56930931"/>
            <a:ext cx="52388" cy="5238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177" name="Straight Connector 1176">
            <a:extLst>
              <a:ext uri="{FF2B5EF4-FFF2-40B4-BE49-F238E27FC236}">
                <a16:creationId xmlns:a16="http://schemas.microsoft.com/office/drawing/2014/main" id="{CE36F796-5D69-3F1C-9DD7-53B069536473}"/>
              </a:ext>
            </a:extLst>
          </xdr:cNvPr>
          <xdr:cNvCxnSpPr/>
        </xdr:nvCxnSpPr>
        <xdr:spPr>
          <a:xfrm>
            <a:off x="7610475" y="56759475"/>
            <a:ext cx="0" cy="25717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178" name="Straight Connector 1177">
            <a:extLst>
              <a:ext uri="{FF2B5EF4-FFF2-40B4-BE49-F238E27FC236}">
                <a16:creationId xmlns:a16="http://schemas.microsoft.com/office/drawing/2014/main" id="{E1BA2B9A-685D-D441-67CE-3E504B8241D3}"/>
              </a:ext>
            </a:extLst>
          </xdr:cNvPr>
          <xdr:cNvCxnSpPr/>
        </xdr:nvCxnSpPr>
        <xdr:spPr>
          <a:xfrm flipH="1">
            <a:off x="7581896" y="56930931"/>
            <a:ext cx="52388" cy="5238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179" name="Straight Connector 1178">
            <a:extLst>
              <a:ext uri="{FF2B5EF4-FFF2-40B4-BE49-F238E27FC236}">
                <a16:creationId xmlns:a16="http://schemas.microsoft.com/office/drawing/2014/main" id="{CC33F052-6DDE-329F-43F5-8F2DB9C00C19}"/>
              </a:ext>
            </a:extLst>
          </xdr:cNvPr>
          <xdr:cNvCxnSpPr/>
        </xdr:nvCxnSpPr>
        <xdr:spPr>
          <a:xfrm>
            <a:off x="8258175" y="56759475"/>
            <a:ext cx="0" cy="25717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180" name="Straight Connector 1179">
            <a:extLst>
              <a:ext uri="{FF2B5EF4-FFF2-40B4-BE49-F238E27FC236}">
                <a16:creationId xmlns:a16="http://schemas.microsoft.com/office/drawing/2014/main" id="{153F9306-B85A-CD07-61DE-0304D989AB97}"/>
              </a:ext>
            </a:extLst>
          </xdr:cNvPr>
          <xdr:cNvCxnSpPr/>
        </xdr:nvCxnSpPr>
        <xdr:spPr>
          <a:xfrm flipH="1">
            <a:off x="8229596" y="56930931"/>
            <a:ext cx="52388" cy="5238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181" name="Straight Connector 1180">
            <a:extLst>
              <a:ext uri="{FF2B5EF4-FFF2-40B4-BE49-F238E27FC236}">
                <a16:creationId xmlns:a16="http://schemas.microsoft.com/office/drawing/2014/main" id="{966721A9-7B1A-25EA-B0B0-55367A33DF9A}"/>
              </a:ext>
            </a:extLst>
          </xdr:cNvPr>
          <xdr:cNvCxnSpPr/>
        </xdr:nvCxnSpPr>
        <xdr:spPr>
          <a:xfrm>
            <a:off x="8905875" y="56759475"/>
            <a:ext cx="0" cy="25717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182" name="Straight Connector 1181">
            <a:extLst>
              <a:ext uri="{FF2B5EF4-FFF2-40B4-BE49-F238E27FC236}">
                <a16:creationId xmlns:a16="http://schemas.microsoft.com/office/drawing/2014/main" id="{85A1ECA3-818F-A28E-B138-63F23591D29D}"/>
              </a:ext>
            </a:extLst>
          </xdr:cNvPr>
          <xdr:cNvCxnSpPr/>
        </xdr:nvCxnSpPr>
        <xdr:spPr>
          <a:xfrm flipH="1">
            <a:off x="8877296" y="56930931"/>
            <a:ext cx="52388" cy="5238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183" name="Straight Connector 1182">
            <a:extLst>
              <a:ext uri="{FF2B5EF4-FFF2-40B4-BE49-F238E27FC236}">
                <a16:creationId xmlns:a16="http://schemas.microsoft.com/office/drawing/2014/main" id="{0885CE43-5652-A272-6093-54F2068C5054}"/>
              </a:ext>
            </a:extLst>
          </xdr:cNvPr>
          <xdr:cNvCxnSpPr/>
        </xdr:nvCxnSpPr>
        <xdr:spPr>
          <a:xfrm>
            <a:off x="9553575" y="56759475"/>
            <a:ext cx="0" cy="25717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184" name="Straight Connector 1183">
            <a:extLst>
              <a:ext uri="{FF2B5EF4-FFF2-40B4-BE49-F238E27FC236}">
                <a16:creationId xmlns:a16="http://schemas.microsoft.com/office/drawing/2014/main" id="{D9985CCE-6777-50D6-A477-6C90AF64A322}"/>
              </a:ext>
            </a:extLst>
          </xdr:cNvPr>
          <xdr:cNvCxnSpPr/>
        </xdr:nvCxnSpPr>
        <xdr:spPr>
          <a:xfrm flipH="1">
            <a:off x="9524996" y="56930931"/>
            <a:ext cx="52388" cy="5238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185" name="Straight Connector 1184">
            <a:extLst>
              <a:ext uri="{FF2B5EF4-FFF2-40B4-BE49-F238E27FC236}">
                <a16:creationId xmlns:a16="http://schemas.microsoft.com/office/drawing/2014/main" id="{7E5E11AD-058E-BF17-50BA-01ADA8694C20}"/>
              </a:ext>
            </a:extLst>
          </xdr:cNvPr>
          <xdr:cNvCxnSpPr/>
        </xdr:nvCxnSpPr>
        <xdr:spPr>
          <a:xfrm>
            <a:off x="10201275" y="56759475"/>
            <a:ext cx="0" cy="25717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186" name="Straight Connector 1185">
            <a:extLst>
              <a:ext uri="{FF2B5EF4-FFF2-40B4-BE49-F238E27FC236}">
                <a16:creationId xmlns:a16="http://schemas.microsoft.com/office/drawing/2014/main" id="{837A14CD-638F-AD0C-8605-6837BDB64B66}"/>
              </a:ext>
            </a:extLst>
          </xdr:cNvPr>
          <xdr:cNvCxnSpPr/>
        </xdr:nvCxnSpPr>
        <xdr:spPr>
          <a:xfrm flipH="1">
            <a:off x="10172696" y="56930931"/>
            <a:ext cx="52388" cy="5238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187" name="Straight Connector 1186">
            <a:extLst>
              <a:ext uri="{FF2B5EF4-FFF2-40B4-BE49-F238E27FC236}">
                <a16:creationId xmlns:a16="http://schemas.microsoft.com/office/drawing/2014/main" id="{95B948B3-A061-FAAA-B1B0-A8D1A81BB3BC}"/>
              </a:ext>
            </a:extLst>
          </xdr:cNvPr>
          <xdr:cNvCxnSpPr/>
        </xdr:nvCxnSpPr>
        <xdr:spPr>
          <a:xfrm>
            <a:off x="7196137" y="54863998"/>
            <a:ext cx="0" cy="323850"/>
          </a:xfrm>
          <a:prstGeom prst="line">
            <a:avLst/>
          </a:prstGeom>
          <a:ln w="9525">
            <a:solidFill>
              <a:schemeClr val="accent6">
                <a:lumMod val="75000"/>
              </a:schemeClr>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188" name="Straight Connector 1187">
            <a:extLst>
              <a:ext uri="{FF2B5EF4-FFF2-40B4-BE49-F238E27FC236}">
                <a16:creationId xmlns:a16="http://schemas.microsoft.com/office/drawing/2014/main" id="{7503F1B7-7B27-19AF-CBE1-12150BA0878F}"/>
              </a:ext>
            </a:extLst>
          </xdr:cNvPr>
          <xdr:cNvCxnSpPr/>
        </xdr:nvCxnSpPr>
        <xdr:spPr>
          <a:xfrm>
            <a:off x="7219950" y="54863998"/>
            <a:ext cx="0" cy="323850"/>
          </a:xfrm>
          <a:prstGeom prst="line">
            <a:avLst/>
          </a:prstGeom>
          <a:ln w="9525">
            <a:solidFill>
              <a:schemeClr val="accent6">
                <a:lumMod val="75000"/>
              </a:schemeClr>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189" name="Straight Connector 1188">
            <a:extLst>
              <a:ext uri="{FF2B5EF4-FFF2-40B4-BE49-F238E27FC236}">
                <a16:creationId xmlns:a16="http://schemas.microsoft.com/office/drawing/2014/main" id="{7A392FC5-51A4-D535-A16F-2AA97591D06B}"/>
              </a:ext>
            </a:extLst>
          </xdr:cNvPr>
          <xdr:cNvCxnSpPr/>
        </xdr:nvCxnSpPr>
        <xdr:spPr>
          <a:xfrm>
            <a:off x="7196137" y="56468960"/>
            <a:ext cx="0" cy="323850"/>
          </a:xfrm>
          <a:prstGeom prst="line">
            <a:avLst/>
          </a:prstGeom>
          <a:ln w="9525">
            <a:solidFill>
              <a:schemeClr val="accent6">
                <a:lumMod val="75000"/>
              </a:schemeClr>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190" name="Straight Connector 1189">
            <a:extLst>
              <a:ext uri="{FF2B5EF4-FFF2-40B4-BE49-F238E27FC236}">
                <a16:creationId xmlns:a16="http://schemas.microsoft.com/office/drawing/2014/main" id="{EE021B06-A0E6-C7E8-359C-BF9DDF8378D5}"/>
              </a:ext>
            </a:extLst>
          </xdr:cNvPr>
          <xdr:cNvCxnSpPr/>
        </xdr:nvCxnSpPr>
        <xdr:spPr>
          <a:xfrm>
            <a:off x="7219950" y="56468960"/>
            <a:ext cx="0" cy="323850"/>
          </a:xfrm>
          <a:prstGeom prst="line">
            <a:avLst/>
          </a:prstGeom>
          <a:ln w="9525">
            <a:solidFill>
              <a:schemeClr val="accent6">
                <a:lumMod val="75000"/>
              </a:schemeClr>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191" name="Straight Connector 1190">
            <a:extLst>
              <a:ext uri="{FF2B5EF4-FFF2-40B4-BE49-F238E27FC236}">
                <a16:creationId xmlns:a16="http://schemas.microsoft.com/office/drawing/2014/main" id="{BCF9FA81-B3CB-FB8F-224D-DA41BB79BF53}"/>
              </a:ext>
            </a:extLst>
          </xdr:cNvPr>
          <xdr:cNvCxnSpPr/>
        </xdr:nvCxnSpPr>
        <xdr:spPr>
          <a:xfrm>
            <a:off x="5910260" y="54959251"/>
            <a:ext cx="347663"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192" name="Straight Connector 1191">
            <a:extLst>
              <a:ext uri="{FF2B5EF4-FFF2-40B4-BE49-F238E27FC236}">
                <a16:creationId xmlns:a16="http://schemas.microsoft.com/office/drawing/2014/main" id="{D1BD3510-983B-F4FD-2AE9-0456FDECEC65}"/>
              </a:ext>
            </a:extLst>
          </xdr:cNvPr>
          <xdr:cNvCxnSpPr/>
        </xdr:nvCxnSpPr>
        <xdr:spPr>
          <a:xfrm>
            <a:off x="5991225" y="54892575"/>
            <a:ext cx="0" cy="18383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193" name="Straight Connector 1192">
            <a:extLst>
              <a:ext uri="{FF2B5EF4-FFF2-40B4-BE49-F238E27FC236}">
                <a16:creationId xmlns:a16="http://schemas.microsoft.com/office/drawing/2014/main" id="{F25A238E-2FC6-3877-6B4C-127D0EFABB0D}"/>
              </a:ext>
            </a:extLst>
          </xdr:cNvPr>
          <xdr:cNvCxnSpPr/>
        </xdr:nvCxnSpPr>
        <xdr:spPr>
          <a:xfrm flipH="1">
            <a:off x="5957893" y="54925911"/>
            <a:ext cx="66675" cy="666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194" name="Straight Connector 1193">
            <a:extLst>
              <a:ext uri="{FF2B5EF4-FFF2-40B4-BE49-F238E27FC236}">
                <a16:creationId xmlns:a16="http://schemas.microsoft.com/office/drawing/2014/main" id="{69486E28-38CB-0FBB-5AB9-390A4D7C72BC}"/>
              </a:ext>
            </a:extLst>
          </xdr:cNvPr>
          <xdr:cNvCxnSpPr/>
        </xdr:nvCxnSpPr>
        <xdr:spPr>
          <a:xfrm>
            <a:off x="5910260" y="55530751"/>
            <a:ext cx="347663"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195" name="Straight Connector 1194">
            <a:extLst>
              <a:ext uri="{FF2B5EF4-FFF2-40B4-BE49-F238E27FC236}">
                <a16:creationId xmlns:a16="http://schemas.microsoft.com/office/drawing/2014/main" id="{1A411F8B-B5E3-FAD4-1AFF-C20AF61CB13C}"/>
              </a:ext>
            </a:extLst>
          </xdr:cNvPr>
          <xdr:cNvCxnSpPr/>
        </xdr:nvCxnSpPr>
        <xdr:spPr>
          <a:xfrm flipH="1">
            <a:off x="5957893" y="55497411"/>
            <a:ext cx="66675" cy="666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196" name="Straight Connector 1195">
            <a:extLst>
              <a:ext uri="{FF2B5EF4-FFF2-40B4-BE49-F238E27FC236}">
                <a16:creationId xmlns:a16="http://schemas.microsoft.com/office/drawing/2014/main" id="{43F7E6F9-7921-A6AA-9204-8E25DD637EE3}"/>
              </a:ext>
            </a:extLst>
          </xdr:cNvPr>
          <xdr:cNvCxnSpPr/>
        </xdr:nvCxnSpPr>
        <xdr:spPr>
          <a:xfrm>
            <a:off x="5910260" y="56292756"/>
            <a:ext cx="347663"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197" name="Straight Connector 1196">
            <a:extLst>
              <a:ext uri="{FF2B5EF4-FFF2-40B4-BE49-F238E27FC236}">
                <a16:creationId xmlns:a16="http://schemas.microsoft.com/office/drawing/2014/main" id="{271037DA-690C-1129-E189-28B40B47CDCC}"/>
              </a:ext>
            </a:extLst>
          </xdr:cNvPr>
          <xdr:cNvCxnSpPr/>
        </xdr:nvCxnSpPr>
        <xdr:spPr>
          <a:xfrm flipH="1">
            <a:off x="5957893" y="56259416"/>
            <a:ext cx="66675" cy="666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198" name="Straight Connector 1197">
            <a:extLst>
              <a:ext uri="{FF2B5EF4-FFF2-40B4-BE49-F238E27FC236}">
                <a16:creationId xmlns:a16="http://schemas.microsoft.com/office/drawing/2014/main" id="{9EE53A39-CB3B-C5AE-E8F5-ED8D8858A124}"/>
              </a:ext>
            </a:extLst>
          </xdr:cNvPr>
          <xdr:cNvCxnSpPr/>
        </xdr:nvCxnSpPr>
        <xdr:spPr>
          <a:xfrm>
            <a:off x="5910260" y="55911746"/>
            <a:ext cx="347663"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199" name="Straight Connector 1198">
            <a:extLst>
              <a:ext uri="{FF2B5EF4-FFF2-40B4-BE49-F238E27FC236}">
                <a16:creationId xmlns:a16="http://schemas.microsoft.com/office/drawing/2014/main" id="{B25C4529-C675-2ACB-53E7-17B3399D7F15}"/>
              </a:ext>
            </a:extLst>
          </xdr:cNvPr>
          <xdr:cNvCxnSpPr/>
        </xdr:nvCxnSpPr>
        <xdr:spPr>
          <a:xfrm flipH="1">
            <a:off x="5957893" y="55878406"/>
            <a:ext cx="66675" cy="666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200" name="Straight Connector 1199">
            <a:extLst>
              <a:ext uri="{FF2B5EF4-FFF2-40B4-BE49-F238E27FC236}">
                <a16:creationId xmlns:a16="http://schemas.microsoft.com/office/drawing/2014/main" id="{F77FF547-905C-AC40-4361-082006B0E6BB}"/>
              </a:ext>
            </a:extLst>
          </xdr:cNvPr>
          <xdr:cNvCxnSpPr/>
        </xdr:nvCxnSpPr>
        <xdr:spPr>
          <a:xfrm>
            <a:off x="5910260" y="56673751"/>
            <a:ext cx="347663"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201" name="Straight Connector 1200">
            <a:extLst>
              <a:ext uri="{FF2B5EF4-FFF2-40B4-BE49-F238E27FC236}">
                <a16:creationId xmlns:a16="http://schemas.microsoft.com/office/drawing/2014/main" id="{3D9EAA9D-00F0-8130-C631-0D0B6A5E08D3}"/>
              </a:ext>
            </a:extLst>
          </xdr:cNvPr>
          <xdr:cNvCxnSpPr/>
        </xdr:nvCxnSpPr>
        <xdr:spPr>
          <a:xfrm flipH="1">
            <a:off x="5957893" y="56640411"/>
            <a:ext cx="66675" cy="666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202" name="Straight Connector 1201">
            <a:extLst>
              <a:ext uri="{FF2B5EF4-FFF2-40B4-BE49-F238E27FC236}">
                <a16:creationId xmlns:a16="http://schemas.microsoft.com/office/drawing/2014/main" id="{A62ECF9B-933D-EE70-80A3-C29DB00104CF}"/>
              </a:ext>
            </a:extLst>
          </xdr:cNvPr>
          <xdr:cNvCxnSpPr/>
        </xdr:nvCxnSpPr>
        <xdr:spPr>
          <a:xfrm flipV="1">
            <a:off x="9725025" y="54825900"/>
            <a:ext cx="409575" cy="704850"/>
          </a:xfrm>
          <a:prstGeom prst="line">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203" name="Straight Connector 1202">
            <a:extLst>
              <a:ext uri="{FF2B5EF4-FFF2-40B4-BE49-F238E27FC236}">
                <a16:creationId xmlns:a16="http://schemas.microsoft.com/office/drawing/2014/main" id="{A875044C-D27B-268B-4323-5B2C8DC8B5A3}"/>
              </a:ext>
            </a:extLst>
          </xdr:cNvPr>
          <xdr:cNvCxnSpPr/>
        </xdr:nvCxnSpPr>
        <xdr:spPr>
          <a:xfrm flipH="1" flipV="1">
            <a:off x="9696450" y="56283225"/>
            <a:ext cx="209550" cy="1095375"/>
          </a:xfrm>
          <a:prstGeom prst="line">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204" name="Straight Connector 1203">
            <a:extLst>
              <a:ext uri="{FF2B5EF4-FFF2-40B4-BE49-F238E27FC236}">
                <a16:creationId xmlns:a16="http://schemas.microsoft.com/office/drawing/2014/main" id="{007AB591-99B7-E72A-0317-180387FED048}"/>
              </a:ext>
            </a:extLst>
          </xdr:cNvPr>
          <xdr:cNvCxnSpPr/>
        </xdr:nvCxnSpPr>
        <xdr:spPr>
          <a:xfrm flipV="1">
            <a:off x="9906000" y="55921275"/>
            <a:ext cx="19050" cy="1447800"/>
          </a:xfrm>
          <a:prstGeom prst="line">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205" name="Straight Connector 1204">
            <a:extLst>
              <a:ext uri="{FF2B5EF4-FFF2-40B4-BE49-F238E27FC236}">
                <a16:creationId xmlns:a16="http://schemas.microsoft.com/office/drawing/2014/main" id="{806AE27D-9B47-EA5C-F65B-8AB6F6DFAF87}"/>
              </a:ext>
            </a:extLst>
          </xdr:cNvPr>
          <xdr:cNvCxnSpPr/>
        </xdr:nvCxnSpPr>
        <xdr:spPr>
          <a:xfrm flipV="1">
            <a:off x="10696575" y="56064150"/>
            <a:ext cx="300038" cy="323850"/>
          </a:xfrm>
          <a:prstGeom prst="line">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206" name="Straight Connector 1205">
            <a:extLst>
              <a:ext uri="{FF2B5EF4-FFF2-40B4-BE49-F238E27FC236}">
                <a16:creationId xmlns:a16="http://schemas.microsoft.com/office/drawing/2014/main" id="{00DC3FCF-4977-CE97-12B9-388A084C643E}"/>
              </a:ext>
            </a:extLst>
          </xdr:cNvPr>
          <xdr:cNvCxnSpPr/>
        </xdr:nvCxnSpPr>
        <xdr:spPr>
          <a:xfrm>
            <a:off x="10644187" y="56026050"/>
            <a:ext cx="342901" cy="42863"/>
          </a:xfrm>
          <a:prstGeom prst="line">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207" name="Straight Connector 1206">
            <a:extLst>
              <a:ext uri="{FF2B5EF4-FFF2-40B4-BE49-F238E27FC236}">
                <a16:creationId xmlns:a16="http://schemas.microsoft.com/office/drawing/2014/main" id="{329BBBB5-11BD-39F2-7088-6DA2DAF4B649}"/>
              </a:ext>
            </a:extLst>
          </xdr:cNvPr>
          <xdr:cNvCxnSpPr/>
        </xdr:nvCxnSpPr>
        <xdr:spPr>
          <a:xfrm>
            <a:off x="10687049" y="55626000"/>
            <a:ext cx="309564" cy="447675"/>
          </a:xfrm>
          <a:prstGeom prst="line">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208" name="Straight Connector 1207">
            <a:extLst>
              <a:ext uri="{FF2B5EF4-FFF2-40B4-BE49-F238E27FC236}">
                <a16:creationId xmlns:a16="http://schemas.microsoft.com/office/drawing/2014/main" id="{0F80EDCD-0BB3-245C-2117-797A7393A186}"/>
              </a:ext>
            </a:extLst>
          </xdr:cNvPr>
          <xdr:cNvCxnSpPr/>
        </xdr:nvCxnSpPr>
        <xdr:spPr>
          <a:xfrm flipV="1">
            <a:off x="10715625" y="55216425"/>
            <a:ext cx="309563" cy="252412"/>
          </a:xfrm>
          <a:prstGeom prst="line">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209" name="Straight Connector 1208">
            <a:extLst>
              <a:ext uri="{FF2B5EF4-FFF2-40B4-BE49-F238E27FC236}">
                <a16:creationId xmlns:a16="http://schemas.microsoft.com/office/drawing/2014/main" id="{F6EC292C-0620-7B05-7385-6BB8651376BA}"/>
              </a:ext>
            </a:extLst>
          </xdr:cNvPr>
          <xdr:cNvCxnSpPr/>
        </xdr:nvCxnSpPr>
        <xdr:spPr>
          <a:xfrm>
            <a:off x="10682287" y="55030687"/>
            <a:ext cx="333376" cy="185738"/>
          </a:xfrm>
          <a:prstGeom prst="line">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210" name="Straight Connector 1209">
            <a:extLst>
              <a:ext uri="{FF2B5EF4-FFF2-40B4-BE49-F238E27FC236}">
                <a16:creationId xmlns:a16="http://schemas.microsoft.com/office/drawing/2014/main" id="{833845EC-77A7-6959-6C20-8CAD2EDF0FE1}"/>
              </a:ext>
            </a:extLst>
          </xdr:cNvPr>
          <xdr:cNvCxnSpPr/>
        </xdr:nvCxnSpPr>
        <xdr:spPr>
          <a:xfrm flipV="1">
            <a:off x="6962774" y="55251351"/>
            <a:ext cx="642937" cy="28098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211" name="Straight Connector 1210">
            <a:extLst>
              <a:ext uri="{FF2B5EF4-FFF2-40B4-BE49-F238E27FC236}">
                <a16:creationId xmlns:a16="http://schemas.microsoft.com/office/drawing/2014/main" id="{6EA7D396-E5CF-8D04-9A64-A742B0F5AACB}"/>
              </a:ext>
            </a:extLst>
          </xdr:cNvPr>
          <xdr:cNvCxnSpPr/>
        </xdr:nvCxnSpPr>
        <xdr:spPr>
          <a:xfrm>
            <a:off x="6965949" y="55249763"/>
            <a:ext cx="647700" cy="2857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212" name="Straight Connector 1211">
            <a:extLst>
              <a:ext uri="{FF2B5EF4-FFF2-40B4-BE49-F238E27FC236}">
                <a16:creationId xmlns:a16="http://schemas.microsoft.com/office/drawing/2014/main" id="{A3F90ACD-DFD5-18FB-E39E-1F5A5890D7D7}"/>
              </a:ext>
            </a:extLst>
          </xdr:cNvPr>
          <xdr:cNvCxnSpPr/>
        </xdr:nvCxnSpPr>
        <xdr:spPr>
          <a:xfrm flipV="1">
            <a:off x="7605711" y="55251351"/>
            <a:ext cx="642937" cy="28098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213" name="Straight Connector 1212">
            <a:extLst>
              <a:ext uri="{FF2B5EF4-FFF2-40B4-BE49-F238E27FC236}">
                <a16:creationId xmlns:a16="http://schemas.microsoft.com/office/drawing/2014/main" id="{D280330A-B9E5-02EA-826E-0D0E41A111F5}"/>
              </a:ext>
            </a:extLst>
          </xdr:cNvPr>
          <xdr:cNvCxnSpPr/>
        </xdr:nvCxnSpPr>
        <xdr:spPr>
          <a:xfrm>
            <a:off x="7608886" y="55249763"/>
            <a:ext cx="647700" cy="2857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214" name="Straight Connector 1213">
            <a:extLst>
              <a:ext uri="{FF2B5EF4-FFF2-40B4-BE49-F238E27FC236}">
                <a16:creationId xmlns:a16="http://schemas.microsoft.com/office/drawing/2014/main" id="{9519D7AC-430E-698F-FD29-5099A4C520DD}"/>
              </a:ext>
            </a:extLst>
          </xdr:cNvPr>
          <xdr:cNvCxnSpPr/>
        </xdr:nvCxnSpPr>
        <xdr:spPr>
          <a:xfrm flipV="1">
            <a:off x="8905875" y="55251352"/>
            <a:ext cx="642937" cy="28098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215" name="Straight Connector 1214">
            <a:extLst>
              <a:ext uri="{FF2B5EF4-FFF2-40B4-BE49-F238E27FC236}">
                <a16:creationId xmlns:a16="http://schemas.microsoft.com/office/drawing/2014/main" id="{1101FACA-AD84-FF3A-6F15-483BD8842360}"/>
              </a:ext>
            </a:extLst>
          </xdr:cNvPr>
          <xdr:cNvCxnSpPr/>
        </xdr:nvCxnSpPr>
        <xdr:spPr>
          <a:xfrm>
            <a:off x="8909050" y="55249764"/>
            <a:ext cx="647700" cy="2857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216" name="Straight Connector 1215">
            <a:extLst>
              <a:ext uri="{FF2B5EF4-FFF2-40B4-BE49-F238E27FC236}">
                <a16:creationId xmlns:a16="http://schemas.microsoft.com/office/drawing/2014/main" id="{D94227A5-7C87-19D2-DF0B-8D04D171B4C7}"/>
              </a:ext>
            </a:extLst>
          </xdr:cNvPr>
          <xdr:cNvCxnSpPr/>
        </xdr:nvCxnSpPr>
        <xdr:spPr>
          <a:xfrm flipV="1">
            <a:off x="9553575" y="55251352"/>
            <a:ext cx="642937" cy="28098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217" name="Straight Connector 1216">
            <a:extLst>
              <a:ext uri="{FF2B5EF4-FFF2-40B4-BE49-F238E27FC236}">
                <a16:creationId xmlns:a16="http://schemas.microsoft.com/office/drawing/2014/main" id="{DF5A3795-BC82-0FFA-2308-2452FB9C4DFF}"/>
              </a:ext>
            </a:extLst>
          </xdr:cNvPr>
          <xdr:cNvCxnSpPr/>
        </xdr:nvCxnSpPr>
        <xdr:spPr>
          <a:xfrm>
            <a:off x="9556750" y="55249764"/>
            <a:ext cx="647700" cy="2857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nvGrpSpPr>
          <xdr:cNvPr id="1919" name="Group 1918">
            <a:extLst>
              <a:ext uri="{FF2B5EF4-FFF2-40B4-BE49-F238E27FC236}">
                <a16:creationId xmlns:a16="http://schemas.microsoft.com/office/drawing/2014/main" id="{80EA3F7D-6526-42DA-B041-9A5FC00039BF}"/>
              </a:ext>
            </a:extLst>
          </xdr:cNvPr>
          <xdr:cNvGrpSpPr/>
        </xdr:nvGrpSpPr>
        <xdr:grpSpPr>
          <a:xfrm>
            <a:off x="6962774" y="56035578"/>
            <a:ext cx="1295400" cy="1352550"/>
            <a:chOff x="6638925" y="2171700"/>
            <a:chExt cx="1295400" cy="1352550"/>
          </a:xfrm>
        </xdr:grpSpPr>
        <xdr:cxnSp macro="">
          <xdr:nvCxnSpPr>
            <xdr:cNvPr id="1920" name="Straight Connector 1919">
              <a:extLst>
                <a:ext uri="{FF2B5EF4-FFF2-40B4-BE49-F238E27FC236}">
                  <a16:creationId xmlns:a16="http://schemas.microsoft.com/office/drawing/2014/main" id="{92858549-1AA7-2180-0C83-F0EFBB55D8BE}"/>
                </a:ext>
              </a:extLst>
            </xdr:cNvPr>
            <xdr:cNvCxnSpPr/>
          </xdr:nvCxnSpPr>
          <xdr:spPr>
            <a:xfrm flipH="1" flipV="1">
              <a:off x="6638925" y="2171700"/>
              <a:ext cx="247650" cy="1352550"/>
            </a:xfrm>
            <a:prstGeom prst="line">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921" name="Straight Connector 1920">
              <a:extLst>
                <a:ext uri="{FF2B5EF4-FFF2-40B4-BE49-F238E27FC236}">
                  <a16:creationId xmlns:a16="http://schemas.microsoft.com/office/drawing/2014/main" id="{97A2AF0C-E998-5E3D-7C96-0FCC2FC5CEFE}"/>
                </a:ext>
              </a:extLst>
            </xdr:cNvPr>
            <xdr:cNvCxnSpPr/>
          </xdr:nvCxnSpPr>
          <xdr:spPr>
            <a:xfrm flipV="1">
              <a:off x="6886575" y="2200275"/>
              <a:ext cx="400050" cy="1323975"/>
            </a:xfrm>
            <a:prstGeom prst="line">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922" name="Straight Connector 1921">
              <a:extLst>
                <a:ext uri="{FF2B5EF4-FFF2-40B4-BE49-F238E27FC236}">
                  <a16:creationId xmlns:a16="http://schemas.microsoft.com/office/drawing/2014/main" id="{F917B962-3031-8C29-C12F-8B63D3FF8ABF}"/>
                </a:ext>
              </a:extLst>
            </xdr:cNvPr>
            <xdr:cNvCxnSpPr/>
          </xdr:nvCxnSpPr>
          <xdr:spPr>
            <a:xfrm flipV="1">
              <a:off x="6886575" y="2247900"/>
              <a:ext cx="1047750" cy="1276350"/>
            </a:xfrm>
            <a:prstGeom prst="line">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6</xdr:col>
      <xdr:colOff>47626</xdr:colOff>
      <xdr:row>868</xdr:row>
      <xdr:rowOff>109547</xdr:rowOff>
    </xdr:from>
    <xdr:to>
      <xdr:col>15</xdr:col>
      <xdr:colOff>109538</xdr:colOff>
      <xdr:row>871</xdr:row>
      <xdr:rowOff>10</xdr:rowOff>
    </xdr:to>
    <xdr:sp macro="" textlink="">
      <xdr:nvSpPr>
        <xdr:cNvPr id="1959" name="Freeform: Shape 1958">
          <a:extLst>
            <a:ext uri="{FF2B5EF4-FFF2-40B4-BE49-F238E27FC236}">
              <a16:creationId xmlns:a16="http://schemas.microsoft.com/office/drawing/2014/main" id="{9A375B2D-6DE6-7A25-3AEF-DDCCE906E4D9}"/>
            </a:ext>
          </a:extLst>
        </xdr:cNvPr>
        <xdr:cNvSpPr/>
      </xdr:nvSpPr>
      <xdr:spPr>
        <a:xfrm>
          <a:off x="1019176" y="83243747"/>
          <a:ext cx="1519237" cy="319088"/>
        </a:xfrm>
        <a:custGeom>
          <a:avLst/>
          <a:gdLst>
            <a:gd name="connsiteX0" fmla="*/ 0 w 1519237"/>
            <a:gd name="connsiteY0" fmla="*/ 9525 h 319088"/>
            <a:gd name="connsiteX1" fmla="*/ 0 w 1519237"/>
            <a:gd name="connsiteY1" fmla="*/ 319088 h 319088"/>
            <a:gd name="connsiteX2" fmla="*/ 1519237 w 1519237"/>
            <a:gd name="connsiteY2" fmla="*/ 319088 h 319088"/>
            <a:gd name="connsiteX3" fmla="*/ 1519237 w 1519237"/>
            <a:gd name="connsiteY3" fmla="*/ 0 h 319088"/>
          </a:gdLst>
          <a:ahLst/>
          <a:cxnLst>
            <a:cxn ang="0">
              <a:pos x="connsiteX0" y="connsiteY0"/>
            </a:cxn>
            <a:cxn ang="0">
              <a:pos x="connsiteX1" y="connsiteY1"/>
            </a:cxn>
            <a:cxn ang="0">
              <a:pos x="connsiteX2" y="connsiteY2"/>
            </a:cxn>
            <a:cxn ang="0">
              <a:pos x="connsiteX3" y="connsiteY3"/>
            </a:cxn>
          </a:cxnLst>
          <a:rect l="l" t="t" r="r" b="b"/>
          <a:pathLst>
            <a:path w="1519237" h="319088">
              <a:moveTo>
                <a:pt x="0" y="9525"/>
              </a:moveTo>
              <a:lnTo>
                <a:pt x="0" y="319088"/>
              </a:lnTo>
              <a:lnTo>
                <a:pt x="1519237" y="319088"/>
              </a:lnTo>
              <a:lnTo>
                <a:pt x="1519237" y="0"/>
              </a:lnTo>
            </a:path>
          </a:pathLst>
        </a:cu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kern="1200"/>
        </a:p>
      </xdr:txBody>
    </xdr:sp>
    <xdr:clientData/>
  </xdr:twoCellAnchor>
  <xdr:twoCellAnchor>
    <xdr:from>
      <xdr:col>9</xdr:col>
      <xdr:colOff>14287</xdr:colOff>
      <xdr:row>864</xdr:row>
      <xdr:rowOff>9529</xdr:rowOff>
    </xdr:from>
    <xdr:to>
      <xdr:col>11</xdr:col>
      <xdr:colOff>9525</xdr:colOff>
      <xdr:row>870</xdr:row>
      <xdr:rowOff>0</xdr:rowOff>
    </xdr:to>
    <xdr:sp macro="" textlink="">
      <xdr:nvSpPr>
        <xdr:cNvPr id="1963" name="Freeform: Shape 1962">
          <a:extLst>
            <a:ext uri="{FF2B5EF4-FFF2-40B4-BE49-F238E27FC236}">
              <a16:creationId xmlns:a16="http://schemas.microsoft.com/office/drawing/2014/main" id="{BA0DD4C0-5D61-44D5-831D-D6C9E5731086}"/>
            </a:ext>
          </a:extLst>
        </xdr:cNvPr>
        <xdr:cNvSpPr/>
      </xdr:nvSpPr>
      <xdr:spPr>
        <a:xfrm rot="5400000">
          <a:off x="1207295" y="82836546"/>
          <a:ext cx="847721" cy="319088"/>
        </a:xfrm>
        <a:custGeom>
          <a:avLst/>
          <a:gdLst>
            <a:gd name="connsiteX0" fmla="*/ 0 w 1519237"/>
            <a:gd name="connsiteY0" fmla="*/ 9525 h 319088"/>
            <a:gd name="connsiteX1" fmla="*/ 0 w 1519237"/>
            <a:gd name="connsiteY1" fmla="*/ 319088 h 319088"/>
            <a:gd name="connsiteX2" fmla="*/ 1519237 w 1519237"/>
            <a:gd name="connsiteY2" fmla="*/ 319088 h 319088"/>
            <a:gd name="connsiteX3" fmla="*/ 1519237 w 1519237"/>
            <a:gd name="connsiteY3" fmla="*/ 0 h 319088"/>
          </a:gdLst>
          <a:ahLst/>
          <a:cxnLst>
            <a:cxn ang="0">
              <a:pos x="connsiteX0" y="connsiteY0"/>
            </a:cxn>
            <a:cxn ang="0">
              <a:pos x="connsiteX1" y="connsiteY1"/>
            </a:cxn>
            <a:cxn ang="0">
              <a:pos x="connsiteX2" y="connsiteY2"/>
            </a:cxn>
            <a:cxn ang="0">
              <a:pos x="connsiteX3" y="connsiteY3"/>
            </a:cxn>
          </a:cxnLst>
          <a:rect l="l" t="t" r="r" b="b"/>
          <a:pathLst>
            <a:path w="1519237" h="319088">
              <a:moveTo>
                <a:pt x="0" y="9525"/>
              </a:moveTo>
              <a:lnTo>
                <a:pt x="0" y="319088"/>
              </a:lnTo>
              <a:lnTo>
                <a:pt x="1519237" y="319088"/>
              </a:lnTo>
              <a:lnTo>
                <a:pt x="1519237" y="0"/>
              </a:lnTo>
            </a:path>
          </a:pathLst>
        </a:cu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kern="1200"/>
        </a:p>
      </xdr:txBody>
    </xdr:sp>
    <xdr:clientData/>
  </xdr:twoCellAnchor>
  <xdr:twoCellAnchor>
    <xdr:from>
      <xdr:col>21</xdr:col>
      <xdr:colOff>66675</xdr:colOff>
      <xdr:row>850</xdr:row>
      <xdr:rowOff>107947</xdr:rowOff>
    </xdr:from>
    <xdr:to>
      <xdr:col>48</xdr:col>
      <xdr:colOff>123812</xdr:colOff>
      <xdr:row>888</xdr:row>
      <xdr:rowOff>41289</xdr:rowOff>
    </xdr:to>
    <xdr:grpSp>
      <xdr:nvGrpSpPr>
        <xdr:cNvPr id="1901" name="Group 1900">
          <a:extLst>
            <a:ext uri="{FF2B5EF4-FFF2-40B4-BE49-F238E27FC236}">
              <a16:creationId xmlns:a16="http://schemas.microsoft.com/office/drawing/2014/main" id="{B1423A14-88D5-76C0-8166-67071C92F26D}"/>
            </a:ext>
          </a:extLst>
        </xdr:cNvPr>
        <xdr:cNvGrpSpPr/>
      </xdr:nvGrpSpPr>
      <xdr:grpSpPr>
        <a:xfrm>
          <a:off x="3467100" y="123732922"/>
          <a:ext cx="4429112" cy="5362592"/>
          <a:chOff x="3467100" y="81384772"/>
          <a:chExt cx="4429112" cy="5362592"/>
        </a:xfrm>
      </xdr:grpSpPr>
      <xdr:sp macro="" textlink="">
        <xdr:nvSpPr>
          <xdr:cNvPr id="2076" name="Rectangle 2075">
            <a:extLst>
              <a:ext uri="{FF2B5EF4-FFF2-40B4-BE49-F238E27FC236}">
                <a16:creationId xmlns:a16="http://schemas.microsoft.com/office/drawing/2014/main" id="{52A74DDA-59F2-4F5D-ABDF-23CED6C1B2E8}"/>
              </a:ext>
            </a:extLst>
          </xdr:cNvPr>
          <xdr:cNvSpPr/>
        </xdr:nvSpPr>
        <xdr:spPr>
          <a:xfrm rot="5400000">
            <a:off x="5669757" y="84630418"/>
            <a:ext cx="64292" cy="3866356"/>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2060" name="Rectangle 2059">
            <a:extLst>
              <a:ext uri="{FF2B5EF4-FFF2-40B4-BE49-F238E27FC236}">
                <a16:creationId xmlns:a16="http://schemas.microsoft.com/office/drawing/2014/main" id="{55ABC319-72C5-3F03-F077-200159D8977C}"/>
              </a:ext>
            </a:extLst>
          </xdr:cNvPr>
          <xdr:cNvSpPr/>
        </xdr:nvSpPr>
        <xdr:spPr>
          <a:xfrm>
            <a:off x="6137253" y="86386995"/>
            <a:ext cx="358778" cy="358778"/>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2036" name="Rectangle 2035">
            <a:extLst>
              <a:ext uri="{FF2B5EF4-FFF2-40B4-BE49-F238E27FC236}">
                <a16:creationId xmlns:a16="http://schemas.microsoft.com/office/drawing/2014/main" id="{37C1B8DE-136A-FA1D-2A26-39F5F76E1495}"/>
              </a:ext>
            </a:extLst>
          </xdr:cNvPr>
          <xdr:cNvSpPr/>
        </xdr:nvSpPr>
        <xdr:spPr>
          <a:xfrm>
            <a:off x="7432673" y="86385397"/>
            <a:ext cx="358778" cy="358778"/>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2057" name="Rectangle 2056">
            <a:extLst>
              <a:ext uri="{FF2B5EF4-FFF2-40B4-BE49-F238E27FC236}">
                <a16:creationId xmlns:a16="http://schemas.microsoft.com/office/drawing/2014/main" id="{A1AE4601-9FEC-07FA-8047-15673DD2956B}"/>
              </a:ext>
            </a:extLst>
          </xdr:cNvPr>
          <xdr:cNvSpPr/>
        </xdr:nvSpPr>
        <xdr:spPr>
          <a:xfrm>
            <a:off x="4841856" y="86386995"/>
            <a:ext cx="358778" cy="358778"/>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2063" name="Rectangle 2062">
            <a:extLst>
              <a:ext uri="{FF2B5EF4-FFF2-40B4-BE49-F238E27FC236}">
                <a16:creationId xmlns:a16="http://schemas.microsoft.com/office/drawing/2014/main" id="{D1D81D10-2A21-7BFC-EBB2-15CFDECADB9E}"/>
              </a:ext>
            </a:extLst>
          </xdr:cNvPr>
          <xdr:cNvSpPr/>
        </xdr:nvSpPr>
        <xdr:spPr>
          <a:xfrm>
            <a:off x="3967152" y="86388584"/>
            <a:ext cx="358778" cy="358778"/>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2066" name="Rectangle 2065">
            <a:extLst>
              <a:ext uri="{FF2B5EF4-FFF2-40B4-BE49-F238E27FC236}">
                <a16:creationId xmlns:a16="http://schemas.microsoft.com/office/drawing/2014/main" id="{16184B77-F7CE-11C5-4F4D-A8EFFA0CFE44}"/>
              </a:ext>
            </a:extLst>
          </xdr:cNvPr>
          <xdr:cNvSpPr/>
        </xdr:nvSpPr>
        <xdr:spPr>
          <a:xfrm>
            <a:off x="4405302" y="86388586"/>
            <a:ext cx="358778" cy="358778"/>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2069" name="Rectangle 2068">
            <a:extLst>
              <a:ext uri="{FF2B5EF4-FFF2-40B4-BE49-F238E27FC236}">
                <a16:creationId xmlns:a16="http://schemas.microsoft.com/office/drawing/2014/main" id="{1ED6B667-4C56-4745-738B-F693F0332010}"/>
              </a:ext>
            </a:extLst>
          </xdr:cNvPr>
          <xdr:cNvSpPr/>
        </xdr:nvSpPr>
        <xdr:spPr>
          <a:xfrm>
            <a:off x="6577001" y="86388582"/>
            <a:ext cx="358778" cy="358778"/>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2072" name="Rectangle 2071">
            <a:extLst>
              <a:ext uri="{FF2B5EF4-FFF2-40B4-BE49-F238E27FC236}">
                <a16:creationId xmlns:a16="http://schemas.microsoft.com/office/drawing/2014/main" id="{985CE974-DE0F-D0F4-1C64-B87622B712D4}"/>
              </a:ext>
            </a:extLst>
          </xdr:cNvPr>
          <xdr:cNvSpPr/>
        </xdr:nvSpPr>
        <xdr:spPr>
          <a:xfrm>
            <a:off x="7015151" y="86388584"/>
            <a:ext cx="358778" cy="358778"/>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1978" name="Rectangle 1977">
            <a:extLst>
              <a:ext uri="{FF2B5EF4-FFF2-40B4-BE49-F238E27FC236}">
                <a16:creationId xmlns:a16="http://schemas.microsoft.com/office/drawing/2014/main" id="{53C9FDAA-B335-4E6F-BBB4-F646913A1656}"/>
              </a:ext>
            </a:extLst>
          </xdr:cNvPr>
          <xdr:cNvSpPr/>
        </xdr:nvSpPr>
        <xdr:spPr>
          <a:xfrm>
            <a:off x="3546474" y="81384772"/>
            <a:ext cx="358778" cy="358778"/>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2015" name="Rectangle 2014">
            <a:extLst>
              <a:ext uri="{FF2B5EF4-FFF2-40B4-BE49-F238E27FC236}">
                <a16:creationId xmlns:a16="http://schemas.microsoft.com/office/drawing/2014/main" id="{E6F31E28-ECAF-1DCD-DBF4-61FCDA12A523}"/>
              </a:ext>
            </a:extLst>
          </xdr:cNvPr>
          <xdr:cNvSpPr/>
        </xdr:nvSpPr>
        <xdr:spPr>
          <a:xfrm>
            <a:off x="7432674" y="81384772"/>
            <a:ext cx="358778" cy="358778"/>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2039" name="Rectangle 2038">
            <a:extLst>
              <a:ext uri="{FF2B5EF4-FFF2-40B4-BE49-F238E27FC236}">
                <a16:creationId xmlns:a16="http://schemas.microsoft.com/office/drawing/2014/main" id="{3A3F12C3-9BD0-BDDF-CCEE-B98387972322}"/>
              </a:ext>
            </a:extLst>
          </xdr:cNvPr>
          <xdr:cNvSpPr/>
        </xdr:nvSpPr>
        <xdr:spPr>
          <a:xfrm>
            <a:off x="4841865" y="81384772"/>
            <a:ext cx="358778" cy="358778"/>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2042" name="Rectangle 2041">
            <a:extLst>
              <a:ext uri="{FF2B5EF4-FFF2-40B4-BE49-F238E27FC236}">
                <a16:creationId xmlns:a16="http://schemas.microsoft.com/office/drawing/2014/main" id="{4A8ED18F-41FE-52D1-1D6D-4673F4A49EA7}"/>
              </a:ext>
            </a:extLst>
          </xdr:cNvPr>
          <xdr:cNvSpPr/>
        </xdr:nvSpPr>
        <xdr:spPr>
          <a:xfrm>
            <a:off x="6137262" y="81384772"/>
            <a:ext cx="358778" cy="358778"/>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2045" name="Rectangle 2044">
            <a:extLst>
              <a:ext uri="{FF2B5EF4-FFF2-40B4-BE49-F238E27FC236}">
                <a16:creationId xmlns:a16="http://schemas.microsoft.com/office/drawing/2014/main" id="{B4C7038A-C1D9-7A12-ABCD-2250F68F52FC}"/>
              </a:ext>
            </a:extLst>
          </xdr:cNvPr>
          <xdr:cNvSpPr/>
        </xdr:nvSpPr>
        <xdr:spPr>
          <a:xfrm>
            <a:off x="3967161" y="81386361"/>
            <a:ext cx="358778" cy="358778"/>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2048" name="Rectangle 2047">
            <a:extLst>
              <a:ext uri="{FF2B5EF4-FFF2-40B4-BE49-F238E27FC236}">
                <a16:creationId xmlns:a16="http://schemas.microsoft.com/office/drawing/2014/main" id="{EFE5C792-3F47-E11F-3131-C6EE3682DAB8}"/>
              </a:ext>
            </a:extLst>
          </xdr:cNvPr>
          <xdr:cNvSpPr/>
        </xdr:nvSpPr>
        <xdr:spPr>
          <a:xfrm>
            <a:off x="4405311" y="81386363"/>
            <a:ext cx="358778" cy="358778"/>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2051" name="Rectangle 2050">
            <a:extLst>
              <a:ext uri="{FF2B5EF4-FFF2-40B4-BE49-F238E27FC236}">
                <a16:creationId xmlns:a16="http://schemas.microsoft.com/office/drawing/2014/main" id="{3C9FD2DD-86D9-7646-F6E3-4E3D01E32F33}"/>
              </a:ext>
            </a:extLst>
          </xdr:cNvPr>
          <xdr:cNvSpPr/>
        </xdr:nvSpPr>
        <xdr:spPr>
          <a:xfrm>
            <a:off x="6577010" y="81386359"/>
            <a:ext cx="358778" cy="358778"/>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2054" name="Rectangle 2053">
            <a:extLst>
              <a:ext uri="{FF2B5EF4-FFF2-40B4-BE49-F238E27FC236}">
                <a16:creationId xmlns:a16="http://schemas.microsoft.com/office/drawing/2014/main" id="{E89623C1-BFA8-F333-C60D-9B87A6558F93}"/>
              </a:ext>
            </a:extLst>
          </xdr:cNvPr>
          <xdr:cNvSpPr/>
        </xdr:nvSpPr>
        <xdr:spPr>
          <a:xfrm>
            <a:off x="7015160" y="81386361"/>
            <a:ext cx="358778" cy="358778"/>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1994" name="Rectangle 1993">
            <a:extLst>
              <a:ext uri="{FF2B5EF4-FFF2-40B4-BE49-F238E27FC236}">
                <a16:creationId xmlns:a16="http://schemas.microsoft.com/office/drawing/2014/main" id="{5D83C8AD-55CE-BA5B-CC1C-2DC95D18C8E2}"/>
              </a:ext>
            </a:extLst>
          </xdr:cNvPr>
          <xdr:cNvSpPr/>
        </xdr:nvSpPr>
        <xdr:spPr>
          <a:xfrm>
            <a:off x="3546473" y="82099147"/>
            <a:ext cx="358778" cy="358778"/>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1997" name="Rectangle 1996">
            <a:extLst>
              <a:ext uri="{FF2B5EF4-FFF2-40B4-BE49-F238E27FC236}">
                <a16:creationId xmlns:a16="http://schemas.microsoft.com/office/drawing/2014/main" id="{CD06B426-6D0E-8F9E-C0B9-12572124B7E3}"/>
              </a:ext>
            </a:extLst>
          </xdr:cNvPr>
          <xdr:cNvSpPr/>
        </xdr:nvSpPr>
        <xdr:spPr>
          <a:xfrm>
            <a:off x="3546473" y="82813522"/>
            <a:ext cx="358778" cy="358778"/>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2000" name="Rectangle 1999">
            <a:extLst>
              <a:ext uri="{FF2B5EF4-FFF2-40B4-BE49-F238E27FC236}">
                <a16:creationId xmlns:a16="http://schemas.microsoft.com/office/drawing/2014/main" id="{DC6C10BC-DA8A-E51A-BA75-C0198DE4FB47}"/>
              </a:ext>
            </a:extLst>
          </xdr:cNvPr>
          <xdr:cNvSpPr/>
        </xdr:nvSpPr>
        <xdr:spPr>
          <a:xfrm>
            <a:off x="3546473" y="83527897"/>
            <a:ext cx="358778" cy="358778"/>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2003" name="Rectangle 2002">
            <a:extLst>
              <a:ext uri="{FF2B5EF4-FFF2-40B4-BE49-F238E27FC236}">
                <a16:creationId xmlns:a16="http://schemas.microsoft.com/office/drawing/2014/main" id="{5865A95F-04E7-BD1F-ABB3-25C2F6279CD3}"/>
              </a:ext>
            </a:extLst>
          </xdr:cNvPr>
          <xdr:cNvSpPr/>
        </xdr:nvSpPr>
        <xdr:spPr>
          <a:xfrm>
            <a:off x="3546473" y="84242272"/>
            <a:ext cx="358778" cy="358778"/>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2006" name="Rectangle 2005">
            <a:extLst>
              <a:ext uri="{FF2B5EF4-FFF2-40B4-BE49-F238E27FC236}">
                <a16:creationId xmlns:a16="http://schemas.microsoft.com/office/drawing/2014/main" id="{34083279-FB99-1EF1-B0FF-F9E76138C854}"/>
              </a:ext>
            </a:extLst>
          </xdr:cNvPr>
          <xdr:cNvSpPr/>
        </xdr:nvSpPr>
        <xdr:spPr>
          <a:xfrm>
            <a:off x="3546473" y="84956647"/>
            <a:ext cx="358778" cy="358778"/>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2021" name="Rectangle 2020">
            <a:extLst>
              <a:ext uri="{FF2B5EF4-FFF2-40B4-BE49-F238E27FC236}">
                <a16:creationId xmlns:a16="http://schemas.microsoft.com/office/drawing/2014/main" id="{4D69D333-AAB0-6F46-C5AB-38703D08515A}"/>
              </a:ext>
            </a:extLst>
          </xdr:cNvPr>
          <xdr:cNvSpPr/>
        </xdr:nvSpPr>
        <xdr:spPr>
          <a:xfrm>
            <a:off x="7432673" y="82813522"/>
            <a:ext cx="358778" cy="358778"/>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2024" name="Rectangle 2023">
            <a:extLst>
              <a:ext uri="{FF2B5EF4-FFF2-40B4-BE49-F238E27FC236}">
                <a16:creationId xmlns:a16="http://schemas.microsoft.com/office/drawing/2014/main" id="{A57CBBA8-A20D-DF46-9092-790CDE7C4CD5}"/>
              </a:ext>
            </a:extLst>
          </xdr:cNvPr>
          <xdr:cNvSpPr/>
        </xdr:nvSpPr>
        <xdr:spPr>
          <a:xfrm>
            <a:off x="7432673" y="83527897"/>
            <a:ext cx="358778" cy="358778"/>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2027" name="Rectangle 2026">
            <a:extLst>
              <a:ext uri="{FF2B5EF4-FFF2-40B4-BE49-F238E27FC236}">
                <a16:creationId xmlns:a16="http://schemas.microsoft.com/office/drawing/2014/main" id="{004EA719-E3C6-A59F-3014-41084913DA80}"/>
              </a:ext>
            </a:extLst>
          </xdr:cNvPr>
          <xdr:cNvSpPr/>
        </xdr:nvSpPr>
        <xdr:spPr>
          <a:xfrm>
            <a:off x="7432673" y="84242272"/>
            <a:ext cx="358778" cy="358778"/>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2030" name="Rectangle 2029">
            <a:extLst>
              <a:ext uri="{FF2B5EF4-FFF2-40B4-BE49-F238E27FC236}">
                <a16:creationId xmlns:a16="http://schemas.microsoft.com/office/drawing/2014/main" id="{6F0A3FF1-52C6-9B28-A8E5-83D43F1192F9}"/>
              </a:ext>
            </a:extLst>
          </xdr:cNvPr>
          <xdr:cNvSpPr/>
        </xdr:nvSpPr>
        <xdr:spPr>
          <a:xfrm>
            <a:off x="7432673" y="84956647"/>
            <a:ext cx="358778" cy="358778"/>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2018" name="Rectangle 2017">
            <a:extLst>
              <a:ext uri="{FF2B5EF4-FFF2-40B4-BE49-F238E27FC236}">
                <a16:creationId xmlns:a16="http://schemas.microsoft.com/office/drawing/2014/main" id="{408EB410-1ED6-8F27-7594-AA2AB7FA805C}"/>
              </a:ext>
            </a:extLst>
          </xdr:cNvPr>
          <xdr:cNvSpPr/>
        </xdr:nvSpPr>
        <xdr:spPr>
          <a:xfrm>
            <a:off x="7432673" y="82099147"/>
            <a:ext cx="358778" cy="358778"/>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2033" name="Rectangle 2032">
            <a:extLst>
              <a:ext uri="{FF2B5EF4-FFF2-40B4-BE49-F238E27FC236}">
                <a16:creationId xmlns:a16="http://schemas.microsoft.com/office/drawing/2014/main" id="{67EBCDE7-00A7-A128-5B78-A48B03190E12}"/>
              </a:ext>
            </a:extLst>
          </xdr:cNvPr>
          <xdr:cNvSpPr/>
        </xdr:nvSpPr>
        <xdr:spPr>
          <a:xfrm>
            <a:off x="7432673" y="85671022"/>
            <a:ext cx="358778" cy="358778"/>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2009" name="Rectangle 2008">
            <a:extLst>
              <a:ext uri="{FF2B5EF4-FFF2-40B4-BE49-F238E27FC236}">
                <a16:creationId xmlns:a16="http://schemas.microsoft.com/office/drawing/2014/main" id="{6AB11C67-177E-BF39-A8CC-C7EFE5E624E4}"/>
              </a:ext>
            </a:extLst>
          </xdr:cNvPr>
          <xdr:cNvSpPr/>
        </xdr:nvSpPr>
        <xdr:spPr>
          <a:xfrm>
            <a:off x="3546473" y="85671022"/>
            <a:ext cx="358778" cy="358778"/>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2012" name="Rectangle 2011">
            <a:extLst>
              <a:ext uri="{FF2B5EF4-FFF2-40B4-BE49-F238E27FC236}">
                <a16:creationId xmlns:a16="http://schemas.microsoft.com/office/drawing/2014/main" id="{2FCCFBA7-296A-C137-78AA-B71A744836A1}"/>
              </a:ext>
            </a:extLst>
          </xdr:cNvPr>
          <xdr:cNvSpPr/>
        </xdr:nvSpPr>
        <xdr:spPr>
          <a:xfrm>
            <a:off x="3546473" y="86385397"/>
            <a:ext cx="358778" cy="358778"/>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2075" name="Rectangle 2074">
            <a:extLst>
              <a:ext uri="{FF2B5EF4-FFF2-40B4-BE49-F238E27FC236}">
                <a16:creationId xmlns:a16="http://schemas.microsoft.com/office/drawing/2014/main" id="{B46F44F5-21D6-4BA6-BE41-626C1CDC764B}"/>
              </a:ext>
            </a:extLst>
          </xdr:cNvPr>
          <xdr:cNvSpPr/>
        </xdr:nvSpPr>
        <xdr:spPr>
          <a:xfrm rot="5400000">
            <a:off x="5664201" y="79629797"/>
            <a:ext cx="64292" cy="3866356"/>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2038" name="Rectangle 2037">
            <a:extLst>
              <a:ext uri="{FF2B5EF4-FFF2-40B4-BE49-F238E27FC236}">
                <a16:creationId xmlns:a16="http://schemas.microsoft.com/office/drawing/2014/main" id="{DE2A4693-4AF9-F951-2BFD-B8E9584D3AF5}"/>
              </a:ext>
            </a:extLst>
          </xdr:cNvPr>
          <xdr:cNvSpPr/>
        </xdr:nvSpPr>
        <xdr:spPr>
          <a:xfrm>
            <a:off x="4948229" y="81489550"/>
            <a:ext cx="146050" cy="146050"/>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2041" name="Rectangle 2040">
            <a:extLst>
              <a:ext uri="{FF2B5EF4-FFF2-40B4-BE49-F238E27FC236}">
                <a16:creationId xmlns:a16="http://schemas.microsoft.com/office/drawing/2014/main" id="{94A770D3-9E35-1C26-E5B6-A786ADB53100}"/>
              </a:ext>
            </a:extLst>
          </xdr:cNvPr>
          <xdr:cNvSpPr/>
        </xdr:nvSpPr>
        <xdr:spPr>
          <a:xfrm>
            <a:off x="6243626" y="81489550"/>
            <a:ext cx="146050" cy="146050"/>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2044" name="Rectangle 2043">
            <a:extLst>
              <a:ext uri="{FF2B5EF4-FFF2-40B4-BE49-F238E27FC236}">
                <a16:creationId xmlns:a16="http://schemas.microsoft.com/office/drawing/2014/main" id="{164DE92D-46DF-D023-1831-8157E3C59686}"/>
              </a:ext>
            </a:extLst>
          </xdr:cNvPr>
          <xdr:cNvSpPr/>
        </xdr:nvSpPr>
        <xdr:spPr>
          <a:xfrm>
            <a:off x="4073525" y="81491139"/>
            <a:ext cx="146050" cy="146050"/>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2047" name="Rectangle 2046">
            <a:extLst>
              <a:ext uri="{FF2B5EF4-FFF2-40B4-BE49-F238E27FC236}">
                <a16:creationId xmlns:a16="http://schemas.microsoft.com/office/drawing/2014/main" id="{A263ABC7-C987-03A0-4AE8-2CDD97533A32}"/>
              </a:ext>
            </a:extLst>
          </xdr:cNvPr>
          <xdr:cNvSpPr/>
        </xdr:nvSpPr>
        <xdr:spPr>
          <a:xfrm>
            <a:off x="4511675" y="81491141"/>
            <a:ext cx="146050" cy="146050"/>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2050" name="Rectangle 2049">
            <a:extLst>
              <a:ext uri="{FF2B5EF4-FFF2-40B4-BE49-F238E27FC236}">
                <a16:creationId xmlns:a16="http://schemas.microsoft.com/office/drawing/2014/main" id="{48059DC2-8165-E847-80CE-14CC54D99F76}"/>
              </a:ext>
            </a:extLst>
          </xdr:cNvPr>
          <xdr:cNvSpPr/>
        </xdr:nvSpPr>
        <xdr:spPr>
          <a:xfrm>
            <a:off x="6683374" y="81491137"/>
            <a:ext cx="146050" cy="146050"/>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2053" name="Rectangle 2052">
            <a:extLst>
              <a:ext uri="{FF2B5EF4-FFF2-40B4-BE49-F238E27FC236}">
                <a16:creationId xmlns:a16="http://schemas.microsoft.com/office/drawing/2014/main" id="{430582C4-3EC3-43BC-A579-2AA8046E1BCB}"/>
              </a:ext>
            </a:extLst>
          </xdr:cNvPr>
          <xdr:cNvSpPr/>
        </xdr:nvSpPr>
        <xdr:spPr>
          <a:xfrm>
            <a:off x="7121524" y="81491139"/>
            <a:ext cx="146050" cy="146050"/>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2073" name="Rectangle 2072">
            <a:extLst>
              <a:ext uri="{FF2B5EF4-FFF2-40B4-BE49-F238E27FC236}">
                <a16:creationId xmlns:a16="http://schemas.microsoft.com/office/drawing/2014/main" id="{B2F9FCD4-3563-8312-C69B-06C9FA845A1C}"/>
              </a:ext>
            </a:extLst>
          </xdr:cNvPr>
          <xdr:cNvSpPr/>
        </xdr:nvSpPr>
        <xdr:spPr>
          <a:xfrm>
            <a:off x="3690939" y="81607026"/>
            <a:ext cx="61911" cy="4908550"/>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2074" name="Rectangle 2073">
            <a:extLst>
              <a:ext uri="{FF2B5EF4-FFF2-40B4-BE49-F238E27FC236}">
                <a16:creationId xmlns:a16="http://schemas.microsoft.com/office/drawing/2014/main" id="{9C6E44E6-C5D4-47B3-8CA3-D5813DF7ECE2}"/>
              </a:ext>
            </a:extLst>
          </xdr:cNvPr>
          <xdr:cNvSpPr/>
        </xdr:nvSpPr>
        <xdr:spPr>
          <a:xfrm>
            <a:off x="7581900" y="81629250"/>
            <a:ext cx="61911" cy="4908550"/>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cxnSp macro="">
        <xdr:nvCxnSpPr>
          <xdr:cNvPr id="2135" name="Straight Connector 2134">
            <a:extLst>
              <a:ext uri="{FF2B5EF4-FFF2-40B4-BE49-F238E27FC236}">
                <a16:creationId xmlns:a16="http://schemas.microsoft.com/office/drawing/2014/main" id="{28AED578-981C-6B54-AD8B-B72BFBFDB716}"/>
              </a:ext>
            </a:extLst>
          </xdr:cNvPr>
          <xdr:cNvCxnSpPr/>
        </xdr:nvCxnSpPr>
        <xdr:spPr>
          <a:xfrm>
            <a:off x="3467100" y="81900712"/>
            <a:ext cx="542925" cy="0"/>
          </a:xfrm>
          <a:prstGeom prst="line">
            <a:avLst/>
          </a:prstGeom>
          <a:ln w="12700">
            <a:solidFill>
              <a:schemeClr val="accent6">
                <a:lumMod val="75000"/>
              </a:schemeClr>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2137" name="Straight Connector 2136">
            <a:extLst>
              <a:ext uri="{FF2B5EF4-FFF2-40B4-BE49-F238E27FC236}">
                <a16:creationId xmlns:a16="http://schemas.microsoft.com/office/drawing/2014/main" id="{44F51808-E38D-44D6-A35E-A06D47EB1F47}"/>
              </a:ext>
            </a:extLst>
          </xdr:cNvPr>
          <xdr:cNvCxnSpPr/>
        </xdr:nvCxnSpPr>
        <xdr:spPr>
          <a:xfrm>
            <a:off x="3467100" y="81934050"/>
            <a:ext cx="542925" cy="0"/>
          </a:xfrm>
          <a:prstGeom prst="line">
            <a:avLst/>
          </a:prstGeom>
          <a:ln w="12700">
            <a:solidFill>
              <a:schemeClr val="accent6">
                <a:lumMod val="75000"/>
              </a:schemeClr>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2138" name="Straight Connector 2137">
            <a:extLst>
              <a:ext uri="{FF2B5EF4-FFF2-40B4-BE49-F238E27FC236}">
                <a16:creationId xmlns:a16="http://schemas.microsoft.com/office/drawing/2014/main" id="{4D2EDEFD-AF34-4064-A6E7-EEE084019771}"/>
              </a:ext>
            </a:extLst>
          </xdr:cNvPr>
          <xdr:cNvCxnSpPr/>
        </xdr:nvCxnSpPr>
        <xdr:spPr>
          <a:xfrm>
            <a:off x="7353287" y="81910243"/>
            <a:ext cx="542925" cy="0"/>
          </a:xfrm>
          <a:prstGeom prst="line">
            <a:avLst/>
          </a:prstGeom>
          <a:ln w="12700">
            <a:solidFill>
              <a:schemeClr val="accent6">
                <a:lumMod val="75000"/>
              </a:schemeClr>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2139" name="Straight Connector 2138">
            <a:extLst>
              <a:ext uri="{FF2B5EF4-FFF2-40B4-BE49-F238E27FC236}">
                <a16:creationId xmlns:a16="http://schemas.microsoft.com/office/drawing/2014/main" id="{B2B1324A-361A-460B-9B59-48065A83A58A}"/>
              </a:ext>
            </a:extLst>
          </xdr:cNvPr>
          <xdr:cNvCxnSpPr/>
        </xdr:nvCxnSpPr>
        <xdr:spPr>
          <a:xfrm>
            <a:off x="7353287" y="81943581"/>
            <a:ext cx="542925" cy="0"/>
          </a:xfrm>
          <a:prstGeom prst="line">
            <a:avLst/>
          </a:prstGeom>
          <a:ln w="12700">
            <a:solidFill>
              <a:schemeClr val="accent6">
                <a:lumMod val="75000"/>
              </a:schemeClr>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1993" name="Rectangle 1992">
            <a:extLst>
              <a:ext uri="{FF2B5EF4-FFF2-40B4-BE49-F238E27FC236}">
                <a16:creationId xmlns:a16="http://schemas.microsoft.com/office/drawing/2014/main" id="{A4D752D2-D2AB-5CC7-9D6D-45CF5CEB2019}"/>
              </a:ext>
            </a:extLst>
          </xdr:cNvPr>
          <xdr:cNvSpPr/>
        </xdr:nvSpPr>
        <xdr:spPr>
          <a:xfrm>
            <a:off x="3652837" y="82203925"/>
            <a:ext cx="146050" cy="146050"/>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1996" name="Rectangle 1995">
            <a:extLst>
              <a:ext uri="{FF2B5EF4-FFF2-40B4-BE49-F238E27FC236}">
                <a16:creationId xmlns:a16="http://schemas.microsoft.com/office/drawing/2014/main" id="{D9072010-0643-C3DC-0097-2A875039F9DC}"/>
              </a:ext>
            </a:extLst>
          </xdr:cNvPr>
          <xdr:cNvSpPr/>
        </xdr:nvSpPr>
        <xdr:spPr>
          <a:xfrm>
            <a:off x="3652837" y="82918300"/>
            <a:ext cx="146050" cy="146050"/>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1999" name="Rectangle 1998">
            <a:extLst>
              <a:ext uri="{FF2B5EF4-FFF2-40B4-BE49-F238E27FC236}">
                <a16:creationId xmlns:a16="http://schemas.microsoft.com/office/drawing/2014/main" id="{0C8EF6C8-79B1-AF17-99E7-930D89F2A69A}"/>
              </a:ext>
            </a:extLst>
          </xdr:cNvPr>
          <xdr:cNvSpPr/>
        </xdr:nvSpPr>
        <xdr:spPr>
          <a:xfrm>
            <a:off x="3652837" y="83632675"/>
            <a:ext cx="146050" cy="146050"/>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2002" name="Rectangle 2001">
            <a:extLst>
              <a:ext uri="{FF2B5EF4-FFF2-40B4-BE49-F238E27FC236}">
                <a16:creationId xmlns:a16="http://schemas.microsoft.com/office/drawing/2014/main" id="{3254E42E-7FFC-168C-72A5-E7B20B30EEA7}"/>
              </a:ext>
            </a:extLst>
          </xdr:cNvPr>
          <xdr:cNvSpPr/>
        </xdr:nvSpPr>
        <xdr:spPr>
          <a:xfrm>
            <a:off x="3652837" y="84347050"/>
            <a:ext cx="146050" cy="146050"/>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2014" name="Rectangle 2013">
            <a:extLst>
              <a:ext uri="{FF2B5EF4-FFF2-40B4-BE49-F238E27FC236}">
                <a16:creationId xmlns:a16="http://schemas.microsoft.com/office/drawing/2014/main" id="{1F4107D7-0702-8253-D79A-43F216D1EBE2}"/>
              </a:ext>
            </a:extLst>
          </xdr:cNvPr>
          <xdr:cNvSpPr/>
        </xdr:nvSpPr>
        <xdr:spPr>
          <a:xfrm>
            <a:off x="7539038" y="81489550"/>
            <a:ext cx="146050" cy="146050"/>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1977" name="Rectangle 1976">
            <a:extLst>
              <a:ext uri="{FF2B5EF4-FFF2-40B4-BE49-F238E27FC236}">
                <a16:creationId xmlns:a16="http://schemas.microsoft.com/office/drawing/2014/main" id="{E0601708-9A6D-AAFE-DFD4-4760CD553726}"/>
              </a:ext>
            </a:extLst>
          </xdr:cNvPr>
          <xdr:cNvSpPr/>
        </xdr:nvSpPr>
        <xdr:spPr>
          <a:xfrm>
            <a:off x="3652838" y="81489550"/>
            <a:ext cx="146050" cy="146050"/>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2020" name="Rectangle 2019">
            <a:extLst>
              <a:ext uri="{FF2B5EF4-FFF2-40B4-BE49-F238E27FC236}">
                <a16:creationId xmlns:a16="http://schemas.microsoft.com/office/drawing/2014/main" id="{D13CF3A3-541D-FD28-06F7-924FFCFA0BB2}"/>
              </a:ext>
            </a:extLst>
          </xdr:cNvPr>
          <xdr:cNvSpPr/>
        </xdr:nvSpPr>
        <xdr:spPr>
          <a:xfrm>
            <a:off x="7539037" y="82918300"/>
            <a:ext cx="146050" cy="146050"/>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2023" name="Rectangle 2022">
            <a:extLst>
              <a:ext uri="{FF2B5EF4-FFF2-40B4-BE49-F238E27FC236}">
                <a16:creationId xmlns:a16="http://schemas.microsoft.com/office/drawing/2014/main" id="{2D50B995-788F-BBA6-547F-87E7E7FDFABF}"/>
              </a:ext>
            </a:extLst>
          </xdr:cNvPr>
          <xdr:cNvSpPr/>
        </xdr:nvSpPr>
        <xdr:spPr>
          <a:xfrm>
            <a:off x="7539037" y="83632675"/>
            <a:ext cx="146050" cy="146050"/>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2026" name="Rectangle 2025">
            <a:extLst>
              <a:ext uri="{FF2B5EF4-FFF2-40B4-BE49-F238E27FC236}">
                <a16:creationId xmlns:a16="http://schemas.microsoft.com/office/drawing/2014/main" id="{E347983D-59CF-0A16-7865-2792548C297E}"/>
              </a:ext>
            </a:extLst>
          </xdr:cNvPr>
          <xdr:cNvSpPr/>
        </xdr:nvSpPr>
        <xdr:spPr>
          <a:xfrm>
            <a:off x="7539037" y="84347050"/>
            <a:ext cx="146050" cy="146050"/>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2017" name="Rectangle 2016">
            <a:extLst>
              <a:ext uri="{FF2B5EF4-FFF2-40B4-BE49-F238E27FC236}">
                <a16:creationId xmlns:a16="http://schemas.microsoft.com/office/drawing/2014/main" id="{FF9BCEAE-2FC7-DA47-D9FD-7389E3C1E04C}"/>
              </a:ext>
            </a:extLst>
          </xdr:cNvPr>
          <xdr:cNvSpPr/>
        </xdr:nvSpPr>
        <xdr:spPr>
          <a:xfrm>
            <a:off x="7539037" y="82203925"/>
            <a:ext cx="146050" cy="146050"/>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2005" name="Rectangle 2004">
            <a:extLst>
              <a:ext uri="{FF2B5EF4-FFF2-40B4-BE49-F238E27FC236}">
                <a16:creationId xmlns:a16="http://schemas.microsoft.com/office/drawing/2014/main" id="{6F35A846-189F-DA4E-581B-DE19216F7A89}"/>
              </a:ext>
            </a:extLst>
          </xdr:cNvPr>
          <xdr:cNvSpPr/>
        </xdr:nvSpPr>
        <xdr:spPr>
          <a:xfrm>
            <a:off x="3652837" y="85061425"/>
            <a:ext cx="146050" cy="146050"/>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2029" name="Rectangle 2028">
            <a:extLst>
              <a:ext uri="{FF2B5EF4-FFF2-40B4-BE49-F238E27FC236}">
                <a16:creationId xmlns:a16="http://schemas.microsoft.com/office/drawing/2014/main" id="{3279DC6F-5214-C76E-B359-C262A10760DB}"/>
              </a:ext>
            </a:extLst>
          </xdr:cNvPr>
          <xdr:cNvSpPr/>
        </xdr:nvSpPr>
        <xdr:spPr>
          <a:xfrm>
            <a:off x="7539037" y="85061425"/>
            <a:ext cx="146050" cy="146050"/>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2032" name="Rectangle 2031">
            <a:extLst>
              <a:ext uri="{FF2B5EF4-FFF2-40B4-BE49-F238E27FC236}">
                <a16:creationId xmlns:a16="http://schemas.microsoft.com/office/drawing/2014/main" id="{439BEB1F-1287-6426-45A1-1ACA33759B39}"/>
              </a:ext>
            </a:extLst>
          </xdr:cNvPr>
          <xdr:cNvSpPr/>
        </xdr:nvSpPr>
        <xdr:spPr>
          <a:xfrm>
            <a:off x="7539037" y="85775800"/>
            <a:ext cx="146050" cy="146050"/>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2008" name="Rectangle 2007">
            <a:extLst>
              <a:ext uri="{FF2B5EF4-FFF2-40B4-BE49-F238E27FC236}">
                <a16:creationId xmlns:a16="http://schemas.microsoft.com/office/drawing/2014/main" id="{3484741A-7E3C-FD56-0F9C-2DD19B8EFCA6}"/>
              </a:ext>
            </a:extLst>
          </xdr:cNvPr>
          <xdr:cNvSpPr/>
        </xdr:nvSpPr>
        <xdr:spPr>
          <a:xfrm>
            <a:off x="3652837" y="85775800"/>
            <a:ext cx="146050" cy="146050"/>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2059" name="Rectangle 2058">
            <a:extLst>
              <a:ext uri="{FF2B5EF4-FFF2-40B4-BE49-F238E27FC236}">
                <a16:creationId xmlns:a16="http://schemas.microsoft.com/office/drawing/2014/main" id="{24294D5E-0067-EDB1-4C01-20E06861FDF5}"/>
              </a:ext>
            </a:extLst>
          </xdr:cNvPr>
          <xdr:cNvSpPr/>
        </xdr:nvSpPr>
        <xdr:spPr>
          <a:xfrm>
            <a:off x="6243617" y="86491773"/>
            <a:ext cx="146050" cy="146050"/>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2035" name="Rectangle 2034">
            <a:extLst>
              <a:ext uri="{FF2B5EF4-FFF2-40B4-BE49-F238E27FC236}">
                <a16:creationId xmlns:a16="http://schemas.microsoft.com/office/drawing/2014/main" id="{89A7FC6A-6369-FB8C-4CC2-B1A2741C9FDC}"/>
              </a:ext>
            </a:extLst>
          </xdr:cNvPr>
          <xdr:cNvSpPr/>
        </xdr:nvSpPr>
        <xdr:spPr>
          <a:xfrm>
            <a:off x="7539037" y="86490175"/>
            <a:ext cx="146050" cy="146050"/>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2056" name="Rectangle 2055">
            <a:extLst>
              <a:ext uri="{FF2B5EF4-FFF2-40B4-BE49-F238E27FC236}">
                <a16:creationId xmlns:a16="http://schemas.microsoft.com/office/drawing/2014/main" id="{64497213-7833-90F9-9E4E-084CE4B0E2F2}"/>
              </a:ext>
            </a:extLst>
          </xdr:cNvPr>
          <xdr:cNvSpPr/>
        </xdr:nvSpPr>
        <xdr:spPr>
          <a:xfrm>
            <a:off x="4948220" y="86491773"/>
            <a:ext cx="146050" cy="146050"/>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2062" name="Rectangle 2061">
            <a:extLst>
              <a:ext uri="{FF2B5EF4-FFF2-40B4-BE49-F238E27FC236}">
                <a16:creationId xmlns:a16="http://schemas.microsoft.com/office/drawing/2014/main" id="{2DC1A534-271B-1C63-8EC7-EF6E4B0D3046}"/>
              </a:ext>
            </a:extLst>
          </xdr:cNvPr>
          <xdr:cNvSpPr/>
        </xdr:nvSpPr>
        <xdr:spPr>
          <a:xfrm>
            <a:off x="4073516" y="86493362"/>
            <a:ext cx="146050" cy="146050"/>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2065" name="Rectangle 2064">
            <a:extLst>
              <a:ext uri="{FF2B5EF4-FFF2-40B4-BE49-F238E27FC236}">
                <a16:creationId xmlns:a16="http://schemas.microsoft.com/office/drawing/2014/main" id="{1EC9629B-027B-9343-D16D-0F5B03865736}"/>
              </a:ext>
            </a:extLst>
          </xdr:cNvPr>
          <xdr:cNvSpPr/>
        </xdr:nvSpPr>
        <xdr:spPr>
          <a:xfrm>
            <a:off x="4511666" y="86493364"/>
            <a:ext cx="146050" cy="146050"/>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2068" name="Rectangle 2067">
            <a:extLst>
              <a:ext uri="{FF2B5EF4-FFF2-40B4-BE49-F238E27FC236}">
                <a16:creationId xmlns:a16="http://schemas.microsoft.com/office/drawing/2014/main" id="{0A577023-A280-7215-6A61-CCECB6733E06}"/>
              </a:ext>
            </a:extLst>
          </xdr:cNvPr>
          <xdr:cNvSpPr/>
        </xdr:nvSpPr>
        <xdr:spPr>
          <a:xfrm>
            <a:off x="6683365" y="86493360"/>
            <a:ext cx="146050" cy="146050"/>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2071" name="Rectangle 2070">
            <a:extLst>
              <a:ext uri="{FF2B5EF4-FFF2-40B4-BE49-F238E27FC236}">
                <a16:creationId xmlns:a16="http://schemas.microsoft.com/office/drawing/2014/main" id="{84ED1949-2013-D6CF-356B-C0A827DAE193}"/>
              </a:ext>
            </a:extLst>
          </xdr:cNvPr>
          <xdr:cNvSpPr/>
        </xdr:nvSpPr>
        <xdr:spPr>
          <a:xfrm>
            <a:off x="7121515" y="86493362"/>
            <a:ext cx="146050" cy="146050"/>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2011" name="Rectangle 2010">
            <a:extLst>
              <a:ext uri="{FF2B5EF4-FFF2-40B4-BE49-F238E27FC236}">
                <a16:creationId xmlns:a16="http://schemas.microsoft.com/office/drawing/2014/main" id="{1BC3894B-CB88-70BD-BC47-BCCA538049F5}"/>
              </a:ext>
            </a:extLst>
          </xdr:cNvPr>
          <xdr:cNvSpPr/>
        </xdr:nvSpPr>
        <xdr:spPr>
          <a:xfrm>
            <a:off x="3652837" y="86490175"/>
            <a:ext cx="146050" cy="146050"/>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1976" name="Rectangle 1975">
            <a:extLst>
              <a:ext uri="{FF2B5EF4-FFF2-40B4-BE49-F238E27FC236}">
                <a16:creationId xmlns:a16="http://schemas.microsoft.com/office/drawing/2014/main" id="{AF907EFD-498A-4B74-AB22-C3373F629A83}"/>
              </a:ext>
            </a:extLst>
          </xdr:cNvPr>
          <xdr:cNvSpPr/>
        </xdr:nvSpPr>
        <xdr:spPr>
          <a:xfrm>
            <a:off x="3724275" y="81562575"/>
            <a:ext cx="3886200" cy="5000625"/>
          </a:xfrm>
          <a:prstGeom prst="rect">
            <a:avLst/>
          </a:prstGeom>
          <a:noFill/>
          <a:ln w="6350">
            <a:prstDash val="dashDot"/>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kern="1200"/>
          </a:p>
        </xdr:txBody>
      </xdr:sp>
      <xdr:cxnSp macro="">
        <xdr:nvCxnSpPr>
          <xdr:cNvPr id="1980" name="Straight Connector 1979">
            <a:extLst>
              <a:ext uri="{FF2B5EF4-FFF2-40B4-BE49-F238E27FC236}">
                <a16:creationId xmlns:a16="http://schemas.microsoft.com/office/drawing/2014/main" id="{3F17AD89-B67B-A558-C856-2B2708D54963}"/>
              </a:ext>
            </a:extLst>
          </xdr:cNvPr>
          <xdr:cNvCxnSpPr/>
        </xdr:nvCxnSpPr>
        <xdr:spPr>
          <a:xfrm>
            <a:off x="3724275" y="82276950"/>
            <a:ext cx="3886200" cy="0"/>
          </a:xfrm>
          <a:prstGeom prst="line">
            <a:avLst/>
          </a:prstGeom>
          <a:noFill/>
          <a:ln w="6350">
            <a:prstDash val="dashDot"/>
          </a:ln>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1982" name="Straight Connector 1981">
            <a:extLst>
              <a:ext uri="{FF2B5EF4-FFF2-40B4-BE49-F238E27FC236}">
                <a16:creationId xmlns:a16="http://schemas.microsoft.com/office/drawing/2014/main" id="{D024C440-6FEB-FF22-7103-4254F67209BE}"/>
              </a:ext>
            </a:extLst>
          </xdr:cNvPr>
          <xdr:cNvCxnSpPr/>
        </xdr:nvCxnSpPr>
        <xdr:spPr>
          <a:xfrm>
            <a:off x="4143375" y="81562575"/>
            <a:ext cx="0" cy="5000625"/>
          </a:xfrm>
          <a:prstGeom prst="line">
            <a:avLst/>
          </a:prstGeom>
          <a:noFill/>
          <a:ln w="6350">
            <a:prstDash val="dashDot"/>
          </a:ln>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307" name="Straight Connector 306">
            <a:extLst>
              <a:ext uri="{FF2B5EF4-FFF2-40B4-BE49-F238E27FC236}">
                <a16:creationId xmlns:a16="http://schemas.microsoft.com/office/drawing/2014/main" id="{044BDD3B-1DAD-45AF-989F-5499F7546533}"/>
              </a:ext>
            </a:extLst>
          </xdr:cNvPr>
          <xdr:cNvCxnSpPr/>
        </xdr:nvCxnSpPr>
        <xdr:spPr>
          <a:xfrm>
            <a:off x="4581525" y="81562575"/>
            <a:ext cx="0" cy="5000625"/>
          </a:xfrm>
          <a:prstGeom prst="line">
            <a:avLst/>
          </a:prstGeom>
          <a:noFill/>
          <a:ln w="6350">
            <a:prstDash val="dashDot"/>
          </a:ln>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878" name="Straight Connector 877">
            <a:extLst>
              <a:ext uri="{FF2B5EF4-FFF2-40B4-BE49-F238E27FC236}">
                <a16:creationId xmlns:a16="http://schemas.microsoft.com/office/drawing/2014/main" id="{331D93A5-0E67-494B-8AEB-10A90327A8F9}"/>
              </a:ext>
            </a:extLst>
          </xdr:cNvPr>
          <xdr:cNvCxnSpPr/>
        </xdr:nvCxnSpPr>
        <xdr:spPr>
          <a:xfrm>
            <a:off x="5019675" y="81562575"/>
            <a:ext cx="0" cy="5000625"/>
          </a:xfrm>
          <a:prstGeom prst="line">
            <a:avLst/>
          </a:prstGeom>
          <a:noFill/>
          <a:ln w="6350">
            <a:prstDash val="dashDot"/>
          </a:ln>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1123" name="Straight Connector 1122">
            <a:extLst>
              <a:ext uri="{FF2B5EF4-FFF2-40B4-BE49-F238E27FC236}">
                <a16:creationId xmlns:a16="http://schemas.microsoft.com/office/drawing/2014/main" id="{C8A3CD17-6088-4E58-993A-2B29DAA69BE2}"/>
              </a:ext>
            </a:extLst>
          </xdr:cNvPr>
          <xdr:cNvCxnSpPr/>
        </xdr:nvCxnSpPr>
        <xdr:spPr>
          <a:xfrm>
            <a:off x="6315075" y="81567337"/>
            <a:ext cx="0" cy="5000625"/>
          </a:xfrm>
          <a:prstGeom prst="line">
            <a:avLst/>
          </a:prstGeom>
          <a:noFill/>
          <a:ln w="6350">
            <a:prstDash val="dashDot"/>
          </a:ln>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1984" name="Straight Connector 1983">
            <a:extLst>
              <a:ext uri="{FF2B5EF4-FFF2-40B4-BE49-F238E27FC236}">
                <a16:creationId xmlns:a16="http://schemas.microsoft.com/office/drawing/2014/main" id="{968B6A63-B309-40B1-BFF9-F67D1F888994}"/>
              </a:ext>
            </a:extLst>
          </xdr:cNvPr>
          <xdr:cNvCxnSpPr/>
        </xdr:nvCxnSpPr>
        <xdr:spPr>
          <a:xfrm>
            <a:off x="6753225" y="81562575"/>
            <a:ext cx="0" cy="5000625"/>
          </a:xfrm>
          <a:prstGeom prst="line">
            <a:avLst/>
          </a:prstGeom>
          <a:noFill/>
          <a:ln w="6350">
            <a:prstDash val="dashDot"/>
          </a:ln>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1985" name="Straight Connector 1984">
            <a:extLst>
              <a:ext uri="{FF2B5EF4-FFF2-40B4-BE49-F238E27FC236}">
                <a16:creationId xmlns:a16="http://schemas.microsoft.com/office/drawing/2014/main" id="{6CB9FFFD-03BF-430F-A74D-2E607F09BD02}"/>
              </a:ext>
            </a:extLst>
          </xdr:cNvPr>
          <xdr:cNvCxnSpPr/>
        </xdr:nvCxnSpPr>
        <xdr:spPr>
          <a:xfrm>
            <a:off x="7191375" y="81562575"/>
            <a:ext cx="0" cy="5000625"/>
          </a:xfrm>
          <a:prstGeom prst="line">
            <a:avLst/>
          </a:prstGeom>
          <a:noFill/>
          <a:ln w="6350">
            <a:prstDash val="dashDot"/>
          </a:ln>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1987" name="Straight Connector 1986">
            <a:extLst>
              <a:ext uri="{FF2B5EF4-FFF2-40B4-BE49-F238E27FC236}">
                <a16:creationId xmlns:a16="http://schemas.microsoft.com/office/drawing/2014/main" id="{729ED7F5-162A-4162-BA91-282F08AA5EF8}"/>
              </a:ext>
            </a:extLst>
          </xdr:cNvPr>
          <xdr:cNvCxnSpPr/>
        </xdr:nvCxnSpPr>
        <xdr:spPr>
          <a:xfrm>
            <a:off x="3724275" y="82991325"/>
            <a:ext cx="3886200" cy="0"/>
          </a:xfrm>
          <a:prstGeom prst="line">
            <a:avLst/>
          </a:prstGeom>
          <a:noFill/>
          <a:ln w="6350">
            <a:prstDash val="dashDot"/>
          </a:ln>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1988" name="Straight Connector 1987">
            <a:extLst>
              <a:ext uri="{FF2B5EF4-FFF2-40B4-BE49-F238E27FC236}">
                <a16:creationId xmlns:a16="http://schemas.microsoft.com/office/drawing/2014/main" id="{9DB9674C-3374-450E-A26A-B52265191FA2}"/>
              </a:ext>
            </a:extLst>
          </xdr:cNvPr>
          <xdr:cNvCxnSpPr/>
        </xdr:nvCxnSpPr>
        <xdr:spPr>
          <a:xfrm>
            <a:off x="3733800" y="83705700"/>
            <a:ext cx="3886200" cy="0"/>
          </a:xfrm>
          <a:prstGeom prst="line">
            <a:avLst/>
          </a:prstGeom>
          <a:noFill/>
          <a:ln w="6350">
            <a:prstDash val="dashDot"/>
          </a:ln>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1989" name="Straight Connector 1988">
            <a:extLst>
              <a:ext uri="{FF2B5EF4-FFF2-40B4-BE49-F238E27FC236}">
                <a16:creationId xmlns:a16="http://schemas.microsoft.com/office/drawing/2014/main" id="{BE55CB18-DF05-46B6-BBB6-933D6CAE7C31}"/>
              </a:ext>
            </a:extLst>
          </xdr:cNvPr>
          <xdr:cNvCxnSpPr/>
        </xdr:nvCxnSpPr>
        <xdr:spPr>
          <a:xfrm>
            <a:off x="3724275" y="84420075"/>
            <a:ext cx="3886200" cy="0"/>
          </a:xfrm>
          <a:prstGeom prst="line">
            <a:avLst/>
          </a:prstGeom>
          <a:noFill/>
          <a:ln w="6350">
            <a:prstDash val="dashDot"/>
          </a:ln>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1990" name="Straight Connector 1989">
            <a:extLst>
              <a:ext uri="{FF2B5EF4-FFF2-40B4-BE49-F238E27FC236}">
                <a16:creationId xmlns:a16="http://schemas.microsoft.com/office/drawing/2014/main" id="{E149E70A-F1C3-4BF8-B6CC-7F9CAC311283}"/>
              </a:ext>
            </a:extLst>
          </xdr:cNvPr>
          <xdr:cNvCxnSpPr/>
        </xdr:nvCxnSpPr>
        <xdr:spPr>
          <a:xfrm>
            <a:off x="3724275" y="85134450"/>
            <a:ext cx="3886200" cy="0"/>
          </a:xfrm>
          <a:prstGeom prst="line">
            <a:avLst/>
          </a:prstGeom>
          <a:noFill/>
          <a:ln w="6350">
            <a:prstDash val="dashDot"/>
          </a:ln>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1991" name="Straight Connector 1990">
            <a:extLst>
              <a:ext uri="{FF2B5EF4-FFF2-40B4-BE49-F238E27FC236}">
                <a16:creationId xmlns:a16="http://schemas.microsoft.com/office/drawing/2014/main" id="{99F6464B-F049-4FBF-8856-917C8C1E185D}"/>
              </a:ext>
            </a:extLst>
          </xdr:cNvPr>
          <xdr:cNvCxnSpPr/>
        </xdr:nvCxnSpPr>
        <xdr:spPr>
          <a:xfrm>
            <a:off x="3733800" y="85848825"/>
            <a:ext cx="3886200" cy="0"/>
          </a:xfrm>
          <a:prstGeom prst="line">
            <a:avLst/>
          </a:prstGeom>
          <a:noFill/>
          <a:ln w="6350">
            <a:prstDash val="dashDot"/>
          </a:ln>
        </xdr:spPr>
        <xdr:style>
          <a:lnRef idx="2">
            <a:schemeClr val="accent1">
              <a:shade val="15000"/>
            </a:schemeClr>
          </a:lnRef>
          <a:fillRef idx="1">
            <a:schemeClr val="accent1"/>
          </a:fillRef>
          <a:effectRef idx="0">
            <a:schemeClr val="accent1"/>
          </a:effectRef>
          <a:fontRef idx="minor">
            <a:schemeClr val="lt1"/>
          </a:fontRef>
        </xdr:style>
      </xdr:cxnSp>
    </xdr:grpSp>
    <xdr:clientData/>
  </xdr:twoCellAnchor>
  <xdr:twoCellAnchor>
    <xdr:from>
      <xdr:col>6</xdr:col>
      <xdr:colOff>47626</xdr:colOff>
      <xdr:row>673</xdr:row>
      <xdr:rowOff>109547</xdr:rowOff>
    </xdr:from>
    <xdr:to>
      <xdr:col>15</xdr:col>
      <xdr:colOff>109538</xdr:colOff>
      <xdr:row>676</xdr:row>
      <xdr:rowOff>10</xdr:rowOff>
    </xdr:to>
    <xdr:sp macro="" textlink="">
      <xdr:nvSpPr>
        <xdr:cNvPr id="1907" name="Freeform: Shape 1906">
          <a:extLst>
            <a:ext uri="{FF2B5EF4-FFF2-40B4-BE49-F238E27FC236}">
              <a16:creationId xmlns:a16="http://schemas.microsoft.com/office/drawing/2014/main" id="{46F52D97-1125-442F-9D96-8AC1D77E77B2}"/>
            </a:ext>
          </a:extLst>
        </xdr:cNvPr>
        <xdr:cNvSpPr/>
      </xdr:nvSpPr>
      <xdr:spPr>
        <a:xfrm>
          <a:off x="1019176" y="79071797"/>
          <a:ext cx="1519237" cy="319088"/>
        </a:xfrm>
        <a:custGeom>
          <a:avLst/>
          <a:gdLst>
            <a:gd name="connsiteX0" fmla="*/ 0 w 1519237"/>
            <a:gd name="connsiteY0" fmla="*/ 9525 h 319088"/>
            <a:gd name="connsiteX1" fmla="*/ 0 w 1519237"/>
            <a:gd name="connsiteY1" fmla="*/ 319088 h 319088"/>
            <a:gd name="connsiteX2" fmla="*/ 1519237 w 1519237"/>
            <a:gd name="connsiteY2" fmla="*/ 319088 h 319088"/>
            <a:gd name="connsiteX3" fmla="*/ 1519237 w 1519237"/>
            <a:gd name="connsiteY3" fmla="*/ 0 h 319088"/>
          </a:gdLst>
          <a:ahLst/>
          <a:cxnLst>
            <a:cxn ang="0">
              <a:pos x="connsiteX0" y="connsiteY0"/>
            </a:cxn>
            <a:cxn ang="0">
              <a:pos x="connsiteX1" y="connsiteY1"/>
            </a:cxn>
            <a:cxn ang="0">
              <a:pos x="connsiteX2" y="connsiteY2"/>
            </a:cxn>
            <a:cxn ang="0">
              <a:pos x="connsiteX3" y="connsiteY3"/>
            </a:cxn>
          </a:cxnLst>
          <a:rect l="l" t="t" r="r" b="b"/>
          <a:pathLst>
            <a:path w="1519237" h="319088">
              <a:moveTo>
                <a:pt x="0" y="9525"/>
              </a:moveTo>
              <a:lnTo>
                <a:pt x="0" y="319088"/>
              </a:lnTo>
              <a:lnTo>
                <a:pt x="1519237" y="319088"/>
              </a:lnTo>
              <a:lnTo>
                <a:pt x="1519237" y="0"/>
              </a:lnTo>
            </a:path>
          </a:pathLst>
        </a:cu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kern="1200"/>
        </a:p>
      </xdr:txBody>
    </xdr:sp>
    <xdr:clientData/>
  </xdr:twoCellAnchor>
  <xdr:twoCellAnchor>
    <xdr:from>
      <xdr:col>9</xdr:col>
      <xdr:colOff>14287</xdr:colOff>
      <xdr:row>669</xdr:row>
      <xdr:rowOff>9529</xdr:rowOff>
    </xdr:from>
    <xdr:to>
      <xdr:col>11</xdr:col>
      <xdr:colOff>9525</xdr:colOff>
      <xdr:row>675</xdr:row>
      <xdr:rowOff>0</xdr:rowOff>
    </xdr:to>
    <xdr:sp macro="" textlink="">
      <xdr:nvSpPr>
        <xdr:cNvPr id="1909" name="Freeform: Shape 1908">
          <a:extLst>
            <a:ext uri="{FF2B5EF4-FFF2-40B4-BE49-F238E27FC236}">
              <a16:creationId xmlns:a16="http://schemas.microsoft.com/office/drawing/2014/main" id="{90CE734E-A611-43D1-A0BF-C8EC52560527}"/>
            </a:ext>
          </a:extLst>
        </xdr:cNvPr>
        <xdr:cNvSpPr/>
      </xdr:nvSpPr>
      <xdr:spPr>
        <a:xfrm rot="5400000">
          <a:off x="1207295" y="78664596"/>
          <a:ext cx="847721" cy="319088"/>
        </a:xfrm>
        <a:custGeom>
          <a:avLst/>
          <a:gdLst>
            <a:gd name="connsiteX0" fmla="*/ 0 w 1519237"/>
            <a:gd name="connsiteY0" fmla="*/ 9525 h 319088"/>
            <a:gd name="connsiteX1" fmla="*/ 0 w 1519237"/>
            <a:gd name="connsiteY1" fmla="*/ 319088 h 319088"/>
            <a:gd name="connsiteX2" fmla="*/ 1519237 w 1519237"/>
            <a:gd name="connsiteY2" fmla="*/ 319088 h 319088"/>
            <a:gd name="connsiteX3" fmla="*/ 1519237 w 1519237"/>
            <a:gd name="connsiteY3" fmla="*/ 0 h 319088"/>
          </a:gdLst>
          <a:ahLst/>
          <a:cxnLst>
            <a:cxn ang="0">
              <a:pos x="connsiteX0" y="connsiteY0"/>
            </a:cxn>
            <a:cxn ang="0">
              <a:pos x="connsiteX1" y="connsiteY1"/>
            </a:cxn>
            <a:cxn ang="0">
              <a:pos x="connsiteX2" y="connsiteY2"/>
            </a:cxn>
            <a:cxn ang="0">
              <a:pos x="connsiteX3" y="connsiteY3"/>
            </a:cxn>
          </a:cxnLst>
          <a:rect l="l" t="t" r="r" b="b"/>
          <a:pathLst>
            <a:path w="1519237" h="319088">
              <a:moveTo>
                <a:pt x="0" y="9525"/>
              </a:moveTo>
              <a:lnTo>
                <a:pt x="0" y="319088"/>
              </a:lnTo>
              <a:lnTo>
                <a:pt x="1519237" y="319088"/>
              </a:lnTo>
              <a:lnTo>
                <a:pt x="1519237" y="0"/>
              </a:lnTo>
            </a:path>
          </a:pathLst>
        </a:cu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kern="1200"/>
        </a:p>
      </xdr:txBody>
    </xdr:sp>
    <xdr:clientData/>
  </xdr:twoCellAnchor>
  <xdr:twoCellAnchor>
    <xdr:from>
      <xdr:col>21</xdr:col>
      <xdr:colOff>66675</xdr:colOff>
      <xdr:row>655</xdr:row>
      <xdr:rowOff>107947</xdr:rowOff>
    </xdr:from>
    <xdr:to>
      <xdr:col>48</xdr:col>
      <xdr:colOff>123812</xdr:colOff>
      <xdr:row>693</xdr:row>
      <xdr:rowOff>41289</xdr:rowOff>
    </xdr:to>
    <xdr:grpSp>
      <xdr:nvGrpSpPr>
        <xdr:cNvPr id="2124" name="Group 2123">
          <a:extLst>
            <a:ext uri="{FF2B5EF4-FFF2-40B4-BE49-F238E27FC236}">
              <a16:creationId xmlns:a16="http://schemas.microsoft.com/office/drawing/2014/main" id="{2082CD10-536C-44C1-909E-C25DD7CDA3A0}"/>
            </a:ext>
          </a:extLst>
        </xdr:cNvPr>
        <xdr:cNvGrpSpPr/>
      </xdr:nvGrpSpPr>
      <xdr:grpSpPr>
        <a:xfrm>
          <a:off x="3467100" y="95434147"/>
          <a:ext cx="4429112" cy="5362592"/>
          <a:chOff x="3467100" y="81384772"/>
          <a:chExt cx="4429112" cy="5362592"/>
        </a:xfrm>
      </xdr:grpSpPr>
      <xdr:sp macro="" textlink="">
        <xdr:nvSpPr>
          <xdr:cNvPr id="2125" name="Rectangle 2124">
            <a:extLst>
              <a:ext uri="{FF2B5EF4-FFF2-40B4-BE49-F238E27FC236}">
                <a16:creationId xmlns:a16="http://schemas.microsoft.com/office/drawing/2014/main" id="{986B31F0-6719-AD33-9A65-C1841F4FBCD1}"/>
              </a:ext>
            </a:extLst>
          </xdr:cNvPr>
          <xdr:cNvSpPr/>
        </xdr:nvSpPr>
        <xdr:spPr>
          <a:xfrm rot="5400000">
            <a:off x="5669757" y="84630418"/>
            <a:ext cx="64292" cy="3866356"/>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2127" name="Rectangle 2126">
            <a:extLst>
              <a:ext uri="{FF2B5EF4-FFF2-40B4-BE49-F238E27FC236}">
                <a16:creationId xmlns:a16="http://schemas.microsoft.com/office/drawing/2014/main" id="{945A55EF-0F21-3020-EC1A-C8324B5E02CB}"/>
              </a:ext>
            </a:extLst>
          </xdr:cNvPr>
          <xdr:cNvSpPr/>
        </xdr:nvSpPr>
        <xdr:spPr>
          <a:xfrm>
            <a:off x="6137253" y="86386995"/>
            <a:ext cx="358778" cy="358778"/>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2130" name="Rectangle 2129">
            <a:extLst>
              <a:ext uri="{FF2B5EF4-FFF2-40B4-BE49-F238E27FC236}">
                <a16:creationId xmlns:a16="http://schemas.microsoft.com/office/drawing/2014/main" id="{34C83CA8-609B-DCA5-E209-00DB866E82FD}"/>
              </a:ext>
            </a:extLst>
          </xdr:cNvPr>
          <xdr:cNvSpPr/>
        </xdr:nvSpPr>
        <xdr:spPr>
          <a:xfrm>
            <a:off x="7432673" y="86385397"/>
            <a:ext cx="358778" cy="358778"/>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2133" name="Rectangle 2132">
            <a:extLst>
              <a:ext uri="{FF2B5EF4-FFF2-40B4-BE49-F238E27FC236}">
                <a16:creationId xmlns:a16="http://schemas.microsoft.com/office/drawing/2014/main" id="{BDF620EB-ECFA-1AB8-92D3-79429E2B4BF0}"/>
              </a:ext>
            </a:extLst>
          </xdr:cNvPr>
          <xdr:cNvSpPr/>
        </xdr:nvSpPr>
        <xdr:spPr>
          <a:xfrm>
            <a:off x="4841856" y="86386995"/>
            <a:ext cx="358778" cy="358778"/>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2134" name="Rectangle 2133">
            <a:extLst>
              <a:ext uri="{FF2B5EF4-FFF2-40B4-BE49-F238E27FC236}">
                <a16:creationId xmlns:a16="http://schemas.microsoft.com/office/drawing/2014/main" id="{27543D63-98D0-01CE-8E8F-28EBCA17CE58}"/>
              </a:ext>
            </a:extLst>
          </xdr:cNvPr>
          <xdr:cNvSpPr/>
        </xdr:nvSpPr>
        <xdr:spPr>
          <a:xfrm>
            <a:off x="3967152" y="86388584"/>
            <a:ext cx="358778" cy="358778"/>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2136" name="Rectangle 2135">
            <a:extLst>
              <a:ext uri="{FF2B5EF4-FFF2-40B4-BE49-F238E27FC236}">
                <a16:creationId xmlns:a16="http://schemas.microsoft.com/office/drawing/2014/main" id="{CEF3121A-1DFE-0E7A-42D2-02D9BD4F0171}"/>
              </a:ext>
            </a:extLst>
          </xdr:cNvPr>
          <xdr:cNvSpPr/>
        </xdr:nvSpPr>
        <xdr:spPr>
          <a:xfrm>
            <a:off x="4405302" y="86388586"/>
            <a:ext cx="358778" cy="358778"/>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2140" name="Rectangle 2139">
            <a:extLst>
              <a:ext uri="{FF2B5EF4-FFF2-40B4-BE49-F238E27FC236}">
                <a16:creationId xmlns:a16="http://schemas.microsoft.com/office/drawing/2014/main" id="{0D2AAEB8-10BE-637E-4377-E606818DA714}"/>
              </a:ext>
            </a:extLst>
          </xdr:cNvPr>
          <xdr:cNvSpPr/>
        </xdr:nvSpPr>
        <xdr:spPr>
          <a:xfrm>
            <a:off x="6577001" y="86388582"/>
            <a:ext cx="358778" cy="358778"/>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2144" name="Rectangle 2143">
            <a:extLst>
              <a:ext uri="{FF2B5EF4-FFF2-40B4-BE49-F238E27FC236}">
                <a16:creationId xmlns:a16="http://schemas.microsoft.com/office/drawing/2014/main" id="{01AB99E0-E81A-D891-4640-80AB6315FE0A}"/>
              </a:ext>
            </a:extLst>
          </xdr:cNvPr>
          <xdr:cNvSpPr/>
        </xdr:nvSpPr>
        <xdr:spPr>
          <a:xfrm>
            <a:off x="7015151" y="86388584"/>
            <a:ext cx="358778" cy="358778"/>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2145" name="Rectangle 2144">
            <a:extLst>
              <a:ext uri="{FF2B5EF4-FFF2-40B4-BE49-F238E27FC236}">
                <a16:creationId xmlns:a16="http://schemas.microsoft.com/office/drawing/2014/main" id="{6A5903FA-424F-6E18-90D7-C4D4C08F5594}"/>
              </a:ext>
            </a:extLst>
          </xdr:cNvPr>
          <xdr:cNvSpPr/>
        </xdr:nvSpPr>
        <xdr:spPr>
          <a:xfrm>
            <a:off x="3546474" y="81384772"/>
            <a:ext cx="358778" cy="358778"/>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2146" name="Rectangle 2145">
            <a:extLst>
              <a:ext uri="{FF2B5EF4-FFF2-40B4-BE49-F238E27FC236}">
                <a16:creationId xmlns:a16="http://schemas.microsoft.com/office/drawing/2014/main" id="{B426DAEB-49AF-97DC-60D5-9D74D6C4DD15}"/>
              </a:ext>
            </a:extLst>
          </xdr:cNvPr>
          <xdr:cNvSpPr/>
        </xdr:nvSpPr>
        <xdr:spPr>
          <a:xfrm>
            <a:off x="7432674" y="81384772"/>
            <a:ext cx="358778" cy="358778"/>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2147" name="Rectangle 2146">
            <a:extLst>
              <a:ext uri="{FF2B5EF4-FFF2-40B4-BE49-F238E27FC236}">
                <a16:creationId xmlns:a16="http://schemas.microsoft.com/office/drawing/2014/main" id="{F1008981-7031-0BDE-2F9A-2B3C3D7CE9D2}"/>
              </a:ext>
            </a:extLst>
          </xdr:cNvPr>
          <xdr:cNvSpPr/>
        </xdr:nvSpPr>
        <xdr:spPr>
          <a:xfrm>
            <a:off x="4841865" y="81384772"/>
            <a:ext cx="358778" cy="358778"/>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2148" name="Rectangle 2147">
            <a:extLst>
              <a:ext uri="{FF2B5EF4-FFF2-40B4-BE49-F238E27FC236}">
                <a16:creationId xmlns:a16="http://schemas.microsoft.com/office/drawing/2014/main" id="{FA894A69-CED6-6834-BB17-67C46033EBD0}"/>
              </a:ext>
            </a:extLst>
          </xdr:cNvPr>
          <xdr:cNvSpPr/>
        </xdr:nvSpPr>
        <xdr:spPr>
          <a:xfrm>
            <a:off x="6137262" y="81384772"/>
            <a:ext cx="358778" cy="358778"/>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2149" name="Rectangle 2148">
            <a:extLst>
              <a:ext uri="{FF2B5EF4-FFF2-40B4-BE49-F238E27FC236}">
                <a16:creationId xmlns:a16="http://schemas.microsoft.com/office/drawing/2014/main" id="{33837CA2-7659-978C-0595-C382F81CC81D}"/>
              </a:ext>
            </a:extLst>
          </xdr:cNvPr>
          <xdr:cNvSpPr/>
        </xdr:nvSpPr>
        <xdr:spPr>
          <a:xfrm>
            <a:off x="3967161" y="81386361"/>
            <a:ext cx="358778" cy="358778"/>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2150" name="Rectangle 2149">
            <a:extLst>
              <a:ext uri="{FF2B5EF4-FFF2-40B4-BE49-F238E27FC236}">
                <a16:creationId xmlns:a16="http://schemas.microsoft.com/office/drawing/2014/main" id="{93D358F5-B733-1F4F-9749-C66D1F6B40A0}"/>
              </a:ext>
            </a:extLst>
          </xdr:cNvPr>
          <xdr:cNvSpPr/>
        </xdr:nvSpPr>
        <xdr:spPr>
          <a:xfrm>
            <a:off x="4405311" y="81386363"/>
            <a:ext cx="358778" cy="358778"/>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2151" name="Rectangle 2150">
            <a:extLst>
              <a:ext uri="{FF2B5EF4-FFF2-40B4-BE49-F238E27FC236}">
                <a16:creationId xmlns:a16="http://schemas.microsoft.com/office/drawing/2014/main" id="{58BAFF8B-7B1C-1765-8CB9-2F32A4E008A2}"/>
              </a:ext>
            </a:extLst>
          </xdr:cNvPr>
          <xdr:cNvSpPr/>
        </xdr:nvSpPr>
        <xdr:spPr>
          <a:xfrm>
            <a:off x="6577010" y="81386359"/>
            <a:ext cx="358778" cy="358778"/>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2152" name="Rectangle 2151">
            <a:extLst>
              <a:ext uri="{FF2B5EF4-FFF2-40B4-BE49-F238E27FC236}">
                <a16:creationId xmlns:a16="http://schemas.microsoft.com/office/drawing/2014/main" id="{6E89F1EC-DFF1-CF6F-F607-148406C212C2}"/>
              </a:ext>
            </a:extLst>
          </xdr:cNvPr>
          <xdr:cNvSpPr/>
        </xdr:nvSpPr>
        <xdr:spPr>
          <a:xfrm>
            <a:off x="7015160" y="81386361"/>
            <a:ext cx="358778" cy="358778"/>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2153" name="Rectangle 2152">
            <a:extLst>
              <a:ext uri="{FF2B5EF4-FFF2-40B4-BE49-F238E27FC236}">
                <a16:creationId xmlns:a16="http://schemas.microsoft.com/office/drawing/2014/main" id="{D9F4068A-A2E5-55B8-B183-6169395DA47D}"/>
              </a:ext>
            </a:extLst>
          </xdr:cNvPr>
          <xdr:cNvSpPr/>
        </xdr:nvSpPr>
        <xdr:spPr>
          <a:xfrm>
            <a:off x="3546473" y="82099147"/>
            <a:ext cx="358778" cy="358778"/>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2154" name="Rectangle 2153">
            <a:extLst>
              <a:ext uri="{FF2B5EF4-FFF2-40B4-BE49-F238E27FC236}">
                <a16:creationId xmlns:a16="http://schemas.microsoft.com/office/drawing/2014/main" id="{2D12FB7C-3499-8364-73F4-CE1CCC5C6444}"/>
              </a:ext>
            </a:extLst>
          </xdr:cNvPr>
          <xdr:cNvSpPr/>
        </xdr:nvSpPr>
        <xdr:spPr>
          <a:xfrm>
            <a:off x="3546473" y="82813522"/>
            <a:ext cx="358778" cy="358778"/>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2155" name="Rectangle 2154">
            <a:extLst>
              <a:ext uri="{FF2B5EF4-FFF2-40B4-BE49-F238E27FC236}">
                <a16:creationId xmlns:a16="http://schemas.microsoft.com/office/drawing/2014/main" id="{1B3ED0DB-A524-8370-A970-D09CDF8F1962}"/>
              </a:ext>
            </a:extLst>
          </xdr:cNvPr>
          <xdr:cNvSpPr/>
        </xdr:nvSpPr>
        <xdr:spPr>
          <a:xfrm>
            <a:off x="3546473" y="83527897"/>
            <a:ext cx="358778" cy="358778"/>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2156" name="Rectangle 2155">
            <a:extLst>
              <a:ext uri="{FF2B5EF4-FFF2-40B4-BE49-F238E27FC236}">
                <a16:creationId xmlns:a16="http://schemas.microsoft.com/office/drawing/2014/main" id="{647BBC86-0843-2C97-53CA-E790D047C54C}"/>
              </a:ext>
            </a:extLst>
          </xdr:cNvPr>
          <xdr:cNvSpPr/>
        </xdr:nvSpPr>
        <xdr:spPr>
          <a:xfrm>
            <a:off x="3546473" y="84242272"/>
            <a:ext cx="358778" cy="358778"/>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2157" name="Rectangle 2156">
            <a:extLst>
              <a:ext uri="{FF2B5EF4-FFF2-40B4-BE49-F238E27FC236}">
                <a16:creationId xmlns:a16="http://schemas.microsoft.com/office/drawing/2014/main" id="{40A53845-8873-1AA4-3FE9-95E8EE93C0C7}"/>
              </a:ext>
            </a:extLst>
          </xdr:cNvPr>
          <xdr:cNvSpPr/>
        </xdr:nvSpPr>
        <xdr:spPr>
          <a:xfrm>
            <a:off x="3546473" y="84956647"/>
            <a:ext cx="358778" cy="358778"/>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2158" name="Rectangle 2157">
            <a:extLst>
              <a:ext uri="{FF2B5EF4-FFF2-40B4-BE49-F238E27FC236}">
                <a16:creationId xmlns:a16="http://schemas.microsoft.com/office/drawing/2014/main" id="{58591262-7188-38BD-EE31-DCDB91D4949D}"/>
              </a:ext>
            </a:extLst>
          </xdr:cNvPr>
          <xdr:cNvSpPr/>
        </xdr:nvSpPr>
        <xdr:spPr>
          <a:xfrm>
            <a:off x="7432673" y="82813522"/>
            <a:ext cx="358778" cy="358778"/>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2159" name="Rectangle 2158">
            <a:extLst>
              <a:ext uri="{FF2B5EF4-FFF2-40B4-BE49-F238E27FC236}">
                <a16:creationId xmlns:a16="http://schemas.microsoft.com/office/drawing/2014/main" id="{1ECD758E-BF21-EE6E-DE1A-AC7245E48712}"/>
              </a:ext>
            </a:extLst>
          </xdr:cNvPr>
          <xdr:cNvSpPr/>
        </xdr:nvSpPr>
        <xdr:spPr>
          <a:xfrm>
            <a:off x="7432673" y="83527897"/>
            <a:ext cx="358778" cy="358778"/>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2160" name="Rectangle 2159">
            <a:extLst>
              <a:ext uri="{FF2B5EF4-FFF2-40B4-BE49-F238E27FC236}">
                <a16:creationId xmlns:a16="http://schemas.microsoft.com/office/drawing/2014/main" id="{92BAD376-D5E5-5F7E-607A-F98CA384506B}"/>
              </a:ext>
            </a:extLst>
          </xdr:cNvPr>
          <xdr:cNvSpPr/>
        </xdr:nvSpPr>
        <xdr:spPr>
          <a:xfrm>
            <a:off x="7432673" y="84242272"/>
            <a:ext cx="358778" cy="358778"/>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2161" name="Rectangle 2160">
            <a:extLst>
              <a:ext uri="{FF2B5EF4-FFF2-40B4-BE49-F238E27FC236}">
                <a16:creationId xmlns:a16="http://schemas.microsoft.com/office/drawing/2014/main" id="{2432A7D1-35AB-8D46-DA21-829A7AB51B1F}"/>
              </a:ext>
            </a:extLst>
          </xdr:cNvPr>
          <xdr:cNvSpPr/>
        </xdr:nvSpPr>
        <xdr:spPr>
          <a:xfrm>
            <a:off x="7432673" y="84956647"/>
            <a:ext cx="358778" cy="358778"/>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2162" name="Rectangle 2161">
            <a:extLst>
              <a:ext uri="{FF2B5EF4-FFF2-40B4-BE49-F238E27FC236}">
                <a16:creationId xmlns:a16="http://schemas.microsoft.com/office/drawing/2014/main" id="{4E6964EA-61D5-70AC-701E-1C78F280E08F}"/>
              </a:ext>
            </a:extLst>
          </xdr:cNvPr>
          <xdr:cNvSpPr/>
        </xdr:nvSpPr>
        <xdr:spPr>
          <a:xfrm>
            <a:off x="7432673" y="82099147"/>
            <a:ext cx="358778" cy="358778"/>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2163" name="Rectangle 2162">
            <a:extLst>
              <a:ext uri="{FF2B5EF4-FFF2-40B4-BE49-F238E27FC236}">
                <a16:creationId xmlns:a16="http://schemas.microsoft.com/office/drawing/2014/main" id="{BB2377A1-5D5A-E21A-E112-BF5BAAED7CF7}"/>
              </a:ext>
            </a:extLst>
          </xdr:cNvPr>
          <xdr:cNvSpPr/>
        </xdr:nvSpPr>
        <xdr:spPr>
          <a:xfrm>
            <a:off x="7432673" y="85671022"/>
            <a:ext cx="358778" cy="358778"/>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2164" name="Rectangle 2163">
            <a:extLst>
              <a:ext uri="{FF2B5EF4-FFF2-40B4-BE49-F238E27FC236}">
                <a16:creationId xmlns:a16="http://schemas.microsoft.com/office/drawing/2014/main" id="{BCDF6D01-4FF0-ABDF-CE0B-1B1774CBEE71}"/>
              </a:ext>
            </a:extLst>
          </xdr:cNvPr>
          <xdr:cNvSpPr/>
        </xdr:nvSpPr>
        <xdr:spPr>
          <a:xfrm>
            <a:off x="3546473" y="85671022"/>
            <a:ext cx="358778" cy="358778"/>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2165" name="Rectangle 2164">
            <a:extLst>
              <a:ext uri="{FF2B5EF4-FFF2-40B4-BE49-F238E27FC236}">
                <a16:creationId xmlns:a16="http://schemas.microsoft.com/office/drawing/2014/main" id="{92339726-738B-6FB6-4CD9-F9753C5409D2}"/>
              </a:ext>
            </a:extLst>
          </xdr:cNvPr>
          <xdr:cNvSpPr/>
        </xdr:nvSpPr>
        <xdr:spPr>
          <a:xfrm>
            <a:off x="3546473" y="86385397"/>
            <a:ext cx="358778" cy="358778"/>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2166" name="Rectangle 2165">
            <a:extLst>
              <a:ext uri="{FF2B5EF4-FFF2-40B4-BE49-F238E27FC236}">
                <a16:creationId xmlns:a16="http://schemas.microsoft.com/office/drawing/2014/main" id="{A8E4D9D7-57D5-985A-D3FB-1BCD8E1AABB5}"/>
              </a:ext>
            </a:extLst>
          </xdr:cNvPr>
          <xdr:cNvSpPr/>
        </xdr:nvSpPr>
        <xdr:spPr>
          <a:xfrm rot="5400000">
            <a:off x="5664201" y="79629797"/>
            <a:ext cx="64292" cy="3866356"/>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2167" name="Rectangle 2166">
            <a:extLst>
              <a:ext uri="{FF2B5EF4-FFF2-40B4-BE49-F238E27FC236}">
                <a16:creationId xmlns:a16="http://schemas.microsoft.com/office/drawing/2014/main" id="{654DB99A-B1C6-3738-DCAA-A4CAA6024076}"/>
              </a:ext>
            </a:extLst>
          </xdr:cNvPr>
          <xdr:cNvSpPr/>
        </xdr:nvSpPr>
        <xdr:spPr>
          <a:xfrm>
            <a:off x="4948229" y="81489550"/>
            <a:ext cx="146050" cy="146050"/>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2168" name="Rectangle 2167">
            <a:extLst>
              <a:ext uri="{FF2B5EF4-FFF2-40B4-BE49-F238E27FC236}">
                <a16:creationId xmlns:a16="http://schemas.microsoft.com/office/drawing/2014/main" id="{85F9E05D-78A7-C3AB-0BC3-AB485642327B}"/>
              </a:ext>
            </a:extLst>
          </xdr:cNvPr>
          <xdr:cNvSpPr/>
        </xdr:nvSpPr>
        <xdr:spPr>
          <a:xfrm>
            <a:off x="6243626" y="81489550"/>
            <a:ext cx="146050" cy="146050"/>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2169" name="Rectangle 2168">
            <a:extLst>
              <a:ext uri="{FF2B5EF4-FFF2-40B4-BE49-F238E27FC236}">
                <a16:creationId xmlns:a16="http://schemas.microsoft.com/office/drawing/2014/main" id="{E30C24C3-4661-E18E-8212-4ADC36DA0073}"/>
              </a:ext>
            </a:extLst>
          </xdr:cNvPr>
          <xdr:cNvSpPr/>
        </xdr:nvSpPr>
        <xdr:spPr>
          <a:xfrm>
            <a:off x="4073525" y="81491139"/>
            <a:ext cx="146050" cy="146050"/>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2170" name="Rectangle 2169">
            <a:extLst>
              <a:ext uri="{FF2B5EF4-FFF2-40B4-BE49-F238E27FC236}">
                <a16:creationId xmlns:a16="http://schemas.microsoft.com/office/drawing/2014/main" id="{C048D759-5799-E61A-B6DD-4665837A8715}"/>
              </a:ext>
            </a:extLst>
          </xdr:cNvPr>
          <xdr:cNvSpPr/>
        </xdr:nvSpPr>
        <xdr:spPr>
          <a:xfrm>
            <a:off x="4511675" y="81491141"/>
            <a:ext cx="146050" cy="146050"/>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2171" name="Rectangle 2170">
            <a:extLst>
              <a:ext uri="{FF2B5EF4-FFF2-40B4-BE49-F238E27FC236}">
                <a16:creationId xmlns:a16="http://schemas.microsoft.com/office/drawing/2014/main" id="{59B7F362-A6A0-FEF3-CB7E-705258D08CEA}"/>
              </a:ext>
            </a:extLst>
          </xdr:cNvPr>
          <xdr:cNvSpPr/>
        </xdr:nvSpPr>
        <xdr:spPr>
          <a:xfrm>
            <a:off x="6683374" y="81491137"/>
            <a:ext cx="146050" cy="146050"/>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2172" name="Rectangle 2171">
            <a:extLst>
              <a:ext uri="{FF2B5EF4-FFF2-40B4-BE49-F238E27FC236}">
                <a16:creationId xmlns:a16="http://schemas.microsoft.com/office/drawing/2014/main" id="{94A87DC3-96F3-6038-7420-2F53E11FCC64}"/>
              </a:ext>
            </a:extLst>
          </xdr:cNvPr>
          <xdr:cNvSpPr/>
        </xdr:nvSpPr>
        <xdr:spPr>
          <a:xfrm>
            <a:off x="7121524" y="81491139"/>
            <a:ext cx="146050" cy="146050"/>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2173" name="Rectangle 2172">
            <a:extLst>
              <a:ext uri="{FF2B5EF4-FFF2-40B4-BE49-F238E27FC236}">
                <a16:creationId xmlns:a16="http://schemas.microsoft.com/office/drawing/2014/main" id="{B9017737-CBDE-9525-FDC1-4860A4EAEFED}"/>
              </a:ext>
            </a:extLst>
          </xdr:cNvPr>
          <xdr:cNvSpPr/>
        </xdr:nvSpPr>
        <xdr:spPr>
          <a:xfrm>
            <a:off x="3690939" y="81607026"/>
            <a:ext cx="61911" cy="4908550"/>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2174" name="Rectangle 2173">
            <a:extLst>
              <a:ext uri="{FF2B5EF4-FFF2-40B4-BE49-F238E27FC236}">
                <a16:creationId xmlns:a16="http://schemas.microsoft.com/office/drawing/2014/main" id="{496FCD13-BF98-957C-0EA3-4C0B74C3B2BF}"/>
              </a:ext>
            </a:extLst>
          </xdr:cNvPr>
          <xdr:cNvSpPr/>
        </xdr:nvSpPr>
        <xdr:spPr>
          <a:xfrm>
            <a:off x="7581900" y="81629250"/>
            <a:ext cx="61911" cy="4908550"/>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cxnSp macro="">
        <xdr:nvCxnSpPr>
          <xdr:cNvPr id="2175" name="Straight Connector 2174">
            <a:extLst>
              <a:ext uri="{FF2B5EF4-FFF2-40B4-BE49-F238E27FC236}">
                <a16:creationId xmlns:a16="http://schemas.microsoft.com/office/drawing/2014/main" id="{54CD8ACE-C7BA-0EEC-F73F-B1B8B13A022B}"/>
              </a:ext>
            </a:extLst>
          </xdr:cNvPr>
          <xdr:cNvCxnSpPr/>
        </xdr:nvCxnSpPr>
        <xdr:spPr>
          <a:xfrm>
            <a:off x="3467100" y="81900712"/>
            <a:ext cx="542925" cy="0"/>
          </a:xfrm>
          <a:prstGeom prst="line">
            <a:avLst/>
          </a:prstGeom>
          <a:ln w="12700">
            <a:solidFill>
              <a:schemeClr val="accent6">
                <a:lumMod val="75000"/>
              </a:schemeClr>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2176" name="Straight Connector 2175">
            <a:extLst>
              <a:ext uri="{FF2B5EF4-FFF2-40B4-BE49-F238E27FC236}">
                <a16:creationId xmlns:a16="http://schemas.microsoft.com/office/drawing/2014/main" id="{9A8B66B6-4005-32EC-3A69-53504F6F0126}"/>
              </a:ext>
            </a:extLst>
          </xdr:cNvPr>
          <xdr:cNvCxnSpPr/>
        </xdr:nvCxnSpPr>
        <xdr:spPr>
          <a:xfrm>
            <a:off x="3467100" y="81934050"/>
            <a:ext cx="542925" cy="0"/>
          </a:xfrm>
          <a:prstGeom prst="line">
            <a:avLst/>
          </a:prstGeom>
          <a:ln w="12700">
            <a:solidFill>
              <a:schemeClr val="accent6">
                <a:lumMod val="75000"/>
              </a:schemeClr>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2177" name="Straight Connector 2176">
            <a:extLst>
              <a:ext uri="{FF2B5EF4-FFF2-40B4-BE49-F238E27FC236}">
                <a16:creationId xmlns:a16="http://schemas.microsoft.com/office/drawing/2014/main" id="{DF899D41-5F66-89B0-5C47-F67A9799387B}"/>
              </a:ext>
            </a:extLst>
          </xdr:cNvPr>
          <xdr:cNvCxnSpPr/>
        </xdr:nvCxnSpPr>
        <xdr:spPr>
          <a:xfrm>
            <a:off x="7353287" y="81910243"/>
            <a:ext cx="542925" cy="0"/>
          </a:xfrm>
          <a:prstGeom prst="line">
            <a:avLst/>
          </a:prstGeom>
          <a:ln w="12700">
            <a:solidFill>
              <a:schemeClr val="accent6">
                <a:lumMod val="75000"/>
              </a:schemeClr>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2178" name="Straight Connector 2177">
            <a:extLst>
              <a:ext uri="{FF2B5EF4-FFF2-40B4-BE49-F238E27FC236}">
                <a16:creationId xmlns:a16="http://schemas.microsoft.com/office/drawing/2014/main" id="{46BE9D88-1DDA-C7D2-7CF3-228CDCC3900C}"/>
              </a:ext>
            </a:extLst>
          </xdr:cNvPr>
          <xdr:cNvCxnSpPr/>
        </xdr:nvCxnSpPr>
        <xdr:spPr>
          <a:xfrm>
            <a:off x="7353287" y="81943581"/>
            <a:ext cx="542925" cy="0"/>
          </a:xfrm>
          <a:prstGeom prst="line">
            <a:avLst/>
          </a:prstGeom>
          <a:ln w="12700">
            <a:solidFill>
              <a:schemeClr val="accent6">
                <a:lumMod val="75000"/>
              </a:schemeClr>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2179" name="Rectangle 2178">
            <a:extLst>
              <a:ext uri="{FF2B5EF4-FFF2-40B4-BE49-F238E27FC236}">
                <a16:creationId xmlns:a16="http://schemas.microsoft.com/office/drawing/2014/main" id="{25ED5A89-A67E-151F-8046-049B4C00EED9}"/>
              </a:ext>
            </a:extLst>
          </xdr:cNvPr>
          <xdr:cNvSpPr/>
        </xdr:nvSpPr>
        <xdr:spPr>
          <a:xfrm>
            <a:off x="3652837" y="82203925"/>
            <a:ext cx="146050" cy="146050"/>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2180" name="Rectangle 2179">
            <a:extLst>
              <a:ext uri="{FF2B5EF4-FFF2-40B4-BE49-F238E27FC236}">
                <a16:creationId xmlns:a16="http://schemas.microsoft.com/office/drawing/2014/main" id="{98D2389B-4FEC-3371-1828-96EED9816191}"/>
              </a:ext>
            </a:extLst>
          </xdr:cNvPr>
          <xdr:cNvSpPr/>
        </xdr:nvSpPr>
        <xdr:spPr>
          <a:xfrm>
            <a:off x="3652837" y="82918300"/>
            <a:ext cx="146050" cy="146050"/>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2181" name="Rectangle 2180">
            <a:extLst>
              <a:ext uri="{FF2B5EF4-FFF2-40B4-BE49-F238E27FC236}">
                <a16:creationId xmlns:a16="http://schemas.microsoft.com/office/drawing/2014/main" id="{E966A364-809A-06D4-D81D-875EC5FB34B7}"/>
              </a:ext>
            </a:extLst>
          </xdr:cNvPr>
          <xdr:cNvSpPr/>
        </xdr:nvSpPr>
        <xdr:spPr>
          <a:xfrm>
            <a:off x="3652837" y="83632675"/>
            <a:ext cx="146050" cy="146050"/>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2182" name="Rectangle 2181">
            <a:extLst>
              <a:ext uri="{FF2B5EF4-FFF2-40B4-BE49-F238E27FC236}">
                <a16:creationId xmlns:a16="http://schemas.microsoft.com/office/drawing/2014/main" id="{38567C9C-B4F1-C136-9049-E9B9A0F0201A}"/>
              </a:ext>
            </a:extLst>
          </xdr:cNvPr>
          <xdr:cNvSpPr/>
        </xdr:nvSpPr>
        <xdr:spPr>
          <a:xfrm>
            <a:off x="3652837" y="84347050"/>
            <a:ext cx="146050" cy="146050"/>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2183" name="Rectangle 2182">
            <a:extLst>
              <a:ext uri="{FF2B5EF4-FFF2-40B4-BE49-F238E27FC236}">
                <a16:creationId xmlns:a16="http://schemas.microsoft.com/office/drawing/2014/main" id="{5CE9CF0D-8D8F-9132-11D4-F29A1080B698}"/>
              </a:ext>
            </a:extLst>
          </xdr:cNvPr>
          <xdr:cNvSpPr/>
        </xdr:nvSpPr>
        <xdr:spPr>
          <a:xfrm>
            <a:off x="7539038" y="81489550"/>
            <a:ext cx="146050" cy="146050"/>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2184" name="Rectangle 2183">
            <a:extLst>
              <a:ext uri="{FF2B5EF4-FFF2-40B4-BE49-F238E27FC236}">
                <a16:creationId xmlns:a16="http://schemas.microsoft.com/office/drawing/2014/main" id="{88815D48-3752-1B53-49A2-B73F249F8D3B}"/>
              </a:ext>
            </a:extLst>
          </xdr:cNvPr>
          <xdr:cNvSpPr/>
        </xdr:nvSpPr>
        <xdr:spPr>
          <a:xfrm>
            <a:off x="3652838" y="81489550"/>
            <a:ext cx="146050" cy="146050"/>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2185" name="Rectangle 2184">
            <a:extLst>
              <a:ext uri="{FF2B5EF4-FFF2-40B4-BE49-F238E27FC236}">
                <a16:creationId xmlns:a16="http://schemas.microsoft.com/office/drawing/2014/main" id="{60052C29-ED03-5485-8CC2-E6D6E7090C78}"/>
              </a:ext>
            </a:extLst>
          </xdr:cNvPr>
          <xdr:cNvSpPr/>
        </xdr:nvSpPr>
        <xdr:spPr>
          <a:xfrm>
            <a:off x="7539037" y="82918300"/>
            <a:ext cx="146050" cy="146050"/>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2186" name="Rectangle 2185">
            <a:extLst>
              <a:ext uri="{FF2B5EF4-FFF2-40B4-BE49-F238E27FC236}">
                <a16:creationId xmlns:a16="http://schemas.microsoft.com/office/drawing/2014/main" id="{EE8DB0FA-46A1-C226-AF1D-77C9BBBEE56E}"/>
              </a:ext>
            </a:extLst>
          </xdr:cNvPr>
          <xdr:cNvSpPr/>
        </xdr:nvSpPr>
        <xdr:spPr>
          <a:xfrm>
            <a:off x="7539037" y="83632675"/>
            <a:ext cx="146050" cy="146050"/>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2187" name="Rectangle 2186">
            <a:extLst>
              <a:ext uri="{FF2B5EF4-FFF2-40B4-BE49-F238E27FC236}">
                <a16:creationId xmlns:a16="http://schemas.microsoft.com/office/drawing/2014/main" id="{AEF74D97-2940-7F32-848F-992DE28C4464}"/>
              </a:ext>
            </a:extLst>
          </xdr:cNvPr>
          <xdr:cNvSpPr/>
        </xdr:nvSpPr>
        <xdr:spPr>
          <a:xfrm>
            <a:off x="7539037" y="84347050"/>
            <a:ext cx="146050" cy="146050"/>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2188" name="Rectangle 2187">
            <a:extLst>
              <a:ext uri="{FF2B5EF4-FFF2-40B4-BE49-F238E27FC236}">
                <a16:creationId xmlns:a16="http://schemas.microsoft.com/office/drawing/2014/main" id="{C973AC13-78D8-FAC8-86B6-ACD00C9BCB15}"/>
              </a:ext>
            </a:extLst>
          </xdr:cNvPr>
          <xdr:cNvSpPr/>
        </xdr:nvSpPr>
        <xdr:spPr>
          <a:xfrm>
            <a:off x="7539037" y="82203925"/>
            <a:ext cx="146050" cy="146050"/>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2189" name="Rectangle 2188">
            <a:extLst>
              <a:ext uri="{FF2B5EF4-FFF2-40B4-BE49-F238E27FC236}">
                <a16:creationId xmlns:a16="http://schemas.microsoft.com/office/drawing/2014/main" id="{31A7E5AB-D85F-92C9-6188-D42EB98AAF83}"/>
              </a:ext>
            </a:extLst>
          </xdr:cNvPr>
          <xdr:cNvSpPr/>
        </xdr:nvSpPr>
        <xdr:spPr>
          <a:xfrm>
            <a:off x="3652837" y="85061425"/>
            <a:ext cx="146050" cy="146050"/>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2190" name="Rectangle 2189">
            <a:extLst>
              <a:ext uri="{FF2B5EF4-FFF2-40B4-BE49-F238E27FC236}">
                <a16:creationId xmlns:a16="http://schemas.microsoft.com/office/drawing/2014/main" id="{7DA1E442-FE0F-8E30-7EAD-2A9EA663E2F4}"/>
              </a:ext>
            </a:extLst>
          </xdr:cNvPr>
          <xdr:cNvSpPr/>
        </xdr:nvSpPr>
        <xdr:spPr>
          <a:xfrm>
            <a:off x="7539037" y="85061425"/>
            <a:ext cx="146050" cy="146050"/>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2191" name="Rectangle 2190">
            <a:extLst>
              <a:ext uri="{FF2B5EF4-FFF2-40B4-BE49-F238E27FC236}">
                <a16:creationId xmlns:a16="http://schemas.microsoft.com/office/drawing/2014/main" id="{38A95AC7-776C-BD9E-CC69-1C89AB1CF990}"/>
              </a:ext>
            </a:extLst>
          </xdr:cNvPr>
          <xdr:cNvSpPr/>
        </xdr:nvSpPr>
        <xdr:spPr>
          <a:xfrm>
            <a:off x="7539037" y="85775800"/>
            <a:ext cx="146050" cy="146050"/>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2192" name="Rectangle 2191">
            <a:extLst>
              <a:ext uri="{FF2B5EF4-FFF2-40B4-BE49-F238E27FC236}">
                <a16:creationId xmlns:a16="http://schemas.microsoft.com/office/drawing/2014/main" id="{95E57076-98C5-2B6E-F2A7-BA0B0BEACDDF}"/>
              </a:ext>
            </a:extLst>
          </xdr:cNvPr>
          <xdr:cNvSpPr/>
        </xdr:nvSpPr>
        <xdr:spPr>
          <a:xfrm>
            <a:off x="3652837" y="85775800"/>
            <a:ext cx="146050" cy="146050"/>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2193" name="Rectangle 2192">
            <a:extLst>
              <a:ext uri="{FF2B5EF4-FFF2-40B4-BE49-F238E27FC236}">
                <a16:creationId xmlns:a16="http://schemas.microsoft.com/office/drawing/2014/main" id="{F4D97F8F-8C7A-38E5-CB85-EF9BB13DCB1A}"/>
              </a:ext>
            </a:extLst>
          </xdr:cNvPr>
          <xdr:cNvSpPr/>
        </xdr:nvSpPr>
        <xdr:spPr>
          <a:xfrm>
            <a:off x="6243617" y="86491773"/>
            <a:ext cx="146050" cy="146050"/>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2194" name="Rectangle 2193">
            <a:extLst>
              <a:ext uri="{FF2B5EF4-FFF2-40B4-BE49-F238E27FC236}">
                <a16:creationId xmlns:a16="http://schemas.microsoft.com/office/drawing/2014/main" id="{F10BDA35-AAFD-5F04-BABD-59B08BC705D3}"/>
              </a:ext>
            </a:extLst>
          </xdr:cNvPr>
          <xdr:cNvSpPr/>
        </xdr:nvSpPr>
        <xdr:spPr>
          <a:xfrm>
            <a:off x="7539037" y="86490175"/>
            <a:ext cx="146050" cy="146050"/>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2195" name="Rectangle 2194">
            <a:extLst>
              <a:ext uri="{FF2B5EF4-FFF2-40B4-BE49-F238E27FC236}">
                <a16:creationId xmlns:a16="http://schemas.microsoft.com/office/drawing/2014/main" id="{F1CC82EE-FAEC-EE4E-3A21-35E77DB87426}"/>
              </a:ext>
            </a:extLst>
          </xdr:cNvPr>
          <xdr:cNvSpPr/>
        </xdr:nvSpPr>
        <xdr:spPr>
          <a:xfrm>
            <a:off x="4948220" y="86491773"/>
            <a:ext cx="146050" cy="146050"/>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2196" name="Rectangle 2195">
            <a:extLst>
              <a:ext uri="{FF2B5EF4-FFF2-40B4-BE49-F238E27FC236}">
                <a16:creationId xmlns:a16="http://schemas.microsoft.com/office/drawing/2014/main" id="{04925A99-13AB-B8A9-15F4-784271AE855A}"/>
              </a:ext>
            </a:extLst>
          </xdr:cNvPr>
          <xdr:cNvSpPr/>
        </xdr:nvSpPr>
        <xdr:spPr>
          <a:xfrm>
            <a:off x="4073516" y="86493362"/>
            <a:ext cx="146050" cy="146050"/>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2197" name="Rectangle 2196">
            <a:extLst>
              <a:ext uri="{FF2B5EF4-FFF2-40B4-BE49-F238E27FC236}">
                <a16:creationId xmlns:a16="http://schemas.microsoft.com/office/drawing/2014/main" id="{65A44800-6B2F-70F7-63C8-3EE701726546}"/>
              </a:ext>
            </a:extLst>
          </xdr:cNvPr>
          <xdr:cNvSpPr/>
        </xdr:nvSpPr>
        <xdr:spPr>
          <a:xfrm>
            <a:off x="4511666" y="86493364"/>
            <a:ext cx="146050" cy="146050"/>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2198" name="Rectangle 2197">
            <a:extLst>
              <a:ext uri="{FF2B5EF4-FFF2-40B4-BE49-F238E27FC236}">
                <a16:creationId xmlns:a16="http://schemas.microsoft.com/office/drawing/2014/main" id="{3D61BB03-F431-6C91-E639-F7867901F979}"/>
              </a:ext>
            </a:extLst>
          </xdr:cNvPr>
          <xdr:cNvSpPr/>
        </xdr:nvSpPr>
        <xdr:spPr>
          <a:xfrm>
            <a:off x="6683365" y="86493360"/>
            <a:ext cx="146050" cy="146050"/>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2199" name="Rectangle 2198">
            <a:extLst>
              <a:ext uri="{FF2B5EF4-FFF2-40B4-BE49-F238E27FC236}">
                <a16:creationId xmlns:a16="http://schemas.microsoft.com/office/drawing/2014/main" id="{DB09FBC2-55E1-6A3A-F2B7-A723C436646F}"/>
              </a:ext>
            </a:extLst>
          </xdr:cNvPr>
          <xdr:cNvSpPr/>
        </xdr:nvSpPr>
        <xdr:spPr>
          <a:xfrm>
            <a:off x="7121515" y="86493362"/>
            <a:ext cx="146050" cy="146050"/>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2200" name="Rectangle 2199">
            <a:extLst>
              <a:ext uri="{FF2B5EF4-FFF2-40B4-BE49-F238E27FC236}">
                <a16:creationId xmlns:a16="http://schemas.microsoft.com/office/drawing/2014/main" id="{D5D17928-3CC0-912E-27F3-25997AF6E81A}"/>
              </a:ext>
            </a:extLst>
          </xdr:cNvPr>
          <xdr:cNvSpPr/>
        </xdr:nvSpPr>
        <xdr:spPr>
          <a:xfrm>
            <a:off x="3652837" y="86490175"/>
            <a:ext cx="146050" cy="146050"/>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2201" name="Rectangle 2200">
            <a:extLst>
              <a:ext uri="{FF2B5EF4-FFF2-40B4-BE49-F238E27FC236}">
                <a16:creationId xmlns:a16="http://schemas.microsoft.com/office/drawing/2014/main" id="{8432BF44-8243-926B-56FF-788DAE0C492D}"/>
              </a:ext>
            </a:extLst>
          </xdr:cNvPr>
          <xdr:cNvSpPr/>
        </xdr:nvSpPr>
        <xdr:spPr>
          <a:xfrm>
            <a:off x="3724275" y="81562575"/>
            <a:ext cx="3886200" cy="5000625"/>
          </a:xfrm>
          <a:prstGeom prst="rect">
            <a:avLst/>
          </a:prstGeom>
          <a:noFill/>
          <a:ln w="6350">
            <a:prstDash val="dashDot"/>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kern="1200"/>
          </a:p>
        </xdr:txBody>
      </xdr:sp>
      <xdr:cxnSp macro="">
        <xdr:nvCxnSpPr>
          <xdr:cNvPr id="2202" name="Straight Connector 2201">
            <a:extLst>
              <a:ext uri="{FF2B5EF4-FFF2-40B4-BE49-F238E27FC236}">
                <a16:creationId xmlns:a16="http://schemas.microsoft.com/office/drawing/2014/main" id="{8B904BFB-9BCB-4D04-639C-27156CEB3B04}"/>
              </a:ext>
            </a:extLst>
          </xdr:cNvPr>
          <xdr:cNvCxnSpPr/>
        </xdr:nvCxnSpPr>
        <xdr:spPr>
          <a:xfrm>
            <a:off x="3724275" y="82276950"/>
            <a:ext cx="3886200" cy="0"/>
          </a:xfrm>
          <a:prstGeom prst="line">
            <a:avLst/>
          </a:prstGeom>
          <a:noFill/>
          <a:ln w="6350">
            <a:prstDash val="dashDot"/>
          </a:ln>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2203" name="Straight Connector 2202">
            <a:extLst>
              <a:ext uri="{FF2B5EF4-FFF2-40B4-BE49-F238E27FC236}">
                <a16:creationId xmlns:a16="http://schemas.microsoft.com/office/drawing/2014/main" id="{DD50B2BA-F8B1-4B74-6BB7-BD6D8014003B}"/>
              </a:ext>
            </a:extLst>
          </xdr:cNvPr>
          <xdr:cNvCxnSpPr/>
        </xdr:nvCxnSpPr>
        <xdr:spPr>
          <a:xfrm>
            <a:off x="4143375" y="81562575"/>
            <a:ext cx="0" cy="5000625"/>
          </a:xfrm>
          <a:prstGeom prst="line">
            <a:avLst/>
          </a:prstGeom>
          <a:noFill/>
          <a:ln w="6350">
            <a:prstDash val="dashDot"/>
          </a:ln>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2204" name="Straight Connector 2203">
            <a:extLst>
              <a:ext uri="{FF2B5EF4-FFF2-40B4-BE49-F238E27FC236}">
                <a16:creationId xmlns:a16="http://schemas.microsoft.com/office/drawing/2014/main" id="{ED1A43F7-A9B5-8FA0-99C6-142B4EEA5AA7}"/>
              </a:ext>
            </a:extLst>
          </xdr:cNvPr>
          <xdr:cNvCxnSpPr/>
        </xdr:nvCxnSpPr>
        <xdr:spPr>
          <a:xfrm>
            <a:off x="4581525" y="81562575"/>
            <a:ext cx="0" cy="5000625"/>
          </a:xfrm>
          <a:prstGeom prst="line">
            <a:avLst/>
          </a:prstGeom>
          <a:noFill/>
          <a:ln w="6350">
            <a:prstDash val="dashDot"/>
          </a:ln>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2205" name="Straight Connector 2204">
            <a:extLst>
              <a:ext uri="{FF2B5EF4-FFF2-40B4-BE49-F238E27FC236}">
                <a16:creationId xmlns:a16="http://schemas.microsoft.com/office/drawing/2014/main" id="{F2DB2A5A-184E-04B9-9EDE-001431C3934F}"/>
              </a:ext>
            </a:extLst>
          </xdr:cNvPr>
          <xdr:cNvCxnSpPr/>
        </xdr:nvCxnSpPr>
        <xdr:spPr>
          <a:xfrm>
            <a:off x="5019675" y="81562575"/>
            <a:ext cx="0" cy="5000625"/>
          </a:xfrm>
          <a:prstGeom prst="line">
            <a:avLst/>
          </a:prstGeom>
          <a:noFill/>
          <a:ln w="6350">
            <a:prstDash val="dashDot"/>
          </a:ln>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2206" name="Straight Connector 2205">
            <a:extLst>
              <a:ext uri="{FF2B5EF4-FFF2-40B4-BE49-F238E27FC236}">
                <a16:creationId xmlns:a16="http://schemas.microsoft.com/office/drawing/2014/main" id="{796E6181-98FF-712A-6DB8-267B31A66687}"/>
              </a:ext>
            </a:extLst>
          </xdr:cNvPr>
          <xdr:cNvCxnSpPr/>
        </xdr:nvCxnSpPr>
        <xdr:spPr>
          <a:xfrm>
            <a:off x="6315075" y="81567337"/>
            <a:ext cx="0" cy="5000625"/>
          </a:xfrm>
          <a:prstGeom prst="line">
            <a:avLst/>
          </a:prstGeom>
          <a:noFill/>
          <a:ln w="6350">
            <a:prstDash val="dashDot"/>
          </a:ln>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2207" name="Straight Connector 2206">
            <a:extLst>
              <a:ext uri="{FF2B5EF4-FFF2-40B4-BE49-F238E27FC236}">
                <a16:creationId xmlns:a16="http://schemas.microsoft.com/office/drawing/2014/main" id="{414D8178-EC70-9EDA-8D3F-DE6A78789264}"/>
              </a:ext>
            </a:extLst>
          </xdr:cNvPr>
          <xdr:cNvCxnSpPr/>
        </xdr:nvCxnSpPr>
        <xdr:spPr>
          <a:xfrm>
            <a:off x="6753225" y="81562575"/>
            <a:ext cx="0" cy="5000625"/>
          </a:xfrm>
          <a:prstGeom prst="line">
            <a:avLst/>
          </a:prstGeom>
          <a:noFill/>
          <a:ln w="6350">
            <a:prstDash val="dashDot"/>
          </a:ln>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2208" name="Straight Connector 2207">
            <a:extLst>
              <a:ext uri="{FF2B5EF4-FFF2-40B4-BE49-F238E27FC236}">
                <a16:creationId xmlns:a16="http://schemas.microsoft.com/office/drawing/2014/main" id="{ABE760FB-3FED-5DF7-B960-BD924E7BF541}"/>
              </a:ext>
            </a:extLst>
          </xdr:cNvPr>
          <xdr:cNvCxnSpPr/>
        </xdr:nvCxnSpPr>
        <xdr:spPr>
          <a:xfrm>
            <a:off x="7191375" y="81562575"/>
            <a:ext cx="0" cy="5000625"/>
          </a:xfrm>
          <a:prstGeom prst="line">
            <a:avLst/>
          </a:prstGeom>
          <a:noFill/>
          <a:ln w="6350">
            <a:prstDash val="dashDot"/>
          </a:ln>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2209" name="Straight Connector 2208">
            <a:extLst>
              <a:ext uri="{FF2B5EF4-FFF2-40B4-BE49-F238E27FC236}">
                <a16:creationId xmlns:a16="http://schemas.microsoft.com/office/drawing/2014/main" id="{5767BDD3-43FB-F2D4-DD7B-C11D5BDA44CB}"/>
              </a:ext>
            </a:extLst>
          </xdr:cNvPr>
          <xdr:cNvCxnSpPr/>
        </xdr:nvCxnSpPr>
        <xdr:spPr>
          <a:xfrm>
            <a:off x="3724275" y="82991325"/>
            <a:ext cx="3886200" cy="0"/>
          </a:xfrm>
          <a:prstGeom prst="line">
            <a:avLst/>
          </a:prstGeom>
          <a:noFill/>
          <a:ln w="6350">
            <a:prstDash val="dashDot"/>
          </a:ln>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2210" name="Straight Connector 2209">
            <a:extLst>
              <a:ext uri="{FF2B5EF4-FFF2-40B4-BE49-F238E27FC236}">
                <a16:creationId xmlns:a16="http://schemas.microsoft.com/office/drawing/2014/main" id="{6E380E1A-7AB4-A009-C10B-2B6544D2DCEC}"/>
              </a:ext>
            </a:extLst>
          </xdr:cNvPr>
          <xdr:cNvCxnSpPr/>
        </xdr:nvCxnSpPr>
        <xdr:spPr>
          <a:xfrm>
            <a:off x="3733800" y="83705700"/>
            <a:ext cx="3886200" cy="0"/>
          </a:xfrm>
          <a:prstGeom prst="line">
            <a:avLst/>
          </a:prstGeom>
          <a:noFill/>
          <a:ln w="6350">
            <a:prstDash val="dashDot"/>
          </a:ln>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2211" name="Straight Connector 2210">
            <a:extLst>
              <a:ext uri="{FF2B5EF4-FFF2-40B4-BE49-F238E27FC236}">
                <a16:creationId xmlns:a16="http://schemas.microsoft.com/office/drawing/2014/main" id="{912C7871-70B9-F060-E729-CE477CB7224E}"/>
              </a:ext>
            </a:extLst>
          </xdr:cNvPr>
          <xdr:cNvCxnSpPr/>
        </xdr:nvCxnSpPr>
        <xdr:spPr>
          <a:xfrm>
            <a:off x="3724275" y="84420075"/>
            <a:ext cx="3886200" cy="0"/>
          </a:xfrm>
          <a:prstGeom prst="line">
            <a:avLst/>
          </a:prstGeom>
          <a:noFill/>
          <a:ln w="6350">
            <a:prstDash val="dashDot"/>
          </a:ln>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2212" name="Straight Connector 2211">
            <a:extLst>
              <a:ext uri="{FF2B5EF4-FFF2-40B4-BE49-F238E27FC236}">
                <a16:creationId xmlns:a16="http://schemas.microsoft.com/office/drawing/2014/main" id="{7EBAC164-1D30-FA52-F5AB-BA66E077C6DC}"/>
              </a:ext>
            </a:extLst>
          </xdr:cNvPr>
          <xdr:cNvCxnSpPr/>
        </xdr:nvCxnSpPr>
        <xdr:spPr>
          <a:xfrm>
            <a:off x="3724275" y="85134450"/>
            <a:ext cx="3886200" cy="0"/>
          </a:xfrm>
          <a:prstGeom prst="line">
            <a:avLst/>
          </a:prstGeom>
          <a:noFill/>
          <a:ln w="6350">
            <a:prstDash val="dashDot"/>
          </a:ln>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2213" name="Straight Connector 2212">
            <a:extLst>
              <a:ext uri="{FF2B5EF4-FFF2-40B4-BE49-F238E27FC236}">
                <a16:creationId xmlns:a16="http://schemas.microsoft.com/office/drawing/2014/main" id="{87998BAD-975B-9B22-78FB-F43B2E17390B}"/>
              </a:ext>
            </a:extLst>
          </xdr:cNvPr>
          <xdr:cNvCxnSpPr/>
        </xdr:nvCxnSpPr>
        <xdr:spPr>
          <a:xfrm>
            <a:off x="3733800" y="85848825"/>
            <a:ext cx="3886200" cy="0"/>
          </a:xfrm>
          <a:prstGeom prst="line">
            <a:avLst/>
          </a:prstGeom>
          <a:noFill/>
          <a:ln w="6350">
            <a:prstDash val="dashDot"/>
          </a:ln>
        </xdr:spPr>
        <xdr:style>
          <a:lnRef idx="2">
            <a:schemeClr val="accent1">
              <a:shade val="15000"/>
            </a:schemeClr>
          </a:lnRef>
          <a:fillRef idx="1">
            <a:schemeClr val="accent1"/>
          </a:fillRef>
          <a:effectRef idx="0">
            <a:schemeClr val="accent1"/>
          </a:effectRef>
          <a:fontRef idx="minor">
            <a:schemeClr val="lt1"/>
          </a:fontRef>
        </xdr:style>
      </xdr:cxnSp>
    </xdr:grpSp>
    <xdr:clientData/>
  </xdr:twoCellAnchor>
  <xdr:twoCellAnchor>
    <xdr:from>
      <xdr:col>6</xdr:col>
      <xdr:colOff>47626</xdr:colOff>
      <xdr:row>484</xdr:row>
      <xdr:rowOff>109547</xdr:rowOff>
    </xdr:from>
    <xdr:to>
      <xdr:col>15</xdr:col>
      <xdr:colOff>109538</xdr:colOff>
      <xdr:row>487</xdr:row>
      <xdr:rowOff>10</xdr:rowOff>
    </xdr:to>
    <xdr:sp macro="" textlink="">
      <xdr:nvSpPr>
        <xdr:cNvPr id="2214" name="Freeform: Shape 2213">
          <a:extLst>
            <a:ext uri="{FF2B5EF4-FFF2-40B4-BE49-F238E27FC236}">
              <a16:creationId xmlns:a16="http://schemas.microsoft.com/office/drawing/2014/main" id="{A2E2D3A1-A905-4FE6-86C8-E51535D809E1}"/>
            </a:ext>
          </a:extLst>
        </xdr:cNvPr>
        <xdr:cNvSpPr/>
      </xdr:nvSpPr>
      <xdr:spPr>
        <a:xfrm>
          <a:off x="1019176" y="59202647"/>
          <a:ext cx="1519237" cy="319088"/>
        </a:xfrm>
        <a:custGeom>
          <a:avLst/>
          <a:gdLst>
            <a:gd name="connsiteX0" fmla="*/ 0 w 1519237"/>
            <a:gd name="connsiteY0" fmla="*/ 9525 h 319088"/>
            <a:gd name="connsiteX1" fmla="*/ 0 w 1519237"/>
            <a:gd name="connsiteY1" fmla="*/ 319088 h 319088"/>
            <a:gd name="connsiteX2" fmla="*/ 1519237 w 1519237"/>
            <a:gd name="connsiteY2" fmla="*/ 319088 h 319088"/>
            <a:gd name="connsiteX3" fmla="*/ 1519237 w 1519237"/>
            <a:gd name="connsiteY3" fmla="*/ 0 h 319088"/>
          </a:gdLst>
          <a:ahLst/>
          <a:cxnLst>
            <a:cxn ang="0">
              <a:pos x="connsiteX0" y="connsiteY0"/>
            </a:cxn>
            <a:cxn ang="0">
              <a:pos x="connsiteX1" y="connsiteY1"/>
            </a:cxn>
            <a:cxn ang="0">
              <a:pos x="connsiteX2" y="connsiteY2"/>
            </a:cxn>
            <a:cxn ang="0">
              <a:pos x="connsiteX3" y="connsiteY3"/>
            </a:cxn>
          </a:cxnLst>
          <a:rect l="l" t="t" r="r" b="b"/>
          <a:pathLst>
            <a:path w="1519237" h="319088">
              <a:moveTo>
                <a:pt x="0" y="9525"/>
              </a:moveTo>
              <a:lnTo>
                <a:pt x="0" y="319088"/>
              </a:lnTo>
              <a:lnTo>
                <a:pt x="1519237" y="319088"/>
              </a:lnTo>
              <a:lnTo>
                <a:pt x="1519237" y="0"/>
              </a:lnTo>
            </a:path>
          </a:pathLst>
        </a:cu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kern="1200"/>
        </a:p>
      </xdr:txBody>
    </xdr:sp>
    <xdr:clientData/>
  </xdr:twoCellAnchor>
  <xdr:twoCellAnchor>
    <xdr:from>
      <xdr:col>9</xdr:col>
      <xdr:colOff>14287</xdr:colOff>
      <xdr:row>480</xdr:row>
      <xdr:rowOff>9529</xdr:rowOff>
    </xdr:from>
    <xdr:to>
      <xdr:col>11</xdr:col>
      <xdr:colOff>9525</xdr:colOff>
      <xdr:row>486</xdr:row>
      <xdr:rowOff>0</xdr:rowOff>
    </xdr:to>
    <xdr:sp macro="" textlink="">
      <xdr:nvSpPr>
        <xdr:cNvPr id="2215" name="Freeform: Shape 2214">
          <a:extLst>
            <a:ext uri="{FF2B5EF4-FFF2-40B4-BE49-F238E27FC236}">
              <a16:creationId xmlns:a16="http://schemas.microsoft.com/office/drawing/2014/main" id="{57B3E1C1-0B88-4CB7-8A71-CD0D2565E21B}"/>
            </a:ext>
          </a:extLst>
        </xdr:cNvPr>
        <xdr:cNvSpPr/>
      </xdr:nvSpPr>
      <xdr:spPr>
        <a:xfrm rot="5400000">
          <a:off x="1207295" y="58795446"/>
          <a:ext cx="847721" cy="319088"/>
        </a:xfrm>
        <a:custGeom>
          <a:avLst/>
          <a:gdLst>
            <a:gd name="connsiteX0" fmla="*/ 0 w 1519237"/>
            <a:gd name="connsiteY0" fmla="*/ 9525 h 319088"/>
            <a:gd name="connsiteX1" fmla="*/ 0 w 1519237"/>
            <a:gd name="connsiteY1" fmla="*/ 319088 h 319088"/>
            <a:gd name="connsiteX2" fmla="*/ 1519237 w 1519237"/>
            <a:gd name="connsiteY2" fmla="*/ 319088 h 319088"/>
            <a:gd name="connsiteX3" fmla="*/ 1519237 w 1519237"/>
            <a:gd name="connsiteY3" fmla="*/ 0 h 319088"/>
          </a:gdLst>
          <a:ahLst/>
          <a:cxnLst>
            <a:cxn ang="0">
              <a:pos x="connsiteX0" y="connsiteY0"/>
            </a:cxn>
            <a:cxn ang="0">
              <a:pos x="connsiteX1" y="connsiteY1"/>
            </a:cxn>
            <a:cxn ang="0">
              <a:pos x="connsiteX2" y="connsiteY2"/>
            </a:cxn>
            <a:cxn ang="0">
              <a:pos x="connsiteX3" y="connsiteY3"/>
            </a:cxn>
          </a:cxnLst>
          <a:rect l="l" t="t" r="r" b="b"/>
          <a:pathLst>
            <a:path w="1519237" h="319088">
              <a:moveTo>
                <a:pt x="0" y="9525"/>
              </a:moveTo>
              <a:lnTo>
                <a:pt x="0" y="319088"/>
              </a:lnTo>
              <a:lnTo>
                <a:pt x="1519237" y="319088"/>
              </a:lnTo>
              <a:lnTo>
                <a:pt x="1519237" y="0"/>
              </a:lnTo>
            </a:path>
          </a:pathLst>
        </a:cu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kern="1200"/>
        </a:p>
      </xdr:txBody>
    </xdr:sp>
    <xdr:clientData/>
  </xdr:twoCellAnchor>
  <xdr:twoCellAnchor>
    <xdr:from>
      <xdr:col>21</xdr:col>
      <xdr:colOff>66675</xdr:colOff>
      <xdr:row>466</xdr:row>
      <xdr:rowOff>107947</xdr:rowOff>
    </xdr:from>
    <xdr:to>
      <xdr:col>48</xdr:col>
      <xdr:colOff>123812</xdr:colOff>
      <xdr:row>504</xdr:row>
      <xdr:rowOff>41289</xdr:rowOff>
    </xdr:to>
    <xdr:grpSp>
      <xdr:nvGrpSpPr>
        <xdr:cNvPr id="2286" name="Group 2285">
          <a:extLst>
            <a:ext uri="{FF2B5EF4-FFF2-40B4-BE49-F238E27FC236}">
              <a16:creationId xmlns:a16="http://schemas.microsoft.com/office/drawing/2014/main" id="{3F2016AC-46F4-4189-8F36-0BFF943EA98B}"/>
            </a:ext>
          </a:extLst>
        </xdr:cNvPr>
        <xdr:cNvGrpSpPr/>
      </xdr:nvGrpSpPr>
      <xdr:grpSpPr>
        <a:xfrm>
          <a:off x="3467100" y="67983097"/>
          <a:ext cx="4429112" cy="5362592"/>
          <a:chOff x="3467100" y="81384772"/>
          <a:chExt cx="4429112" cy="5362592"/>
        </a:xfrm>
      </xdr:grpSpPr>
      <xdr:sp macro="" textlink="">
        <xdr:nvSpPr>
          <xdr:cNvPr id="2287" name="Rectangle 2286">
            <a:extLst>
              <a:ext uri="{FF2B5EF4-FFF2-40B4-BE49-F238E27FC236}">
                <a16:creationId xmlns:a16="http://schemas.microsoft.com/office/drawing/2014/main" id="{462059CE-08F3-11BD-AF05-028B0D5A4C24}"/>
              </a:ext>
            </a:extLst>
          </xdr:cNvPr>
          <xdr:cNvSpPr/>
        </xdr:nvSpPr>
        <xdr:spPr>
          <a:xfrm rot="5400000">
            <a:off x="5669757" y="84630418"/>
            <a:ext cx="64292" cy="3866356"/>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2288" name="Rectangle 2287">
            <a:extLst>
              <a:ext uri="{FF2B5EF4-FFF2-40B4-BE49-F238E27FC236}">
                <a16:creationId xmlns:a16="http://schemas.microsoft.com/office/drawing/2014/main" id="{7E683E68-EBDD-7E46-01F8-BEF97A5BDF7D}"/>
              </a:ext>
            </a:extLst>
          </xdr:cNvPr>
          <xdr:cNvSpPr/>
        </xdr:nvSpPr>
        <xdr:spPr>
          <a:xfrm>
            <a:off x="6137253" y="86386995"/>
            <a:ext cx="358778" cy="358778"/>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2289" name="Rectangle 2288">
            <a:extLst>
              <a:ext uri="{FF2B5EF4-FFF2-40B4-BE49-F238E27FC236}">
                <a16:creationId xmlns:a16="http://schemas.microsoft.com/office/drawing/2014/main" id="{90D38F92-1CD2-040A-11C0-16534862FDC7}"/>
              </a:ext>
            </a:extLst>
          </xdr:cNvPr>
          <xdr:cNvSpPr/>
        </xdr:nvSpPr>
        <xdr:spPr>
          <a:xfrm>
            <a:off x="7432673" y="86385397"/>
            <a:ext cx="358778" cy="358778"/>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2290" name="Rectangle 2289">
            <a:extLst>
              <a:ext uri="{FF2B5EF4-FFF2-40B4-BE49-F238E27FC236}">
                <a16:creationId xmlns:a16="http://schemas.microsoft.com/office/drawing/2014/main" id="{E0E73EBC-4081-DC8C-964E-2C0687BA376A}"/>
              </a:ext>
            </a:extLst>
          </xdr:cNvPr>
          <xdr:cNvSpPr/>
        </xdr:nvSpPr>
        <xdr:spPr>
          <a:xfrm>
            <a:off x="4841856" y="86386995"/>
            <a:ext cx="358778" cy="358778"/>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2291" name="Rectangle 2290">
            <a:extLst>
              <a:ext uri="{FF2B5EF4-FFF2-40B4-BE49-F238E27FC236}">
                <a16:creationId xmlns:a16="http://schemas.microsoft.com/office/drawing/2014/main" id="{A39CE6B4-CEFF-B9B0-464D-B808F65C514A}"/>
              </a:ext>
            </a:extLst>
          </xdr:cNvPr>
          <xdr:cNvSpPr/>
        </xdr:nvSpPr>
        <xdr:spPr>
          <a:xfrm>
            <a:off x="3967152" y="86388584"/>
            <a:ext cx="358778" cy="358778"/>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2292" name="Rectangle 2291">
            <a:extLst>
              <a:ext uri="{FF2B5EF4-FFF2-40B4-BE49-F238E27FC236}">
                <a16:creationId xmlns:a16="http://schemas.microsoft.com/office/drawing/2014/main" id="{64EAB555-4441-1874-3559-07E1131CDFB2}"/>
              </a:ext>
            </a:extLst>
          </xdr:cNvPr>
          <xdr:cNvSpPr/>
        </xdr:nvSpPr>
        <xdr:spPr>
          <a:xfrm>
            <a:off x="4405302" y="86388586"/>
            <a:ext cx="358778" cy="358778"/>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2293" name="Rectangle 2292">
            <a:extLst>
              <a:ext uri="{FF2B5EF4-FFF2-40B4-BE49-F238E27FC236}">
                <a16:creationId xmlns:a16="http://schemas.microsoft.com/office/drawing/2014/main" id="{1C62A586-8EB9-1E21-E1BB-0B92BC570C74}"/>
              </a:ext>
            </a:extLst>
          </xdr:cNvPr>
          <xdr:cNvSpPr/>
        </xdr:nvSpPr>
        <xdr:spPr>
          <a:xfrm>
            <a:off x="6577001" y="86388582"/>
            <a:ext cx="358778" cy="358778"/>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2294" name="Rectangle 2293">
            <a:extLst>
              <a:ext uri="{FF2B5EF4-FFF2-40B4-BE49-F238E27FC236}">
                <a16:creationId xmlns:a16="http://schemas.microsoft.com/office/drawing/2014/main" id="{CB244391-474B-50F1-AD09-F10D85EF00B6}"/>
              </a:ext>
            </a:extLst>
          </xdr:cNvPr>
          <xdr:cNvSpPr/>
        </xdr:nvSpPr>
        <xdr:spPr>
          <a:xfrm>
            <a:off x="7015151" y="86388584"/>
            <a:ext cx="358778" cy="358778"/>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2295" name="Rectangle 2294">
            <a:extLst>
              <a:ext uri="{FF2B5EF4-FFF2-40B4-BE49-F238E27FC236}">
                <a16:creationId xmlns:a16="http://schemas.microsoft.com/office/drawing/2014/main" id="{EA769D82-FA20-A692-5776-16CB55C35A4B}"/>
              </a:ext>
            </a:extLst>
          </xdr:cNvPr>
          <xdr:cNvSpPr/>
        </xdr:nvSpPr>
        <xdr:spPr>
          <a:xfrm>
            <a:off x="3546474" y="81384772"/>
            <a:ext cx="358778" cy="358778"/>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2296" name="Rectangle 2295">
            <a:extLst>
              <a:ext uri="{FF2B5EF4-FFF2-40B4-BE49-F238E27FC236}">
                <a16:creationId xmlns:a16="http://schemas.microsoft.com/office/drawing/2014/main" id="{80746CA2-E3A7-B733-2416-1F6F7A45B92F}"/>
              </a:ext>
            </a:extLst>
          </xdr:cNvPr>
          <xdr:cNvSpPr/>
        </xdr:nvSpPr>
        <xdr:spPr>
          <a:xfrm>
            <a:off x="7432674" y="81384772"/>
            <a:ext cx="358778" cy="358778"/>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2297" name="Rectangle 2296">
            <a:extLst>
              <a:ext uri="{FF2B5EF4-FFF2-40B4-BE49-F238E27FC236}">
                <a16:creationId xmlns:a16="http://schemas.microsoft.com/office/drawing/2014/main" id="{7773F970-862E-F7B4-D213-F8410FAD5870}"/>
              </a:ext>
            </a:extLst>
          </xdr:cNvPr>
          <xdr:cNvSpPr/>
        </xdr:nvSpPr>
        <xdr:spPr>
          <a:xfrm>
            <a:off x="4841865" y="81384772"/>
            <a:ext cx="358778" cy="358778"/>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2298" name="Rectangle 2297">
            <a:extLst>
              <a:ext uri="{FF2B5EF4-FFF2-40B4-BE49-F238E27FC236}">
                <a16:creationId xmlns:a16="http://schemas.microsoft.com/office/drawing/2014/main" id="{DC933314-01BB-3510-61E7-2F498AAEAC83}"/>
              </a:ext>
            </a:extLst>
          </xdr:cNvPr>
          <xdr:cNvSpPr/>
        </xdr:nvSpPr>
        <xdr:spPr>
          <a:xfrm>
            <a:off x="6137262" y="81384772"/>
            <a:ext cx="358778" cy="358778"/>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2299" name="Rectangle 2298">
            <a:extLst>
              <a:ext uri="{FF2B5EF4-FFF2-40B4-BE49-F238E27FC236}">
                <a16:creationId xmlns:a16="http://schemas.microsoft.com/office/drawing/2014/main" id="{BD164C25-A80E-BE94-A3E6-BBD8CD90CD14}"/>
              </a:ext>
            </a:extLst>
          </xdr:cNvPr>
          <xdr:cNvSpPr/>
        </xdr:nvSpPr>
        <xdr:spPr>
          <a:xfrm>
            <a:off x="3967161" y="81386361"/>
            <a:ext cx="358778" cy="358778"/>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2300" name="Rectangle 2299">
            <a:extLst>
              <a:ext uri="{FF2B5EF4-FFF2-40B4-BE49-F238E27FC236}">
                <a16:creationId xmlns:a16="http://schemas.microsoft.com/office/drawing/2014/main" id="{3677DDE9-7B96-1837-A4C6-5D955B829B0B}"/>
              </a:ext>
            </a:extLst>
          </xdr:cNvPr>
          <xdr:cNvSpPr/>
        </xdr:nvSpPr>
        <xdr:spPr>
          <a:xfrm>
            <a:off x="4405311" y="81386363"/>
            <a:ext cx="358778" cy="358778"/>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2301" name="Rectangle 2300">
            <a:extLst>
              <a:ext uri="{FF2B5EF4-FFF2-40B4-BE49-F238E27FC236}">
                <a16:creationId xmlns:a16="http://schemas.microsoft.com/office/drawing/2014/main" id="{D2D06BEF-2F09-4A7E-78A7-C5D4AB535E36}"/>
              </a:ext>
            </a:extLst>
          </xdr:cNvPr>
          <xdr:cNvSpPr/>
        </xdr:nvSpPr>
        <xdr:spPr>
          <a:xfrm>
            <a:off x="6577010" y="81386359"/>
            <a:ext cx="358778" cy="358778"/>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2302" name="Rectangle 2301">
            <a:extLst>
              <a:ext uri="{FF2B5EF4-FFF2-40B4-BE49-F238E27FC236}">
                <a16:creationId xmlns:a16="http://schemas.microsoft.com/office/drawing/2014/main" id="{86DE7419-367E-A41F-8A51-C064DAD88B78}"/>
              </a:ext>
            </a:extLst>
          </xdr:cNvPr>
          <xdr:cNvSpPr/>
        </xdr:nvSpPr>
        <xdr:spPr>
          <a:xfrm>
            <a:off x="7015160" y="81386361"/>
            <a:ext cx="358778" cy="358778"/>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2303" name="Rectangle 2302">
            <a:extLst>
              <a:ext uri="{FF2B5EF4-FFF2-40B4-BE49-F238E27FC236}">
                <a16:creationId xmlns:a16="http://schemas.microsoft.com/office/drawing/2014/main" id="{014332EF-AD4B-9E79-C02B-2AF1D5DF078F}"/>
              </a:ext>
            </a:extLst>
          </xdr:cNvPr>
          <xdr:cNvSpPr/>
        </xdr:nvSpPr>
        <xdr:spPr>
          <a:xfrm>
            <a:off x="3546473" y="82099147"/>
            <a:ext cx="358778" cy="358778"/>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2304" name="Rectangle 2303">
            <a:extLst>
              <a:ext uri="{FF2B5EF4-FFF2-40B4-BE49-F238E27FC236}">
                <a16:creationId xmlns:a16="http://schemas.microsoft.com/office/drawing/2014/main" id="{6836958D-5119-407D-12B8-480776FBC3B4}"/>
              </a:ext>
            </a:extLst>
          </xdr:cNvPr>
          <xdr:cNvSpPr/>
        </xdr:nvSpPr>
        <xdr:spPr>
          <a:xfrm>
            <a:off x="3546473" y="82813522"/>
            <a:ext cx="358778" cy="358778"/>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2305" name="Rectangle 2304">
            <a:extLst>
              <a:ext uri="{FF2B5EF4-FFF2-40B4-BE49-F238E27FC236}">
                <a16:creationId xmlns:a16="http://schemas.microsoft.com/office/drawing/2014/main" id="{B7D90984-03FA-E559-6773-FC40691BD4FD}"/>
              </a:ext>
            </a:extLst>
          </xdr:cNvPr>
          <xdr:cNvSpPr/>
        </xdr:nvSpPr>
        <xdr:spPr>
          <a:xfrm>
            <a:off x="3546473" y="83527897"/>
            <a:ext cx="358778" cy="358778"/>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2306" name="Rectangle 2305">
            <a:extLst>
              <a:ext uri="{FF2B5EF4-FFF2-40B4-BE49-F238E27FC236}">
                <a16:creationId xmlns:a16="http://schemas.microsoft.com/office/drawing/2014/main" id="{E3D24608-F823-7ECC-1FF5-34BE1E971A6B}"/>
              </a:ext>
            </a:extLst>
          </xdr:cNvPr>
          <xdr:cNvSpPr/>
        </xdr:nvSpPr>
        <xdr:spPr>
          <a:xfrm>
            <a:off x="3546473" y="84242272"/>
            <a:ext cx="358778" cy="358778"/>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2307" name="Rectangle 2306">
            <a:extLst>
              <a:ext uri="{FF2B5EF4-FFF2-40B4-BE49-F238E27FC236}">
                <a16:creationId xmlns:a16="http://schemas.microsoft.com/office/drawing/2014/main" id="{BECDC68A-FB76-21BE-6D8D-D0E1F0A33918}"/>
              </a:ext>
            </a:extLst>
          </xdr:cNvPr>
          <xdr:cNvSpPr/>
        </xdr:nvSpPr>
        <xdr:spPr>
          <a:xfrm>
            <a:off x="3546473" y="84956647"/>
            <a:ext cx="358778" cy="358778"/>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2308" name="Rectangle 2307">
            <a:extLst>
              <a:ext uri="{FF2B5EF4-FFF2-40B4-BE49-F238E27FC236}">
                <a16:creationId xmlns:a16="http://schemas.microsoft.com/office/drawing/2014/main" id="{D21EB6A3-D855-D94A-EC99-0CD94375A132}"/>
              </a:ext>
            </a:extLst>
          </xdr:cNvPr>
          <xdr:cNvSpPr/>
        </xdr:nvSpPr>
        <xdr:spPr>
          <a:xfrm>
            <a:off x="7432673" y="82813522"/>
            <a:ext cx="358778" cy="358778"/>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2309" name="Rectangle 2308">
            <a:extLst>
              <a:ext uri="{FF2B5EF4-FFF2-40B4-BE49-F238E27FC236}">
                <a16:creationId xmlns:a16="http://schemas.microsoft.com/office/drawing/2014/main" id="{DE222AAD-7244-A986-324A-877EEF79C9C1}"/>
              </a:ext>
            </a:extLst>
          </xdr:cNvPr>
          <xdr:cNvSpPr/>
        </xdr:nvSpPr>
        <xdr:spPr>
          <a:xfrm>
            <a:off x="7432673" y="83527897"/>
            <a:ext cx="358778" cy="358778"/>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2310" name="Rectangle 2309">
            <a:extLst>
              <a:ext uri="{FF2B5EF4-FFF2-40B4-BE49-F238E27FC236}">
                <a16:creationId xmlns:a16="http://schemas.microsoft.com/office/drawing/2014/main" id="{75908ED3-20AF-9005-4B0B-D32AE636569F}"/>
              </a:ext>
            </a:extLst>
          </xdr:cNvPr>
          <xdr:cNvSpPr/>
        </xdr:nvSpPr>
        <xdr:spPr>
          <a:xfrm>
            <a:off x="7432673" y="84242272"/>
            <a:ext cx="358778" cy="358778"/>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2311" name="Rectangle 2310">
            <a:extLst>
              <a:ext uri="{FF2B5EF4-FFF2-40B4-BE49-F238E27FC236}">
                <a16:creationId xmlns:a16="http://schemas.microsoft.com/office/drawing/2014/main" id="{FDDA6321-2C28-6E60-9A29-8EAF881DE3F2}"/>
              </a:ext>
            </a:extLst>
          </xdr:cNvPr>
          <xdr:cNvSpPr/>
        </xdr:nvSpPr>
        <xdr:spPr>
          <a:xfrm>
            <a:off x="7432673" y="84956647"/>
            <a:ext cx="358778" cy="358778"/>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2312" name="Rectangle 2311">
            <a:extLst>
              <a:ext uri="{FF2B5EF4-FFF2-40B4-BE49-F238E27FC236}">
                <a16:creationId xmlns:a16="http://schemas.microsoft.com/office/drawing/2014/main" id="{90D0B90F-711B-2EEA-1521-647611E098DD}"/>
              </a:ext>
            </a:extLst>
          </xdr:cNvPr>
          <xdr:cNvSpPr/>
        </xdr:nvSpPr>
        <xdr:spPr>
          <a:xfrm>
            <a:off x="7432673" y="82099147"/>
            <a:ext cx="358778" cy="358778"/>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2313" name="Rectangle 2312">
            <a:extLst>
              <a:ext uri="{FF2B5EF4-FFF2-40B4-BE49-F238E27FC236}">
                <a16:creationId xmlns:a16="http://schemas.microsoft.com/office/drawing/2014/main" id="{7C840946-40E5-4528-DB11-B4991AB7D5C2}"/>
              </a:ext>
            </a:extLst>
          </xdr:cNvPr>
          <xdr:cNvSpPr/>
        </xdr:nvSpPr>
        <xdr:spPr>
          <a:xfrm>
            <a:off x="7432673" y="85671022"/>
            <a:ext cx="358778" cy="358778"/>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2314" name="Rectangle 2313">
            <a:extLst>
              <a:ext uri="{FF2B5EF4-FFF2-40B4-BE49-F238E27FC236}">
                <a16:creationId xmlns:a16="http://schemas.microsoft.com/office/drawing/2014/main" id="{B1C8EA64-6302-1FA0-DB7F-80D11F06168F}"/>
              </a:ext>
            </a:extLst>
          </xdr:cNvPr>
          <xdr:cNvSpPr/>
        </xdr:nvSpPr>
        <xdr:spPr>
          <a:xfrm>
            <a:off x="3546473" y="85671022"/>
            <a:ext cx="358778" cy="358778"/>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2315" name="Rectangle 2314">
            <a:extLst>
              <a:ext uri="{FF2B5EF4-FFF2-40B4-BE49-F238E27FC236}">
                <a16:creationId xmlns:a16="http://schemas.microsoft.com/office/drawing/2014/main" id="{32DC6886-174C-F00C-384E-EB7E2DC6B02F}"/>
              </a:ext>
            </a:extLst>
          </xdr:cNvPr>
          <xdr:cNvSpPr/>
        </xdr:nvSpPr>
        <xdr:spPr>
          <a:xfrm>
            <a:off x="3546473" y="86385397"/>
            <a:ext cx="358778" cy="358778"/>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2316" name="Rectangle 2315">
            <a:extLst>
              <a:ext uri="{FF2B5EF4-FFF2-40B4-BE49-F238E27FC236}">
                <a16:creationId xmlns:a16="http://schemas.microsoft.com/office/drawing/2014/main" id="{A8C3C00E-B8BF-6E24-373E-488A212AB6FE}"/>
              </a:ext>
            </a:extLst>
          </xdr:cNvPr>
          <xdr:cNvSpPr/>
        </xdr:nvSpPr>
        <xdr:spPr>
          <a:xfrm rot="5400000">
            <a:off x="5664201" y="79629797"/>
            <a:ext cx="64292" cy="3866356"/>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2317" name="Rectangle 2316">
            <a:extLst>
              <a:ext uri="{FF2B5EF4-FFF2-40B4-BE49-F238E27FC236}">
                <a16:creationId xmlns:a16="http://schemas.microsoft.com/office/drawing/2014/main" id="{4F9B83DD-E91E-E390-D075-18B730D062D3}"/>
              </a:ext>
            </a:extLst>
          </xdr:cNvPr>
          <xdr:cNvSpPr/>
        </xdr:nvSpPr>
        <xdr:spPr>
          <a:xfrm>
            <a:off x="4948229" y="81489550"/>
            <a:ext cx="146050" cy="146050"/>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2318" name="Rectangle 2317">
            <a:extLst>
              <a:ext uri="{FF2B5EF4-FFF2-40B4-BE49-F238E27FC236}">
                <a16:creationId xmlns:a16="http://schemas.microsoft.com/office/drawing/2014/main" id="{DFA425E3-FFEA-F992-B388-C2EA8286EC35}"/>
              </a:ext>
            </a:extLst>
          </xdr:cNvPr>
          <xdr:cNvSpPr/>
        </xdr:nvSpPr>
        <xdr:spPr>
          <a:xfrm>
            <a:off x="6243626" y="81489550"/>
            <a:ext cx="146050" cy="146050"/>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2319" name="Rectangle 2318">
            <a:extLst>
              <a:ext uri="{FF2B5EF4-FFF2-40B4-BE49-F238E27FC236}">
                <a16:creationId xmlns:a16="http://schemas.microsoft.com/office/drawing/2014/main" id="{3ADC958C-2B14-E9F7-D642-595F6D378F1B}"/>
              </a:ext>
            </a:extLst>
          </xdr:cNvPr>
          <xdr:cNvSpPr/>
        </xdr:nvSpPr>
        <xdr:spPr>
          <a:xfrm>
            <a:off x="4073525" y="81491139"/>
            <a:ext cx="146050" cy="146050"/>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2320" name="Rectangle 2319">
            <a:extLst>
              <a:ext uri="{FF2B5EF4-FFF2-40B4-BE49-F238E27FC236}">
                <a16:creationId xmlns:a16="http://schemas.microsoft.com/office/drawing/2014/main" id="{B57A0E45-324E-6100-6735-6AB67B30B5DD}"/>
              </a:ext>
            </a:extLst>
          </xdr:cNvPr>
          <xdr:cNvSpPr/>
        </xdr:nvSpPr>
        <xdr:spPr>
          <a:xfrm>
            <a:off x="4511675" y="81491141"/>
            <a:ext cx="146050" cy="146050"/>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2321" name="Rectangle 2320">
            <a:extLst>
              <a:ext uri="{FF2B5EF4-FFF2-40B4-BE49-F238E27FC236}">
                <a16:creationId xmlns:a16="http://schemas.microsoft.com/office/drawing/2014/main" id="{B69633B8-7228-7637-9867-2B51F9BA5094}"/>
              </a:ext>
            </a:extLst>
          </xdr:cNvPr>
          <xdr:cNvSpPr/>
        </xdr:nvSpPr>
        <xdr:spPr>
          <a:xfrm>
            <a:off x="6683374" y="81491137"/>
            <a:ext cx="146050" cy="146050"/>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2322" name="Rectangle 2321">
            <a:extLst>
              <a:ext uri="{FF2B5EF4-FFF2-40B4-BE49-F238E27FC236}">
                <a16:creationId xmlns:a16="http://schemas.microsoft.com/office/drawing/2014/main" id="{2200775D-0E98-9D8E-5B7C-B11A99814B5B}"/>
              </a:ext>
            </a:extLst>
          </xdr:cNvPr>
          <xdr:cNvSpPr/>
        </xdr:nvSpPr>
        <xdr:spPr>
          <a:xfrm>
            <a:off x="7121524" y="81491139"/>
            <a:ext cx="146050" cy="146050"/>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2323" name="Rectangle 2322">
            <a:extLst>
              <a:ext uri="{FF2B5EF4-FFF2-40B4-BE49-F238E27FC236}">
                <a16:creationId xmlns:a16="http://schemas.microsoft.com/office/drawing/2014/main" id="{0D5D53C6-4CC5-EAC9-68C1-5F216F72EBE1}"/>
              </a:ext>
            </a:extLst>
          </xdr:cNvPr>
          <xdr:cNvSpPr/>
        </xdr:nvSpPr>
        <xdr:spPr>
          <a:xfrm>
            <a:off x="3690939" y="81607026"/>
            <a:ext cx="61911" cy="4908550"/>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2324" name="Rectangle 2323">
            <a:extLst>
              <a:ext uri="{FF2B5EF4-FFF2-40B4-BE49-F238E27FC236}">
                <a16:creationId xmlns:a16="http://schemas.microsoft.com/office/drawing/2014/main" id="{AA57AAF1-0109-3E1F-BA56-FD6F7AE3966E}"/>
              </a:ext>
            </a:extLst>
          </xdr:cNvPr>
          <xdr:cNvSpPr/>
        </xdr:nvSpPr>
        <xdr:spPr>
          <a:xfrm>
            <a:off x="7581900" y="81629250"/>
            <a:ext cx="61911" cy="4908550"/>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cxnSp macro="">
        <xdr:nvCxnSpPr>
          <xdr:cNvPr id="2325" name="Straight Connector 2324">
            <a:extLst>
              <a:ext uri="{FF2B5EF4-FFF2-40B4-BE49-F238E27FC236}">
                <a16:creationId xmlns:a16="http://schemas.microsoft.com/office/drawing/2014/main" id="{156DE7F0-E38A-1DE8-891C-06A6E1D9CD70}"/>
              </a:ext>
            </a:extLst>
          </xdr:cNvPr>
          <xdr:cNvCxnSpPr/>
        </xdr:nvCxnSpPr>
        <xdr:spPr>
          <a:xfrm>
            <a:off x="3467100" y="81900712"/>
            <a:ext cx="542925" cy="0"/>
          </a:xfrm>
          <a:prstGeom prst="line">
            <a:avLst/>
          </a:prstGeom>
          <a:ln w="12700">
            <a:solidFill>
              <a:schemeClr val="accent6">
                <a:lumMod val="75000"/>
              </a:schemeClr>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2326" name="Straight Connector 2325">
            <a:extLst>
              <a:ext uri="{FF2B5EF4-FFF2-40B4-BE49-F238E27FC236}">
                <a16:creationId xmlns:a16="http://schemas.microsoft.com/office/drawing/2014/main" id="{DE601B36-B2FB-2ACD-A33C-1ABEDB89E27E}"/>
              </a:ext>
            </a:extLst>
          </xdr:cNvPr>
          <xdr:cNvCxnSpPr/>
        </xdr:nvCxnSpPr>
        <xdr:spPr>
          <a:xfrm>
            <a:off x="3467100" y="81934050"/>
            <a:ext cx="542925" cy="0"/>
          </a:xfrm>
          <a:prstGeom prst="line">
            <a:avLst/>
          </a:prstGeom>
          <a:ln w="12700">
            <a:solidFill>
              <a:schemeClr val="accent6">
                <a:lumMod val="75000"/>
              </a:schemeClr>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2327" name="Straight Connector 2326">
            <a:extLst>
              <a:ext uri="{FF2B5EF4-FFF2-40B4-BE49-F238E27FC236}">
                <a16:creationId xmlns:a16="http://schemas.microsoft.com/office/drawing/2014/main" id="{2D5885B8-633D-6359-7E5D-09803E51BF09}"/>
              </a:ext>
            </a:extLst>
          </xdr:cNvPr>
          <xdr:cNvCxnSpPr/>
        </xdr:nvCxnSpPr>
        <xdr:spPr>
          <a:xfrm>
            <a:off x="7353287" y="81910243"/>
            <a:ext cx="542925" cy="0"/>
          </a:xfrm>
          <a:prstGeom prst="line">
            <a:avLst/>
          </a:prstGeom>
          <a:ln w="12700">
            <a:solidFill>
              <a:schemeClr val="accent6">
                <a:lumMod val="75000"/>
              </a:schemeClr>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2328" name="Straight Connector 2327">
            <a:extLst>
              <a:ext uri="{FF2B5EF4-FFF2-40B4-BE49-F238E27FC236}">
                <a16:creationId xmlns:a16="http://schemas.microsoft.com/office/drawing/2014/main" id="{65B2CF2A-F074-07A9-0D8F-FDA2A4C0703C}"/>
              </a:ext>
            </a:extLst>
          </xdr:cNvPr>
          <xdr:cNvCxnSpPr/>
        </xdr:nvCxnSpPr>
        <xdr:spPr>
          <a:xfrm>
            <a:off x="7353287" y="81943581"/>
            <a:ext cx="542925" cy="0"/>
          </a:xfrm>
          <a:prstGeom prst="line">
            <a:avLst/>
          </a:prstGeom>
          <a:ln w="12700">
            <a:solidFill>
              <a:schemeClr val="accent6">
                <a:lumMod val="75000"/>
              </a:schemeClr>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2329" name="Rectangle 2328">
            <a:extLst>
              <a:ext uri="{FF2B5EF4-FFF2-40B4-BE49-F238E27FC236}">
                <a16:creationId xmlns:a16="http://schemas.microsoft.com/office/drawing/2014/main" id="{8A89C8E1-EADC-F158-88B4-5FC0DDF9EF55}"/>
              </a:ext>
            </a:extLst>
          </xdr:cNvPr>
          <xdr:cNvSpPr/>
        </xdr:nvSpPr>
        <xdr:spPr>
          <a:xfrm>
            <a:off x="3652837" y="82203925"/>
            <a:ext cx="146050" cy="146050"/>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2330" name="Rectangle 2329">
            <a:extLst>
              <a:ext uri="{FF2B5EF4-FFF2-40B4-BE49-F238E27FC236}">
                <a16:creationId xmlns:a16="http://schemas.microsoft.com/office/drawing/2014/main" id="{251EC3BE-25CA-7D19-5716-DCD9FA6B0812}"/>
              </a:ext>
            </a:extLst>
          </xdr:cNvPr>
          <xdr:cNvSpPr/>
        </xdr:nvSpPr>
        <xdr:spPr>
          <a:xfrm>
            <a:off x="3652837" y="82918300"/>
            <a:ext cx="146050" cy="146050"/>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2331" name="Rectangle 2330">
            <a:extLst>
              <a:ext uri="{FF2B5EF4-FFF2-40B4-BE49-F238E27FC236}">
                <a16:creationId xmlns:a16="http://schemas.microsoft.com/office/drawing/2014/main" id="{9328AD94-F289-5B75-DA72-C2BA3C7D5FDB}"/>
              </a:ext>
            </a:extLst>
          </xdr:cNvPr>
          <xdr:cNvSpPr/>
        </xdr:nvSpPr>
        <xdr:spPr>
          <a:xfrm>
            <a:off x="3652837" y="83632675"/>
            <a:ext cx="146050" cy="146050"/>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2332" name="Rectangle 2331">
            <a:extLst>
              <a:ext uri="{FF2B5EF4-FFF2-40B4-BE49-F238E27FC236}">
                <a16:creationId xmlns:a16="http://schemas.microsoft.com/office/drawing/2014/main" id="{8CD7AD9B-8BAA-49EC-88E7-0431CA47E468}"/>
              </a:ext>
            </a:extLst>
          </xdr:cNvPr>
          <xdr:cNvSpPr/>
        </xdr:nvSpPr>
        <xdr:spPr>
          <a:xfrm>
            <a:off x="3652837" y="84347050"/>
            <a:ext cx="146050" cy="146050"/>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2333" name="Rectangle 2332">
            <a:extLst>
              <a:ext uri="{FF2B5EF4-FFF2-40B4-BE49-F238E27FC236}">
                <a16:creationId xmlns:a16="http://schemas.microsoft.com/office/drawing/2014/main" id="{3BDCA342-F204-C17F-FF01-889F141453E9}"/>
              </a:ext>
            </a:extLst>
          </xdr:cNvPr>
          <xdr:cNvSpPr/>
        </xdr:nvSpPr>
        <xdr:spPr>
          <a:xfrm>
            <a:off x="7539038" y="81489550"/>
            <a:ext cx="146050" cy="146050"/>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2334" name="Rectangle 2333">
            <a:extLst>
              <a:ext uri="{FF2B5EF4-FFF2-40B4-BE49-F238E27FC236}">
                <a16:creationId xmlns:a16="http://schemas.microsoft.com/office/drawing/2014/main" id="{61957BDA-2215-5C0E-BF6B-60B2422C22BC}"/>
              </a:ext>
            </a:extLst>
          </xdr:cNvPr>
          <xdr:cNvSpPr/>
        </xdr:nvSpPr>
        <xdr:spPr>
          <a:xfrm>
            <a:off x="3652838" y="81489550"/>
            <a:ext cx="146050" cy="146050"/>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2335" name="Rectangle 2334">
            <a:extLst>
              <a:ext uri="{FF2B5EF4-FFF2-40B4-BE49-F238E27FC236}">
                <a16:creationId xmlns:a16="http://schemas.microsoft.com/office/drawing/2014/main" id="{4271ED56-944F-F591-88A5-56BFB12890DD}"/>
              </a:ext>
            </a:extLst>
          </xdr:cNvPr>
          <xdr:cNvSpPr/>
        </xdr:nvSpPr>
        <xdr:spPr>
          <a:xfrm>
            <a:off x="7539037" y="82918300"/>
            <a:ext cx="146050" cy="146050"/>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2336" name="Rectangle 2335">
            <a:extLst>
              <a:ext uri="{FF2B5EF4-FFF2-40B4-BE49-F238E27FC236}">
                <a16:creationId xmlns:a16="http://schemas.microsoft.com/office/drawing/2014/main" id="{8A30D2C5-E49E-2600-B7FD-CE170761B5FE}"/>
              </a:ext>
            </a:extLst>
          </xdr:cNvPr>
          <xdr:cNvSpPr/>
        </xdr:nvSpPr>
        <xdr:spPr>
          <a:xfrm>
            <a:off x="7539037" y="83632675"/>
            <a:ext cx="146050" cy="146050"/>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2337" name="Rectangle 2336">
            <a:extLst>
              <a:ext uri="{FF2B5EF4-FFF2-40B4-BE49-F238E27FC236}">
                <a16:creationId xmlns:a16="http://schemas.microsoft.com/office/drawing/2014/main" id="{BF2A7FF7-AB77-C132-37F2-BF3B73DBE532}"/>
              </a:ext>
            </a:extLst>
          </xdr:cNvPr>
          <xdr:cNvSpPr/>
        </xdr:nvSpPr>
        <xdr:spPr>
          <a:xfrm>
            <a:off x="7539037" y="84347050"/>
            <a:ext cx="146050" cy="146050"/>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2338" name="Rectangle 2337">
            <a:extLst>
              <a:ext uri="{FF2B5EF4-FFF2-40B4-BE49-F238E27FC236}">
                <a16:creationId xmlns:a16="http://schemas.microsoft.com/office/drawing/2014/main" id="{09E4F517-746E-45E3-A78F-3FA5A56ACAB5}"/>
              </a:ext>
            </a:extLst>
          </xdr:cNvPr>
          <xdr:cNvSpPr/>
        </xdr:nvSpPr>
        <xdr:spPr>
          <a:xfrm>
            <a:off x="7539037" y="82203925"/>
            <a:ext cx="146050" cy="146050"/>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2339" name="Rectangle 2338">
            <a:extLst>
              <a:ext uri="{FF2B5EF4-FFF2-40B4-BE49-F238E27FC236}">
                <a16:creationId xmlns:a16="http://schemas.microsoft.com/office/drawing/2014/main" id="{19DDAE71-6A53-A828-CFFE-24A91CC2D252}"/>
              </a:ext>
            </a:extLst>
          </xdr:cNvPr>
          <xdr:cNvSpPr/>
        </xdr:nvSpPr>
        <xdr:spPr>
          <a:xfrm>
            <a:off x="3652837" y="85061425"/>
            <a:ext cx="146050" cy="146050"/>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2340" name="Rectangle 2339">
            <a:extLst>
              <a:ext uri="{FF2B5EF4-FFF2-40B4-BE49-F238E27FC236}">
                <a16:creationId xmlns:a16="http://schemas.microsoft.com/office/drawing/2014/main" id="{7BAB8A7C-FE99-22B6-3C9E-87E07FF3DE1E}"/>
              </a:ext>
            </a:extLst>
          </xdr:cNvPr>
          <xdr:cNvSpPr/>
        </xdr:nvSpPr>
        <xdr:spPr>
          <a:xfrm>
            <a:off x="7539037" y="85061425"/>
            <a:ext cx="146050" cy="146050"/>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2341" name="Rectangle 2340">
            <a:extLst>
              <a:ext uri="{FF2B5EF4-FFF2-40B4-BE49-F238E27FC236}">
                <a16:creationId xmlns:a16="http://schemas.microsoft.com/office/drawing/2014/main" id="{21CCD1CB-C4EE-0283-1A8D-64DF1732C839}"/>
              </a:ext>
            </a:extLst>
          </xdr:cNvPr>
          <xdr:cNvSpPr/>
        </xdr:nvSpPr>
        <xdr:spPr>
          <a:xfrm>
            <a:off x="7539037" y="85775800"/>
            <a:ext cx="146050" cy="146050"/>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2342" name="Rectangle 2341">
            <a:extLst>
              <a:ext uri="{FF2B5EF4-FFF2-40B4-BE49-F238E27FC236}">
                <a16:creationId xmlns:a16="http://schemas.microsoft.com/office/drawing/2014/main" id="{F6BC2ADE-2E67-B64D-F51D-B20A372E6A12}"/>
              </a:ext>
            </a:extLst>
          </xdr:cNvPr>
          <xdr:cNvSpPr/>
        </xdr:nvSpPr>
        <xdr:spPr>
          <a:xfrm>
            <a:off x="3652837" y="85775800"/>
            <a:ext cx="146050" cy="146050"/>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2343" name="Rectangle 2342">
            <a:extLst>
              <a:ext uri="{FF2B5EF4-FFF2-40B4-BE49-F238E27FC236}">
                <a16:creationId xmlns:a16="http://schemas.microsoft.com/office/drawing/2014/main" id="{CAD87AB4-433C-3B2B-A980-4F02446BEC21}"/>
              </a:ext>
            </a:extLst>
          </xdr:cNvPr>
          <xdr:cNvSpPr/>
        </xdr:nvSpPr>
        <xdr:spPr>
          <a:xfrm>
            <a:off x="6243617" y="86491773"/>
            <a:ext cx="146050" cy="146050"/>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2344" name="Rectangle 2343">
            <a:extLst>
              <a:ext uri="{FF2B5EF4-FFF2-40B4-BE49-F238E27FC236}">
                <a16:creationId xmlns:a16="http://schemas.microsoft.com/office/drawing/2014/main" id="{20076B56-D79A-618F-703C-14C1240BD8C8}"/>
              </a:ext>
            </a:extLst>
          </xdr:cNvPr>
          <xdr:cNvSpPr/>
        </xdr:nvSpPr>
        <xdr:spPr>
          <a:xfrm>
            <a:off x="7539037" y="86490175"/>
            <a:ext cx="146050" cy="146050"/>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2345" name="Rectangle 2344">
            <a:extLst>
              <a:ext uri="{FF2B5EF4-FFF2-40B4-BE49-F238E27FC236}">
                <a16:creationId xmlns:a16="http://schemas.microsoft.com/office/drawing/2014/main" id="{C3E2AA5C-DA96-5A5F-AA9C-EA6BDC3EB3F1}"/>
              </a:ext>
            </a:extLst>
          </xdr:cNvPr>
          <xdr:cNvSpPr/>
        </xdr:nvSpPr>
        <xdr:spPr>
          <a:xfrm>
            <a:off x="4948220" y="86491773"/>
            <a:ext cx="146050" cy="146050"/>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2346" name="Rectangle 2345">
            <a:extLst>
              <a:ext uri="{FF2B5EF4-FFF2-40B4-BE49-F238E27FC236}">
                <a16:creationId xmlns:a16="http://schemas.microsoft.com/office/drawing/2014/main" id="{2077FF50-4118-1EFB-8353-4DED87325501}"/>
              </a:ext>
            </a:extLst>
          </xdr:cNvPr>
          <xdr:cNvSpPr/>
        </xdr:nvSpPr>
        <xdr:spPr>
          <a:xfrm>
            <a:off x="4073516" y="86493362"/>
            <a:ext cx="146050" cy="146050"/>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2347" name="Rectangle 2346">
            <a:extLst>
              <a:ext uri="{FF2B5EF4-FFF2-40B4-BE49-F238E27FC236}">
                <a16:creationId xmlns:a16="http://schemas.microsoft.com/office/drawing/2014/main" id="{3E189636-2C7E-3658-2779-88F2B1ED84E7}"/>
              </a:ext>
            </a:extLst>
          </xdr:cNvPr>
          <xdr:cNvSpPr/>
        </xdr:nvSpPr>
        <xdr:spPr>
          <a:xfrm>
            <a:off x="4511666" y="86493364"/>
            <a:ext cx="146050" cy="146050"/>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2348" name="Rectangle 2347">
            <a:extLst>
              <a:ext uri="{FF2B5EF4-FFF2-40B4-BE49-F238E27FC236}">
                <a16:creationId xmlns:a16="http://schemas.microsoft.com/office/drawing/2014/main" id="{9FF5D4F2-5ABB-88B2-09F6-70D232BAFC71}"/>
              </a:ext>
            </a:extLst>
          </xdr:cNvPr>
          <xdr:cNvSpPr/>
        </xdr:nvSpPr>
        <xdr:spPr>
          <a:xfrm>
            <a:off x="6683365" y="86493360"/>
            <a:ext cx="146050" cy="146050"/>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2349" name="Rectangle 2348">
            <a:extLst>
              <a:ext uri="{FF2B5EF4-FFF2-40B4-BE49-F238E27FC236}">
                <a16:creationId xmlns:a16="http://schemas.microsoft.com/office/drawing/2014/main" id="{3F8CD3F8-B124-CEF8-981D-61E9246CB026}"/>
              </a:ext>
            </a:extLst>
          </xdr:cNvPr>
          <xdr:cNvSpPr/>
        </xdr:nvSpPr>
        <xdr:spPr>
          <a:xfrm>
            <a:off x="7121515" y="86493362"/>
            <a:ext cx="146050" cy="146050"/>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2350" name="Rectangle 2349">
            <a:extLst>
              <a:ext uri="{FF2B5EF4-FFF2-40B4-BE49-F238E27FC236}">
                <a16:creationId xmlns:a16="http://schemas.microsoft.com/office/drawing/2014/main" id="{975B7354-3A73-BF0B-4441-5F28DDC903D4}"/>
              </a:ext>
            </a:extLst>
          </xdr:cNvPr>
          <xdr:cNvSpPr/>
        </xdr:nvSpPr>
        <xdr:spPr>
          <a:xfrm>
            <a:off x="3652837" y="86490175"/>
            <a:ext cx="146050" cy="146050"/>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2351" name="Rectangle 2350">
            <a:extLst>
              <a:ext uri="{FF2B5EF4-FFF2-40B4-BE49-F238E27FC236}">
                <a16:creationId xmlns:a16="http://schemas.microsoft.com/office/drawing/2014/main" id="{C69ED314-6B2C-7470-408C-65EC86E58F48}"/>
              </a:ext>
            </a:extLst>
          </xdr:cNvPr>
          <xdr:cNvSpPr/>
        </xdr:nvSpPr>
        <xdr:spPr>
          <a:xfrm>
            <a:off x="3724275" y="81562575"/>
            <a:ext cx="3886200" cy="5000625"/>
          </a:xfrm>
          <a:prstGeom prst="rect">
            <a:avLst/>
          </a:prstGeom>
          <a:noFill/>
          <a:ln w="6350">
            <a:prstDash val="dashDot"/>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kern="1200"/>
          </a:p>
        </xdr:txBody>
      </xdr:sp>
      <xdr:cxnSp macro="">
        <xdr:nvCxnSpPr>
          <xdr:cNvPr id="2352" name="Straight Connector 2351">
            <a:extLst>
              <a:ext uri="{FF2B5EF4-FFF2-40B4-BE49-F238E27FC236}">
                <a16:creationId xmlns:a16="http://schemas.microsoft.com/office/drawing/2014/main" id="{50F9514B-3E04-167F-3C04-1E4AAFD51640}"/>
              </a:ext>
            </a:extLst>
          </xdr:cNvPr>
          <xdr:cNvCxnSpPr/>
        </xdr:nvCxnSpPr>
        <xdr:spPr>
          <a:xfrm>
            <a:off x="3724275" y="82276950"/>
            <a:ext cx="3886200" cy="0"/>
          </a:xfrm>
          <a:prstGeom prst="line">
            <a:avLst/>
          </a:prstGeom>
          <a:noFill/>
          <a:ln w="6350">
            <a:prstDash val="dashDot"/>
          </a:ln>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2353" name="Straight Connector 2352">
            <a:extLst>
              <a:ext uri="{FF2B5EF4-FFF2-40B4-BE49-F238E27FC236}">
                <a16:creationId xmlns:a16="http://schemas.microsoft.com/office/drawing/2014/main" id="{70E26F45-1A63-689C-2F9A-CCCC1A1FA4C8}"/>
              </a:ext>
            </a:extLst>
          </xdr:cNvPr>
          <xdr:cNvCxnSpPr/>
        </xdr:nvCxnSpPr>
        <xdr:spPr>
          <a:xfrm>
            <a:off x="4143375" y="81562575"/>
            <a:ext cx="0" cy="5000625"/>
          </a:xfrm>
          <a:prstGeom prst="line">
            <a:avLst/>
          </a:prstGeom>
          <a:noFill/>
          <a:ln w="6350">
            <a:prstDash val="dashDot"/>
          </a:ln>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2354" name="Straight Connector 2353">
            <a:extLst>
              <a:ext uri="{FF2B5EF4-FFF2-40B4-BE49-F238E27FC236}">
                <a16:creationId xmlns:a16="http://schemas.microsoft.com/office/drawing/2014/main" id="{27B51C05-2D74-9897-0FF3-2824C774297E}"/>
              </a:ext>
            </a:extLst>
          </xdr:cNvPr>
          <xdr:cNvCxnSpPr/>
        </xdr:nvCxnSpPr>
        <xdr:spPr>
          <a:xfrm>
            <a:off x="4581525" y="81562575"/>
            <a:ext cx="0" cy="5000625"/>
          </a:xfrm>
          <a:prstGeom prst="line">
            <a:avLst/>
          </a:prstGeom>
          <a:noFill/>
          <a:ln w="6350">
            <a:prstDash val="dashDot"/>
          </a:ln>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2355" name="Straight Connector 2354">
            <a:extLst>
              <a:ext uri="{FF2B5EF4-FFF2-40B4-BE49-F238E27FC236}">
                <a16:creationId xmlns:a16="http://schemas.microsoft.com/office/drawing/2014/main" id="{39E36E38-9846-F60B-36CB-58A6005726CC}"/>
              </a:ext>
            </a:extLst>
          </xdr:cNvPr>
          <xdr:cNvCxnSpPr/>
        </xdr:nvCxnSpPr>
        <xdr:spPr>
          <a:xfrm>
            <a:off x="5019675" y="81562575"/>
            <a:ext cx="0" cy="5000625"/>
          </a:xfrm>
          <a:prstGeom prst="line">
            <a:avLst/>
          </a:prstGeom>
          <a:noFill/>
          <a:ln w="6350">
            <a:prstDash val="dashDot"/>
          </a:ln>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2356" name="Straight Connector 2355">
            <a:extLst>
              <a:ext uri="{FF2B5EF4-FFF2-40B4-BE49-F238E27FC236}">
                <a16:creationId xmlns:a16="http://schemas.microsoft.com/office/drawing/2014/main" id="{35441C3A-89F7-95A4-C039-591292C78B7C}"/>
              </a:ext>
            </a:extLst>
          </xdr:cNvPr>
          <xdr:cNvCxnSpPr/>
        </xdr:nvCxnSpPr>
        <xdr:spPr>
          <a:xfrm>
            <a:off x="6315075" y="81567337"/>
            <a:ext cx="0" cy="5000625"/>
          </a:xfrm>
          <a:prstGeom prst="line">
            <a:avLst/>
          </a:prstGeom>
          <a:noFill/>
          <a:ln w="6350">
            <a:prstDash val="dashDot"/>
          </a:ln>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2357" name="Straight Connector 2356">
            <a:extLst>
              <a:ext uri="{FF2B5EF4-FFF2-40B4-BE49-F238E27FC236}">
                <a16:creationId xmlns:a16="http://schemas.microsoft.com/office/drawing/2014/main" id="{A427A181-3763-FFDB-9F69-3C54447A5AA9}"/>
              </a:ext>
            </a:extLst>
          </xdr:cNvPr>
          <xdr:cNvCxnSpPr/>
        </xdr:nvCxnSpPr>
        <xdr:spPr>
          <a:xfrm>
            <a:off x="6753225" y="81562575"/>
            <a:ext cx="0" cy="5000625"/>
          </a:xfrm>
          <a:prstGeom prst="line">
            <a:avLst/>
          </a:prstGeom>
          <a:noFill/>
          <a:ln w="6350">
            <a:prstDash val="dashDot"/>
          </a:ln>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2358" name="Straight Connector 2357">
            <a:extLst>
              <a:ext uri="{FF2B5EF4-FFF2-40B4-BE49-F238E27FC236}">
                <a16:creationId xmlns:a16="http://schemas.microsoft.com/office/drawing/2014/main" id="{3CF71162-CA54-C826-A1F8-93049FDCE699}"/>
              </a:ext>
            </a:extLst>
          </xdr:cNvPr>
          <xdr:cNvCxnSpPr/>
        </xdr:nvCxnSpPr>
        <xdr:spPr>
          <a:xfrm>
            <a:off x="7191375" y="81562575"/>
            <a:ext cx="0" cy="5000625"/>
          </a:xfrm>
          <a:prstGeom prst="line">
            <a:avLst/>
          </a:prstGeom>
          <a:noFill/>
          <a:ln w="6350">
            <a:prstDash val="dashDot"/>
          </a:ln>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2359" name="Straight Connector 2358">
            <a:extLst>
              <a:ext uri="{FF2B5EF4-FFF2-40B4-BE49-F238E27FC236}">
                <a16:creationId xmlns:a16="http://schemas.microsoft.com/office/drawing/2014/main" id="{7201D98D-463D-944A-D6B9-97B7C20BD566}"/>
              </a:ext>
            </a:extLst>
          </xdr:cNvPr>
          <xdr:cNvCxnSpPr/>
        </xdr:nvCxnSpPr>
        <xdr:spPr>
          <a:xfrm>
            <a:off x="3724275" y="82991325"/>
            <a:ext cx="3886200" cy="0"/>
          </a:xfrm>
          <a:prstGeom prst="line">
            <a:avLst/>
          </a:prstGeom>
          <a:noFill/>
          <a:ln w="6350">
            <a:prstDash val="dashDot"/>
          </a:ln>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2360" name="Straight Connector 2359">
            <a:extLst>
              <a:ext uri="{FF2B5EF4-FFF2-40B4-BE49-F238E27FC236}">
                <a16:creationId xmlns:a16="http://schemas.microsoft.com/office/drawing/2014/main" id="{89CC79D6-82E2-1CA4-3CC5-0A929970D436}"/>
              </a:ext>
            </a:extLst>
          </xdr:cNvPr>
          <xdr:cNvCxnSpPr/>
        </xdr:nvCxnSpPr>
        <xdr:spPr>
          <a:xfrm>
            <a:off x="3733800" y="83705700"/>
            <a:ext cx="3886200" cy="0"/>
          </a:xfrm>
          <a:prstGeom prst="line">
            <a:avLst/>
          </a:prstGeom>
          <a:noFill/>
          <a:ln w="6350">
            <a:prstDash val="dashDot"/>
          </a:ln>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2361" name="Straight Connector 2360">
            <a:extLst>
              <a:ext uri="{FF2B5EF4-FFF2-40B4-BE49-F238E27FC236}">
                <a16:creationId xmlns:a16="http://schemas.microsoft.com/office/drawing/2014/main" id="{D981C51B-7F1B-F1BA-3EEC-CB39560B1DA4}"/>
              </a:ext>
            </a:extLst>
          </xdr:cNvPr>
          <xdr:cNvCxnSpPr/>
        </xdr:nvCxnSpPr>
        <xdr:spPr>
          <a:xfrm>
            <a:off x="3724275" y="84420075"/>
            <a:ext cx="3886200" cy="0"/>
          </a:xfrm>
          <a:prstGeom prst="line">
            <a:avLst/>
          </a:prstGeom>
          <a:noFill/>
          <a:ln w="6350">
            <a:prstDash val="dashDot"/>
          </a:ln>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2362" name="Straight Connector 2361">
            <a:extLst>
              <a:ext uri="{FF2B5EF4-FFF2-40B4-BE49-F238E27FC236}">
                <a16:creationId xmlns:a16="http://schemas.microsoft.com/office/drawing/2014/main" id="{477DB631-EF3C-0E17-F645-ECFF87C4551C}"/>
              </a:ext>
            </a:extLst>
          </xdr:cNvPr>
          <xdr:cNvCxnSpPr/>
        </xdr:nvCxnSpPr>
        <xdr:spPr>
          <a:xfrm>
            <a:off x="3724275" y="85134450"/>
            <a:ext cx="3886200" cy="0"/>
          </a:xfrm>
          <a:prstGeom prst="line">
            <a:avLst/>
          </a:prstGeom>
          <a:noFill/>
          <a:ln w="6350">
            <a:prstDash val="dashDot"/>
          </a:ln>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2363" name="Straight Connector 2362">
            <a:extLst>
              <a:ext uri="{FF2B5EF4-FFF2-40B4-BE49-F238E27FC236}">
                <a16:creationId xmlns:a16="http://schemas.microsoft.com/office/drawing/2014/main" id="{56F6FD90-EC71-9509-77B1-BDAC4E308AD3}"/>
              </a:ext>
            </a:extLst>
          </xdr:cNvPr>
          <xdr:cNvCxnSpPr/>
        </xdr:nvCxnSpPr>
        <xdr:spPr>
          <a:xfrm>
            <a:off x="3733800" y="85848825"/>
            <a:ext cx="3886200" cy="0"/>
          </a:xfrm>
          <a:prstGeom prst="line">
            <a:avLst/>
          </a:prstGeom>
          <a:noFill/>
          <a:ln w="6350">
            <a:prstDash val="dashDot"/>
          </a:ln>
        </xdr:spPr>
        <xdr:style>
          <a:lnRef idx="2">
            <a:schemeClr val="accent1">
              <a:shade val="15000"/>
            </a:schemeClr>
          </a:lnRef>
          <a:fillRef idx="1">
            <a:schemeClr val="accent1"/>
          </a:fillRef>
          <a:effectRef idx="0">
            <a:schemeClr val="accent1"/>
          </a:effectRef>
          <a:fontRef idx="minor">
            <a:schemeClr val="lt1"/>
          </a:fontRef>
        </xdr:style>
      </xdr:cxnSp>
    </xdr:grpSp>
    <xdr:clientData/>
  </xdr:twoCellAnchor>
  <xdr:twoCellAnchor>
    <xdr:from>
      <xdr:col>6</xdr:col>
      <xdr:colOff>47626</xdr:colOff>
      <xdr:row>103</xdr:row>
      <xdr:rowOff>109547</xdr:rowOff>
    </xdr:from>
    <xdr:to>
      <xdr:col>15</xdr:col>
      <xdr:colOff>109538</xdr:colOff>
      <xdr:row>106</xdr:row>
      <xdr:rowOff>10</xdr:rowOff>
    </xdr:to>
    <xdr:sp macro="" textlink="">
      <xdr:nvSpPr>
        <xdr:cNvPr id="2364" name="Freeform: Shape 2363">
          <a:extLst>
            <a:ext uri="{FF2B5EF4-FFF2-40B4-BE49-F238E27FC236}">
              <a16:creationId xmlns:a16="http://schemas.microsoft.com/office/drawing/2014/main" id="{A38C8377-93CC-47A7-BFC8-F74783752DA8}"/>
            </a:ext>
          </a:extLst>
        </xdr:cNvPr>
        <xdr:cNvSpPr/>
      </xdr:nvSpPr>
      <xdr:spPr>
        <a:xfrm>
          <a:off x="1019176" y="39752597"/>
          <a:ext cx="1519237" cy="319088"/>
        </a:xfrm>
        <a:custGeom>
          <a:avLst/>
          <a:gdLst>
            <a:gd name="connsiteX0" fmla="*/ 0 w 1519237"/>
            <a:gd name="connsiteY0" fmla="*/ 9525 h 319088"/>
            <a:gd name="connsiteX1" fmla="*/ 0 w 1519237"/>
            <a:gd name="connsiteY1" fmla="*/ 319088 h 319088"/>
            <a:gd name="connsiteX2" fmla="*/ 1519237 w 1519237"/>
            <a:gd name="connsiteY2" fmla="*/ 319088 h 319088"/>
            <a:gd name="connsiteX3" fmla="*/ 1519237 w 1519237"/>
            <a:gd name="connsiteY3" fmla="*/ 0 h 319088"/>
          </a:gdLst>
          <a:ahLst/>
          <a:cxnLst>
            <a:cxn ang="0">
              <a:pos x="connsiteX0" y="connsiteY0"/>
            </a:cxn>
            <a:cxn ang="0">
              <a:pos x="connsiteX1" y="connsiteY1"/>
            </a:cxn>
            <a:cxn ang="0">
              <a:pos x="connsiteX2" y="connsiteY2"/>
            </a:cxn>
            <a:cxn ang="0">
              <a:pos x="connsiteX3" y="connsiteY3"/>
            </a:cxn>
          </a:cxnLst>
          <a:rect l="l" t="t" r="r" b="b"/>
          <a:pathLst>
            <a:path w="1519237" h="319088">
              <a:moveTo>
                <a:pt x="0" y="9525"/>
              </a:moveTo>
              <a:lnTo>
                <a:pt x="0" y="319088"/>
              </a:lnTo>
              <a:lnTo>
                <a:pt x="1519237" y="319088"/>
              </a:lnTo>
              <a:lnTo>
                <a:pt x="1519237" y="0"/>
              </a:lnTo>
            </a:path>
          </a:pathLst>
        </a:cu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kern="1200"/>
        </a:p>
      </xdr:txBody>
    </xdr:sp>
    <xdr:clientData/>
  </xdr:twoCellAnchor>
  <xdr:twoCellAnchor>
    <xdr:from>
      <xdr:col>9</xdr:col>
      <xdr:colOff>14287</xdr:colOff>
      <xdr:row>99</xdr:row>
      <xdr:rowOff>9529</xdr:rowOff>
    </xdr:from>
    <xdr:to>
      <xdr:col>11</xdr:col>
      <xdr:colOff>9525</xdr:colOff>
      <xdr:row>105</xdr:row>
      <xdr:rowOff>0</xdr:rowOff>
    </xdr:to>
    <xdr:sp macro="" textlink="">
      <xdr:nvSpPr>
        <xdr:cNvPr id="2365" name="Freeform: Shape 2364">
          <a:extLst>
            <a:ext uri="{FF2B5EF4-FFF2-40B4-BE49-F238E27FC236}">
              <a16:creationId xmlns:a16="http://schemas.microsoft.com/office/drawing/2014/main" id="{08EB841C-75B7-486D-8916-98841E18F401}"/>
            </a:ext>
          </a:extLst>
        </xdr:cNvPr>
        <xdr:cNvSpPr/>
      </xdr:nvSpPr>
      <xdr:spPr>
        <a:xfrm rot="5400000">
          <a:off x="1207295" y="39345396"/>
          <a:ext cx="847721" cy="319088"/>
        </a:xfrm>
        <a:custGeom>
          <a:avLst/>
          <a:gdLst>
            <a:gd name="connsiteX0" fmla="*/ 0 w 1519237"/>
            <a:gd name="connsiteY0" fmla="*/ 9525 h 319088"/>
            <a:gd name="connsiteX1" fmla="*/ 0 w 1519237"/>
            <a:gd name="connsiteY1" fmla="*/ 319088 h 319088"/>
            <a:gd name="connsiteX2" fmla="*/ 1519237 w 1519237"/>
            <a:gd name="connsiteY2" fmla="*/ 319088 h 319088"/>
            <a:gd name="connsiteX3" fmla="*/ 1519237 w 1519237"/>
            <a:gd name="connsiteY3" fmla="*/ 0 h 319088"/>
          </a:gdLst>
          <a:ahLst/>
          <a:cxnLst>
            <a:cxn ang="0">
              <a:pos x="connsiteX0" y="connsiteY0"/>
            </a:cxn>
            <a:cxn ang="0">
              <a:pos x="connsiteX1" y="connsiteY1"/>
            </a:cxn>
            <a:cxn ang="0">
              <a:pos x="connsiteX2" y="connsiteY2"/>
            </a:cxn>
            <a:cxn ang="0">
              <a:pos x="connsiteX3" y="connsiteY3"/>
            </a:cxn>
          </a:cxnLst>
          <a:rect l="l" t="t" r="r" b="b"/>
          <a:pathLst>
            <a:path w="1519237" h="319088">
              <a:moveTo>
                <a:pt x="0" y="9525"/>
              </a:moveTo>
              <a:lnTo>
                <a:pt x="0" y="319088"/>
              </a:lnTo>
              <a:lnTo>
                <a:pt x="1519237" y="319088"/>
              </a:lnTo>
              <a:lnTo>
                <a:pt x="1519237" y="0"/>
              </a:lnTo>
            </a:path>
          </a:pathLst>
        </a:cu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kern="1200"/>
        </a:p>
      </xdr:txBody>
    </xdr:sp>
    <xdr:clientData/>
  </xdr:twoCellAnchor>
  <xdr:twoCellAnchor>
    <xdr:from>
      <xdr:col>21</xdr:col>
      <xdr:colOff>66675</xdr:colOff>
      <xdr:row>85</xdr:row>
      <xdr:rowOff>107947</xdr:rowOff>
    </xdr:from>
    <xdr:to>
      <xdr:col>48</xdr:col>
      <xdr:colOff>123812</xdr:colOff>
      <xdr:row>123</xdr:row>
      <xdr:rowOff>41289</xdr:rowOff>
    </xdr:to>
    <xdr:grpSp>
      <xdr:nvGrpSpPr>
        <xdr:cNvPr id="2436" name="Group 2435">
          <a:extLst>
            <a:ext uri="{FF2B5EF4-FFF2-40B4-BE49-F238E27FC236}">
              <a16:creationId xmlns:a16="http://schemas.microsoft.com/office/drawing/2014/main" id="{DF1D38B4-A06C-4CDD-9A6E-B5B2FB1E2552}"/>
            </a:ext>
          </a:extLst>
        </xdr:cNvPr>
        <xdr:cNvGrpSpPr/>
      </xdr:nvGrpSpPr>
      <xdr:grpSpPr>
        <a:xfrm>
          <a:off x="3467100" y="12633322"/>
          <a:ext cx="4429112" cy="5362592"/>
          <a:chOff x="3467100" y="81384772"/>
          <a:chExt cx="4429112" cy="5362592"/>
        </a:xfrm>
      </xdr:grpSpPr>
      <xdr:sp macro="" textlink="">
        <xdr:nvSpPr>
          <xdr:cNvPr id="2437" name="Rectangle 2436">
            <a:extLst>
              <a:ext uri="{FF2B5EF4-FFF2-40B4-BE49-F238E27FC236}">
                <a16:creationId xmlns:a16="http://schemas.microsoft.com/office/drawing/2014/main" id="{0B22FEEF-AA0A-2A4C-49AC-9771C4305B88}"/>
              </a:ext>
            </a:extLst>
          </xdr:cNvPr>
          <xdr:cNvSpPr/>
        </xdr:nvSpPr>
        <xdr:spPr>
          <a:xfrm rot="5400000">
            <a:off x="5669757" y="84630418"/>
            <a:ext cx="64292" cy="3866356"/>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2438" name="Rectangle 2437">
            <a:extLst>
              <a:ext uri="{FF2B5EF4-FFF2-40B4-BE49-F238E27FC236}">
                <a16:creationId xmlns:a16="http://schemas.microsoft.com/office/drawing/2014/main" id="{DF1AD2A5-81C1-5089-B4BF-32C4F22FF4A3}"/>
              </a:ext>
            </a:extLst>
          </xdr:cNvPr>
          <xdr:cNvSpPr/>
        </xdr:nvSpPr>
        <xdr:spPr>
          <a:xfrm>
            <a:off x="6137253" y="86386995"/>
            <a:ext cx="358778" cy="358778"/>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2439" name="Rectangle 2438">
            <a:extLst>
              <a:ext uri="{FF2B5EF4-FFF2-40B4-BE49-F238E27FC236}">
                <a16:creationId xmlns:a16="http://schemas.microsoft.com/office/drawing/2014/main" id="{0FFCE233-0209-482C-0112-54258592D0EC}"/>
              </a:ext>
            </a:extLst>
          </xdr:cNvPr>
          <xdr:cNvSpPr/>
        </xdr:nvSpPr>
        <xdr:spPr>
          <a:xfrm>
            <a:off x="7432673" y="86385397"/>
            <a:ext cx="358778" cy="358778"/>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2440" name="Rectangle 2439">
            <a:extLst>
              <a:ext uri="{FF2B5EF4-FFF2-40B4-BE49-F238E27FC236}">
                <a16:creationId xmlns:a16="http://schemas.microsoft.com/office/drawing/2014/main" id="{4549F7D2-78D1-C015-3202-C40B76CCE99C}"/>
              </a:ext>
            </a:extLst>
          </xdr:cNvPr>
          <xdr:cNvSpPr/>
        </xdr:nvSpPr>
        <xdr:spPr>
          <a:xfrm>
            <a:off x="4841856" y="86386995"/>
            <a:ext cx="358778" cy="358778"/>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2441" name="Rectangle 2440">
            <a:extLst>
              <a:ext uri="{FF2B5EF4-FFF2-40B4-BE49-F238E27FC236}">
                <a16:creationId xmlns:a16="http://schemas.microsoft.com/office/drawing/2014/main" id="{6A7D7ABA-D0F3-0D89-D301-8F801EDDD817}"/>
              </a:ext>
            </a:extLst>
          </xdr:cNvPr>
          <xdr:cNvSpPr/>
        </xdr:nvSpPr>
        <xdr:spPr>
          <a:xfrm>
            <a:off x="3967152" y="86388584"/>
            <a:ext cx="358778" cy="358778"/>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2442" name="Rectangle 2441">
            <a:extLst>
              <a:ext uri="{FF2B5EF4-FFF2-40B4-BE49-F238E27FC236}">
                <a16:creationId xmlns:a16="http://schemas.microsoft.com/office/drawing/2014/main" id="{3C44C113-FDF1-B96F-B23E-95B44A692F0B}"/>
              </a:ext>
            </a:extLst>
          </xdr:cNvPr>
          <xdr:cNvSpPr/>
        </xdr:nvSpPr>
        <xdr:spPr>
          <a:xfrm>
            <a:off x="4405302" y="86388586"/>
            <a:ext cx="358778" cy="358778"/>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2443" name="Rectangle 2442">
            <a:extLst>
              <a:ext uri="{FF2B5EF4-FFF2-40B4-BE49-F238E27FC236}">
                <a16:creationId xmlns:a16="http://schemas.microsoft.com/office/drawing/2014/main" id="{B5DF234D-4A4C-384A-E9C4-2980C29F0611}"/>
              </a:ext>
            </a:extLst>
          </xdr:cNvPr>
          <xdr:cNvSpPr/>
        </xdr:nvSpPr>
        <xdr:spPr>
          <a:xfrm>
            <a:off x="6577001" y="86388582"/>
            <a:ext cx="358778" cy="358778"/>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2444" name="Rectangle 2443">
            <a:extLst>
              <a:ext uri="{FF2B5EF4-FFF2-40B4-BE49-F238E27FC236}">
                <a16:creationId xmlns:a16="http://schemas.microsoft.com/office/drawing/2014/main" id="{AB9510B9-9A3B-481B-43CD-DF9954476F85}"/>
              </a:ext>
            </a:extLst>
          </xdr:cNvPr>
          <xdr:cNvSpPr/>
        </xdr:nvSpPr>
        <xdr:spPr>
          <a:xfrm>
            <a:off x="7015151" y="86388584"/>
            <a:ext cx="358778" cy="358778"/>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2445" name="Rectangle 2444">
            <a:extLst>
              <a:ext uri="{FF2B5EF4-FFF2-40B4-BE49-F238E27FC236}">
                <a16:creationId xmlns:a16="http://schemas.microsoft.com/office/drawing/2014/main" id="{E271F8FB-55D7-8B5D-AE95-65DB601E5494}"/>
              </a:ext>
            </a:extLst>
          </xdr:cNvPr>
          <xdr:cNvSpPr/>
        </xdr:nvSpPr>
        <xdr:spPr>
          <a:xfrm>
            <a:off x="3546474" y="81384772"/>
            <a:ext cx="358778" cy="358778"/>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2446" name="Rectangle 2445">
            <a:extLst>
              <a:ext uri="{FF2B5EF4-FFF2-40B4-BE49-F238E27FC236}">
                <a16:creationId xmlns:a16="http://schemas.microsoft.com/office/drawing/2014/main" id="{ACD618EA-4210-B8E2-FBA7-B12706D719C3}"/>
              </a:ext>
            </a:extLst>
          </xdr:cNvPr>
          <xdr:cNvSpPr/>
        </xdr:nvSpPr>
        <xdr:spPr>
          <a:xfrm>
            <a:off x="7432674" y="81384772"/>
            <a:ext cx="358778" cy="358778"/>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2447" name="Rectangle 2446">
            <a:extLst>
              <a:ext uri="{FF2B5EF4-FFF2-40B4-BE49-F238E27FC236}">
                <a16:creationId xmlns:a16="http://schemas.microsoft.com/office/drawing/2014/main" id="{527D01E5-FD1D-B45D-6CD8-1914AB913FBF}"/>
              </a:ext>
            </a:extLst>
          </xdr:cNvPr>
          <xdr:cNvSpPr/>
        </xdr:nvSpPr>
        <xdr:spPr>
          <a:xfrm>
            <a:off x="4841865" y="81384772"/>
            <a:ext cx="358778" cy="358778"/>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2448" name="Rectangle 2447">
            <a:extLst>
              <a:ext uri="{FF2B5EF4-FFF2-40B4-BE49-F238E27FC236}">
                <a16:creationId xmlns:a16="http://schemas.microsoft.com/office/drawing/2014/main" id="{34852AF5-09F7-7F8D-8F34-296F76C88B6D}"/>
              </a:ext>
            </a:extLst>
          </xdr:cNvPr>
          <xdr:cNvSpPr/>
        </xdr:nvSpPr>
        <xdr:spPr>
          <a:xfrm>
            <a:off x="6137262" y="81384772"/>
            <a:ext cx="358778" cy="358778"/>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2449" name="Rectangle 2448">
            <a:extLst>
              <a:ext uri="{FF2B5EF4-FFF2-40B4-BE49-F238E27FC236}">
                <a16:creationId xmlns:a16="http://schemas.microsoft.com/office/drawing/2014/main" id="{D98D6760-7E9F-53DE-C527-10B7BFD9474B}"/>
              </a:ext>
            </a:extLst>
          </xdr:cNvPr>
          <xdr:cNvSpPr/>
        </xdr:nvSpPr>
        <xdr:spPr>
          <a:xfrm>
            <a:off x="3967161" y="81386361"/>
            <a:ext cx="358778" cy="358778"/>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2450" name="Rectangle 2449">
            <a:extLst>
              <a:ext uri="{FF2B5EF4-FFF2-40B4-BE49-F238E27FC236}">
                <a16:creationId xmlns:a16="http://schemas.microsoft.com/office/drawing/2014/main" id="{5DA65603-04E7-ACC3-0540-D0AFFA9BA425}"/>
              </a:ext>
            </a:extLst>
          </xdr:cNvPr>
          <xdr:cNvSpPr/>
        </xdr:nvSpPr>
        <xdr:spPr>
          <a:xfrm>
            <a:off x="4405311" y="81386363"/>
            <a:ext cx="358778" cy="358778"/>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2451" name="Rectangle 2450">
            <a:extLst>
              <a:ext uri="{FF2B5EF4-FFF2-40B4-BE49-F238E27FC236}">
                <a16:creationId xmlns:a16="http://schemas.microsoft.com/office/drawing/2014/main" id="{45B223DF-6B56-41F5-6A8A-073F79FC1E46}"/>
              </a:ext>
            </a:extLst>
          </xdr:cNvPr>
          <xdr:cNvSpPr/>
        </xdr:nvSpPr>
        <xdr:spPr>
          <a:xfrm>
            <a:off x="6577010" y="81386359"/>
            <a:ext cx="358778" cy="358778"/>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2452" name="Rectangle 2451">
            <a:extLst>
              <a:ext uri="{FF2B5EF4-FFF2-40B4-BE49-F238E27FC236}">
                <a16:creationId xmlns:a16="http://schemas.microsoft.com/office/drawing/2014/main" id="{096162A4-339F-1A01-9143-E7859B7F1D9A}"/>
              </a:ext>
            </a:extLst>
          </xdr:cNvPr>
          <xdr:cNvSpPr/>
        </xdr:nvSpPr>
        <xdr:spPr>
          <a:xfrm>
            <a:off x="7015160" y="81386361"/>
            <a:ext cx="358778" cy="358778"/>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2453" name="Rectangle 2452">
            <a:extLst>
              <a:ext uri="{FF2B5EF4-FFF2-40B4-BE49-F238E27FC236}">
                <a16:creationId xmlns:a16="http://schemas.microsoft.com/office/drawing/2014/main" id="{ACE60544-F92A-EA7E-2878-163642B9F4B0}"/>
              </a:ext>
            </a:extLst>
          </xdr:cNvPr>
          <xdr:cNvSpPr/>
        </xdr:nvSpPr>
        <xdr:spPr>
          <a:xfrm>
            <a:off x="3546473" y="82099147"/>
            <a:ext cx="358778" cy="358778"/>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2454" name="Rectangle 2453">
            <a:extLst>
              <a:ext uri="{FF2B5EF4-FFF2-40B4-BE49-F238E27FC236}">
                <a16:creationId xmlns:a16="http://schemas.microsoft.com/office/drawing/2014/main" id="{484A65F6-9AEF-10E4-5432-6EA6ECEFB4A5}"/>
              </a:ext>
            </a:extLst>
          </xdr:cNvPr>
          <xdr:cNvSpPr/>
        </xdr:nvSpPr>
        <xdr:spPr>
          <a:xfrm>
            <a:off x="3546473" y="82813522"/>
            <a:ext cx="358778" cy="358778"/>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2455" name="Rectangle 2454">
            <a:extLst>
              <a:ext uri="{FF2B5EF4-FFF2-40B4-BE49-F238E27FC236}">
                <a16:creationId xmlns:a16="http://schemas.microsoft.com/office/drawing/2014/main" id="{688A033A-5BCB-D7D0-CA43-390648143275}"/>
              </a:ext>
            </a:extLst>
          </xdr:cNvPr>
          <xdr:cNvSpPr/>
        </xdr:nvSpPr>
        <xdr:spPr>
          <a:xfrm>
            <a:off x="3546473" y="83527897"/>
            <a:ext cx="358778" cy="358778"/>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2456" name="Rectangle 2455">
            <a:extLst>
              <a:ext uri="{FF2B5EF4-FFF2-40B4-BE49-F238E27FC236}">
                <a16:creationId xmlns:a16="http://schemas.microsoft.com/office/drawing/2014/main" id="{887DB422-CA81-0FAE-BD26-F6F1DDFA590E}"/>
              </a:ext>
            </a:extLst>
          </xdr:cNvPr>
          <xdr:cNvSpPr/>
        </xdr:nvSpPr>
        <xdr:spPr>
          <a:xfrm>
            <a:off x="3546473" y="84242272"/>
            <a:ext cx="358778" cy="358778"/>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2457" name="Rectangle 2456">
            <a:extLst>
              <a:ext uri="{FF2B5EF4-FFF2-40B4-BE49-F238E27FC236}">
                <a16:creationId xmlns:a16="http://schemas.microsoft.com/office/drawing/2014/main" id="{3A9793FA-0B3F-95E6-A29C-3FF2DFFD0838}"/>
              </a:ext>
            </a:extLst>
          </xdr:cNvPr>
          <xdr:cNvSpPr/>
        </xdr:nvSpPr>
        <xdr:spPr>
          <a:xfrm>
            <a:off x="3546473" y="84956647"/>
            <a:ext cx="358778" cy="358778"/>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2458" name="Rectangle 2457">
            <a:extLst>
              <a:ext uri="{FF2B5EF4-FFF2-40B4-BE49-F238E27FC236}">
                <a16:creationId xmlns:a16="http://schemas.microsoft.com/office/drawing/2014/main" id="{D6A4DCDC-75F9-CD1F-84C6-4A52F7E409DF}"/>
              </a:ext>
            </a:extLst>
          </xdr:cNvPr>
          <xdr:cNvSpPr/>
        </xdr:nvSpPr>
        <xdr:spPr>
          <a:xfrm>
            <a:off x="7432673" y="82813522"/>
            <a:ext cx="358778" cy="358778"/>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2459" name="Rectangle 2458">
            <a:extLst>
              <a:ext uri="{FF2B5EF4-FFF2-40B4-BE49-F238E27FC236}">
                <a16:creationId xmlns:a16="http://schemas.microsoft.com/office/drawing/2014/main" id="{1243B3FF-F57B-C47C-CF90-8DD5AB4F5B21}"/>
              </a:ext>
            </a:extLst>
          </xdr:cNvPr>
          <xdr:cNvSpPr/>
        </xdr:nvSpPr>
        <xdr:spPr>
          <a:xfrm>
            <a:off x="7432673" y="83527897"/>
            <a:ext cx="358778" cy="358778"/>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2460" name="Rectangle 2459">
            <a:extLst>
              <a:ext uri="{FF2B5EF4-FFF2-40B4-BE49-F238E27FC236}">
                <a16:creationId xmlns:a16="http://schemas.microsoft.com/office/drawing/2014/main" id="{76E82493-826D-2ACA-3F35-AAFA38C62837}"/>
              </a:ext>
            </a:extLst>
          </xdr:cNvPr>
          <xdr:cNvSpPr/>
        </xdr:nvSpPr>
        <xdr:spPr>
          <a:xfrm>
            <a:off x="7432673" y="84242272"/>
            <a:ext cx="358778" cy="358778"/>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2461" name="Rectangle 2460">
            <a:extLst>
              <a:ext uri="{FF2B5EF4-FFF2-40B4-BE49-F238E27FC236}">
                <a16:creationId xmlns:a16="http://schemas.microsoft.com/office/drawing/2014/main" id="{BB2DB3EF-8A3E-F27B-A08A-845D96E6E391}"/>
              </a:ext>
            </a:extLst>
          </xdr:cNvPr>
          <xdr:cNvSpPr/>
        </xdr:nvSpPr>
        <xdr:spPr>
          <a:xfrm>
            <a:off x="7432673" y="84956647"/>
            <a:ext cx="358778" cy="358778"/>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2462" name="Rectangle 2461">
            <a:extLst>
              <a:ext uri="{FF2B5EF4-FFF2-40B4-BE49-F238E27FC236}">
                <a16:creationId xmlns:a16="http://schemas.microsoft.com/office/drawing/2014/main" id="{41FE67CB-5664-0B49-7F5D-33451AB2DCAA}"/>
              </a:ext>
            </a:extLst>
          </xdr:cNvPr>
          <xdr:cNvSpPr/>
        </xdr:nvSpPr>
        <xdr:spPr>
          <a:xfrm>
            <a:off x="7432673" y="82099147"/>
            <a:ext cx="358778" cy="358778"/>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2463" name="Rectangle 2462">
            <a:extLst>
              <a:ext uri="{FF2B5EF4-FFF2-40B4-BE49-F238E27FC236}">
                <a16:creationId xmlns:a16="http://schemas.microsoft.com/office/drawing/2014/main" id="{FCCE139E-43AC-9E8D-73B2-CA41744F3B76}"/>
              </a:ext>
            </a:extLst>
          </xdr:cNvPr>
          <xdr:cNvSpPr/>
        </xdr:nvSpPr>
        <xdr:spPr>
          <a:xfrm>
            <a:off x="7432673" y="85671022"/>
            <a:ext cx="358778" cy="358778"/>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2464" name="Rectangle 2463">
            <a:extLst>
              <a:ext uri="{FF2B5EF4-FFF2-40B4-BE49-F238E27FC236}">
                <a16:creationId xmlns:a16="http://schemas.microsoft.com/office/drawing/2014/main" id="{B9553B3C-8349-5277-D2C6-7ECBB0C1304A}"/>
              </a:ext>
            </a:extLst>
          </xdr:cNvPr>
          <xdr:cNvSpPr/>
        </xdr:nvSpPr>
        <xdr:spPr>
          <a:xfrm>
            <a:off x="3546473" y="85671022"/>
            <a:ext cx="358778" cy="358778"/>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2465" name="Rectangle 2464">
            <a:extLst>
              <a:ext uri="{FF2B5EF4-FFF2-40B4-BE49-F238E27FC236}">
                <a16:creationId xmlns:a16="http://schemas.microsoft.com/office/drawing/2014/main" id="{A7CC524B-08C7-559D-08B6-B533B5E48577}"/>
              </a:ext>
            </a:extLst>
          </xdr:cNvPr>
          <xdr:cNvSpPr/>
        </xdr:nvSpPr>
        <xdr:spPr>
          <a:xfrm>
            <a:off x="3546473" y="86385397"/>
            <a:ext cx="358778" cy="358778"/>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2466" name="Rectangle 2465">
            <a:extLst>
              <a:ext uri="{FF2B5EF4-FFF2-40B4-BE49-F238E27FC236}">
                <a16:creationId xmlns:a16="http://schemas.microsoft.com/office/drawing/2014/main" id="{4D536B46-118D-1706-BFB7-09B25FBE09D1}"/>
              </a:ext>
            </a:extLst>
          </xdr:cNvPr>
          <xdr:cNvSpPr/>
        </xdr:nvSpPr>
        <xdr:spPr>
          <a:xfrm rot="5400000">
            <a:off x="5664201" y="79629797"/>
            <a:ext cx="64292" cy="3866356"/>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2467" name="Rectangle 2466">
            <a:extLst>
              <a:ext uri="{FF2B5EF4-FFF2-40B4-BE49-F238E27FC236}">
                <a16:creationId xmlns:a16="http://schemas.microsoft.com/office/drawing/2014/main" id="{3F4D24BE-3E16-4A6C-FEBF-34B7F0E211B3}"/>
              </a:ext>
            </a:extLst>
          </xdr:cNvPr>
          <xdr:cNvSpPr/>
        </xdr:nvSpPr>
        <xdr:spPr>
          <a:xfrm>
            <a:off x="4948229" y="81489550"/>
            <a:ext cx="146050" cy="146050"/>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2468" name="Rectangle 2467">
            <a:extLst>
              <a:ext uri="{FF2B5EF4-FFF2-40B4-BE49-F238E27FC236}">
                <a16:creationId xmlns:a16="http://schemas.microsoft.com/office/drawing/2014/main" id="{D5D2B240-19F3-2C01-C421-037EB37D70FE}"/>
              </a:ext>
            </a:extLst>
          </xdr:cNvPr>
          <xdr:cNvSpPr/>
        </xdr:nvSpPr>
        <xdr:spPr>
          <a:xfrm>
            <a:off x="6243626" y="81489550"/>
            <a:ext cx="146050" cy="146050"/>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2469" name="Rectangle 2468">
            <a:extLst>
              <a:ext uri="{FF2B5EF4-FFF2-40B4-BE49-F238E27FC236}">
                <a16:creationId xmlns:a16="http://schemas.microsoft.com/office/drawing/2014/main" id="{FB1E9EDA-40DD-6EF9-54B2-004BD117B70E}"/>
              </a:ext>
            </a:extLst>
          </xdr:cNvPr>
          <xdr:cNvSpPr/>
        </xdr:nvSpPr>
        <xdr:spPr>
          <a:xfrm>
            <a:off x="4073525" y="81491139"/>
            <a:ext cx="146050" cy="146050"/>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2470" name="Rectangle 2469">
            <a:extLst>
              <a:ext uri="{FF2B5EF4-FFF2-40B4-BE49-F238E27FC236}">
                <a16:creationId xmlns:a16="http://schemas.microsoft.com/office/drawing/2014/main" id="{F602C83A-84EE-012D-30BB-66D5D87CAE1D}"/>
              </a:ext>
            </a:extLst>
          </xdr:cNvPr>
          <xdr:cNvSpPr/>
        </xdr:nvSpPr>
        <xdr:spPr>
          <a:xfrm>
            <a:off x="4511675" y="81491141"/>
            <a:ext cx="146050" cy="146050"/>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2471" name="Rectangle 2470">
            <a:extLst>
              <a:ext uri="{FF2B5EF4-FFF2-40B4-BE49-F238E27FC236}">
                <a16:creationId xmlns:a16="http://schemas.microsoft.com/office/drawing/2014/main" id="{D60B0934-3BB9-37A3-E7EC-B67FB68029BB}"/>
              </a:ext>
            </a:extLst>
          </xdr:cNvPr>
          <xdr:cNvSpPr/>
        </xdr:nvSpPr>
        <xdr:spPr>
          <a:xfrm>
            <a:off x="6683374" y="81491137"/>
            <a:ext cx="146050" cy="146050"/>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2472" name="Rectangle 2471">
            <a:extLst>
              <a:ext uri="{FF2B5EF4-FFF2-40B4-BE49-F238E27FC236}">
                <a16:creationId xmlns:a16="http://schemas.microsoft.com/office/drawing/2014/main" id="{0C3C4930-4626-2ECB-88A7-77B96979C5B0}"/>
              </a:ext>
            </a:extLst>
          </xdr:cNvPr>
          <xdr:cNvSpPr/>
        </xdr:nvSpPr>
        <xdr:spPr>
          <a:xfrm>
            <a:off x="7121524" y="81491139"/>
            <a:ext cx="146050" cy="146050"/>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2473" name="Rectangle 2472">
            <a:extLst>
              <a:ext uri="{FF2B5EF4-FFF2-40B4-BE49-F238E27FC236}">
                <a16:creationId xmlns:a16="http://schemas.microsoft.com/office/drawing/2014/main" id="{2E6438B7-0CB1-BE68-BAEA-B2DF56ED7529}"/>
              </a:ext>
            </a:extLst>
          </xdr:cNvPr>
          <xdr:cNvSpPr/>
        </xdr:nvSpPr>
        <xdr:spPr>
          <a:xfrm>
            <a:off x="3690939" y="81607026"/>
            <a:ext cx="61911" cy="4908550"/>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2474" name="Rectangle 2473">
            <a:extLst>
              <a:ext uri="{FF2B5EF4-FFF2-40B4-BE49-F238E27FC236}">
                <a16:creationId xmlns:a16="http://schemas.microsoft.com/office/drawing/2014/main" id="{8B0ED188-8355-3E58-D6EB-9F3AA67474C4}"/>
              </a:ext>
            </a:extLst>
          </xdr:cNvPr>
          <xdr:cNvSpPr/>
        </xdr:nvSpPr>
        <xdr:spPr>
          <a:xfrm>
            <a:off x="7581900" y="81629250"/>
            <a:ext cx="61911" cy="4908550"/>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cxnSp macro="">
        <xdr:nvCxnSpPr>
          <xdr:cNvPr id="2475" name="Straight Connector 2474">
            <a:extLst>
              <a:ext uri="{FF2B5EF4-FFF2-40B4-BE49-F238E27FC236}">
                <a16:creationId xmlns:a16="http://schemas.microsoft.com/office/drawing/2014/main" id="{75D3C339-60A2-A04B-D269-DCECD0AC5FA6}"/>
              </a:ext>
            </a:extLst>
          </xdr:cNvPr>
          <xdr:cNvCxnSpPr/>
        </xdr:nvCxnSpPr>
        <xdr:spPr>
          <a:xfrm>
            <a:off x="3467100" y="81900712"/>
            <a:ext cx="542925" cy="0"/>
          </a:xfrm>
          <a:prstGeom prst="line">
            <a:avLst/>
          </a:prstGeom>
          <a:ln w="12700">
            <a:solidFill>
              <a:schemeClr val="accent6">
                <a:lumMod val="75000"/>
              </a:schemeClr>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2476" name="Straight Connector 2475">
            <a:extLst>
              <a:ext uri="{FF2B5EF4-FFF2-40B4-BE49-F238E27FC236}">
                <a16:creationId xmlns:a16="http://schemas.microsoft.com/office/drawing/2014/main" id="{8F8BDD9B-30DD-6499-83D7-B75C238D94A8}"/>
              </a:ext>
            </a:extLst>
          </xdr:cNvPr>
          <xdr:cNvCxnSpPr/>
        </xdr:nvCxnSpPr>
        <xdr:spPr>
          <a:xfrm>
            <a:off x="3467100" y="81934050"/>
            <a:ext cx="542925" cy="0"/>
          </a:xfrm>
          <a:prstGeom prst="line">
            <a:avLst/>
          </a:prstGeom>
          <a:ln w="12700">
            <a:solidFill>
              <a:schemeClr val="accent6">
                <a:lumMod val="75000"/>
              </a:schemeClr>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2477" name="Straight Connector 2476">
            <a:extLst>
              <a:ext uri="{FF2B5EF4-FFF2-40B4-BE49-F238E27FC236}">
                <a16:creationId xmlns:a16="http://schemas.microsoft.com/office/drawing/2014/main" id="{E5BD8192-0260-D108-B213-B8D44DE9F500}"/>
              </a:ext>
            </a:extLst>
          </xdr:cNvPr>
          <xdr:cNvCxnSpPr/>
        </xdr:nvCxnSpPr>
        <xdr:spPr>
          <a:xfrm>
            <a:off x="7353287" y="81910243"/>
            <a:ext cx="542925" cy="0"/>
          </a:xfrm>
          <a:prstGeom prst="line">
            <a:avLst/>
          </a:prstGeom>
          <a:ln w="12700">
            <a:solidFill>
              <a:schemeClr val="accent6">
                <a:lumMod val="75000"/>
              </a:schemeClr>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2478" name="Straight Connector 2477">
            <a:extLst>
              <a:ext uri="{FF2B5EF4-FFF2-40B4-BE49-F238E27FC236}">
                <a16:creationId xmlns:a16="http://schemas.microsoft.com/office/drawing/2014/main" id="{6BD847AA-10E5-9F67-6437-2B5B03B8FABB}"/>
              </a:ext>
            </a:extLst>
          </xdr:cNvPr>
          <xdr:cNvCxnSpPr/>
        </xdr:nvCxnSpPr>
        <xdr:spPr>
          <a:xfrm>
            <a:off x="7353287" y="81943581"/>
            <a:ext cx="542925" cy="0"/>
          </a:xfrm>
          <a:prstGeom prst="line">
            <a:avLst/>
          </a:prstGeom>
          <a:ln w="12700">
            <a:solidFill>
              <a:schemeClr val="accent6">
                <a:lumMod val="75000"/>
              </a:schemeClr>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2479" name="Rectangle 2478">
            <a:extLst>
              <a:ext uri="{FF2B5EF4-FFF2-40B4-BE49-F238E27FC236}">
                <a16:creationId xmlns:a16="http://schemas.microsoft.com/office/drawing/2014/main" id="{F8506806-6597-DCBB-ADC7-5608EAA745B3}"/>
              </a:ext>
            </a:extLst>
          </xdr:cNvPr>
          <xdr:cNvSpPr/>
        </xdr:nvSpPr>
        <xdr:spPr>
          <a:xfrm>
            <a:off x="3652837" y="82203925"/>
            <a:ext cx="146050" cy="146050"/>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2480" name="Rectangle 2479">
            <a:extLst>
              <a:ext uri="{FF2B5EF4-FFF2-40B4-BE49-F238E27FC236}">
                <a16:creationId xmlns:a16="http://schemas.microsoft.com/office/drawing/2014/main" id="{408B0598-6DA2-F452-2A14-FBBA7F7A4C40}"/>
              </a:ext>
            </a:extLst>
          </xdr:cNvPr>
          <xdr:cNvSpPr/>
        </xdr:nvSpPr>
        <xdr:spPr>
          <a:xfrm>
            <a:off x="3652837" y="82918300"/>
            <a:ext cx="146050" cy="146050"/>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2481" name="Rectangle 2480">
            <a:extLst>
              <a:ext uri="{FF2B5EF4-FFF2-40B4-BE49-F238E27FC236}">
                <a16:creationId xmlns:a16="http://schemas.microsoft.com/office/drawing/2014/main" id="{B9B766F7-C99F-7C86-AA47-24D4B086826C}"/>
              </a:ext>
            </a:extLst>
          </xdr:cNvPr>
          <xdr:cNvSpPr/>
        </xdr:nvSpPr>
        <xdr:spPr>
          <a:xfrm>
            <a:off x="3652837" y="83632675"/>
            <a:ext cx="146050" cy="146050"/>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2482" name="Rectangle 2481">
            <a:extLst>
              <a:ext uri="{FF2B5EF4-FFF2-40B4-BE49-F238E27FC236}">
                <a16:creationId xmlns:a16="http://schemas.microsoft.com/office/drawing/2014/main" id="{CF6DA6A9-E75B-E709-A889-9092DE90E338}"/>
              </a:ext>
            </a:extLst>
          </xdr:cNvPr>
          <xdr:cNvSpPr/>
        </xdr:nvSpPr>
        <xdr:spPr>
          <a:xfrm>
            <a:off x="3652837" y="84347050"/>
            <a:ext cx="146050" cy="146050"/>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2483" name="Rectangle 2482">
            <a:extLst>
              <a:ext uri="{FF2B5EF4-FFF2-40B4-BE49-F238E27FC236}">
                <a16:creationId xmlns:a16="http://schemas.microsoft.com/office/drawing/2014/main" id="{81960462-7386-0F84-875D-D89E40163E1B}"/>
              </a:ext>
            </a:extLst>
          </xdr:cNvPr>
          <xdr:cNvSpPr/>
        </xdr:nvSpPr>
        <xdr:spPr>
          <a:xfrm>
            <a:off x="7539038" y="81489550"/>
            <a:ext cx="146050" cy="146050"/>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2484" name="Rectangle 2483">
            <a:extLst>
              <a:ext uri="{FF2B5EF4-FFF2-40B4-BE49-F238E27FC236}">
                <a16:creationId xmlns:a16="http://schemas.microsoft.com/office/drawing/2014/main" id="{03B14CB2-B64A-FE10-0333-5B3FC4D2CDCA}"/>
              </a:ext>
            </a:extLst>
          </xdr:cNvPr>
          <xdr:cNvSpPr/>
        </xdr:nvSpPr>
        <xdr:spPr>
          <a:xfrm>
            <a:off x="3652838" y="81489550"/>
            <a:ext cx="146050" cy="146050"/>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2485" name="Rectangle 2484">
            <a:extLst>
              <a:ext uri="{FF2B5EF4-FFF2-40B4-BE49-F238E27FC236}">
                <a16:creationId xmlns:a16="http://schemas.microsoft.com/office/drawing/2014/main" id="{F762C271-1679-F0EE-C0DB-001357CF0669}"/>
              </a:ext>
            </a:extLst>
          </xdr:cNvPr>
          <xdr:cNvSpPr/>
        </xdr:nvSpPr>
        <xdr:spPr>
          <a:xfrm>
            <a:off x="7539037" y="82918300"/>
            <a:ext cx="146050" cy="146050"/>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2486" name="Rectangle 2485">
            <a:extLst>
              <a:ext uri="{FF2B5EF4-FFF2-40B4-BE49-F238E27FC236}">
                <a16:creationId xmlns:a16="http://schemas.microsoft.com/office/drawing/2014/main" id="{1B8A7FD8-720F-6212-98AD-749E59DABCB3}"/>
              </a:ext>
            </a:extLst>
          </xdr:cNvPr>
          <xdr:cNvSpPr/>
        </xdr:nvSpPr>
        <xdr:spPr>
          <a:xfrm>
            <a:off x="7539037" y="83632675"/>
            <a:ext cx="146050" cy="146050"/>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2487" name="Rectangle 2486">
            <a:extLst>
              <a:ext uri="{FF2B5EF4-FFF2-40B4-BE49-F238E27FC236}">
                <a16:creationId xmlns:a16="http://schemas.microsoft.com/office/drawing/2014/main" id="{6C89A73E-708E-E159-95FB-B2182FAB5976}"/>
              </a:ext>
            </a:extLst>
          </xdr:cNvPr>
          <xdr:cNvSpPr/>
        </xdr:nvSpPr>
        <xdr:spPr>
          <a:xfrm>
            <a:off x="7539037" y="84347050"/>
            <a:ext cx="146050" cy="146050"/>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2488" name="Rectangle 2487">
            <a:extLst>
              <a:ext uri="{FF2B5EF4-FFF2-40B4-BE49-F238E27FC236}">
                <a16:creationId xmlns:a16="http://schemas.microsoft.com/office/drawing/2014/main" id="{2D2CD2E2-5D89-A3E3-ACB4-9BDF311D5F9C}"/>
              </a:ext>
            </a:extLst>
          </xdr:cNvPr>
          <xdr:cNvSpPr/>
        </xdr:nvSpPr>
        <xdr:spPr>
          <a:xfrm>
            <a:off x="7539037" y="82203925"/>
            <a:ext cx="146050" cy="146050"/>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2489" name="Rectangle 2488">
            <a:extLst>
              <a:ext uri="{FF2B5EF4-FFF2-40B4-BE49-F238E27FC236}">
                <a16:creationId xmlns:a16="http://schemas.microsoft.com/office/drawing/2014/main" id="{EF6C868E-86D2-26B9-B2B5-2FA2F3E4FDD9}"/>
              </a:ext>
            </a:extLst>
          </xdr:cNvPr>
          <xdr:cNvSpPr/>
        </xdr:nvSpPr>
        <xdr:spPr>
          <a:xfrm>
            <a:off x="3652837" y="85061425"/>
            <a:ext cx="146050" cy="146050"/>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2490" name="Rectangle 2489">
            <a:extLst>
              <a:ext uri="{FF2B5EF4-FFF2-40B4-BE49-F238E27FC236}">
                <a16:creationId xmlns:a16="http://schemas.microsoft.com/office/drawing/2014/main" id="{0BA00E54-896A-0691-1562-30AE731AD7D9}"/>
              </a:ext>
            </a:extLst>
          </xdr:cNvPr>
          <xdr:cNvSpPr/>
        </xdr:nvSpPr>
        <xdr:spPr>
          <a:xfrm>
            <a:off x="7539037" y="85061425"/>
            <a:ext cx="146050" cy="146050"/>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2491" name="Rectangle 2490">
            <a:extLst>
              <a:ext uri="{FF2B5EF4-FFF2-40B4-BE49-F238E27FC236}">
                <a16:creationId xmlns:a16="http://schemas.microsoft.com/office/drawing/2014/main" id="{03843FAF-A1F3-5F13-EDBB-12EA7165CEBF}"/>
              </a:ext>
            </a:extLst>
          </xdr:cNvPr>
          <xdr:cNvSpPr/>
        </xdr:nvSpPr>
        <xdr:spPr>
          <a:xfrm>
            <a:off x="7539037" y="85775800"/>
            <a:ext cx="146050" cy="146050"/>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2492" name="Rectangle 2491">
            <a:extLst>
              <a:ext uri="{FF2B5EF4-FFF2-40B4-BE49-F238E27FC236}">
                <a16:creationId xmlns:a16="http://schemas.microsoft.com/office/drawing/2014/main" id="{F0D7C53B-2A26-A2F7-67B6-34F978EB15C3}"/>
              </a:ext>
            </a:extLst>
          </xdr:cNvPr>
          <xdr:cNvSpPr/>
        </xdr:nvSpPr>
        <xdr:spPr>
          <a:xfrm>
            <a:off x="3652837" y="85775800"/>
            <a:ext cx="146050" cy="146050"/>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2493" name="Rectangle 2492">
            <a:extLst>
              <a:ext uri="{FF2B5EF4-FFF2-40B4-BE49-F238E27FC236}">
                <a16:creationId xmlns:a16="http://schemas.microsoft.com/office/drawing/2014/main" id="{B426FD98-4FFD-CD64-9B63-EF3573ECCD84}"/>
              </a:ext>
            </a:extLst>
          </xdr:cNvPr>
          <xdr:cNvSpPr/>
        </xdr:nvSpPr>
        <xdr:spPr>
          <a:xfrm>
            <a:off x="6243617" y="86491773"/>
            <a:ext cx="146050" cy="146050"/>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2494" name="Rectangle 2493">
            <a:extLst>
              <a:ext uri="{FF2B5EF4-FFF2-40B4-BE49-F238E27FC236}">
                <a16:creationId xmlns:a16="http://schemas.microsoft.com/office/drawing/2014/main" id="{F9B4BC3B-B1C9-9504-1552-8D89CB2A797C}"/>
              </a:ext>
            </a:extLst>
          </xdr:cNvPr>
          <xdr:cNvSpPr/>
        </xdr:nvSpPr>
        <xdr:spPr>
          <a:xfrm>
            <a:off x="7539037" y="86490175"/>
            <a:ext cx="146050" cy="146050"/>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2495" name="Rectangle 2494">
            <a:extLst>
              <a:ext uri="{FF2B5EF4-FFF2-40B4-BE49-F238E27FC236}">
                <a16:creationId xmlns:a16="http://schemas.microsoft.com/office/drawing/2014/main" id="{C88EC1DC-8143-6E6B-4B9A-CCCB6F0ED9B2}"/>
              </a:ext>
            </a:extLst>
          </xdr:cNvPr>
          <xdr:cNvSpPr/>
        </xdr:nvSpPr>
        <xdr:spPr>
          <a:xfrm>
            <a:off x="4948220" y="86491773"/>
            <a:ext cx="146050" cy="146050"/>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2496" name="Rectangle 2495">
            <a:extLst>
              <a:ext uri="{FF2B5EF4-FFF2-40B4-BE49-F238E27FC236}">
                <a16:creationId xmlns:a16="http://schemas.microsoft.com/office/drawing/2014/main" id="{858C5A91-4EF4-CB26-3168-8FCA03B110D4}"/>
              </a:ext>
            </a:extLst>
          </xdr:cNvPr>
          <xdr:cNvSpPr/>
        </xdr:nvSpPr>
        <xdr:spPr>
          <a:xfrm>
            <a:off x="4073516" y="86493362"/>
            <a:ext cx="146050" cy="146050"/>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2497" name="Rectangle 2496">
            <a:extLst>
              <a:ext uri="{FF2B5EF4-FFF2-40B4-BE49-F238E27FC236}">
                <a16:creationId xmlns:a16="http://schemas.microsoft.com/office/drawing/2014/main" id="{099B2EB5-900F-E18E-975D-682F2CB405CD}"/>
              </a:ext>
            </a:extLst>
          </xdr:cNvPr>
          <xdr:cNvSpPr/>
        </xdr:nvSpPr>
        <xdr:spPr>
          <a:xfrm>
            <a:off x="4511666" y="86493364"/>
            <a:ext cx="146050" cy="146050"/>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2498" name="Rectangle 2497">
            <a:extLst>
              <a:ext uri="{FF2B5EF4-FFF2-40B4-BE49-F238E27FC236}">
                <a16:creationId xmlns:a16="http://schemas.microsoft.com/office/drawing/2014/main" id="{0AE858D1-B121-E18D-3761-6B7A7F648A2E}"/>
              </a:ext>
            </a:extLst>
          </xdr:cNvPr>
          <xdr:cNvSpPr/>
        </xdr:nvSpPr>
        <xdr:spPr>
          <a:xfrm>
            <a:off x="6683365" y="86493360"/>
            <a:ext cx="146050" cy="146050"/>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2499" name="Rectangle 2498">
            <a:extLst>
              <a:ext uri="{FF2B5EF4-FFF2-40B4-BE49-F238E27FC236}">
                <a16:creationId xmlns:a16="http://schemas.microsoft.com/office/drawing/2014/main" id="{BA44D0D4-F044-7340-6860-4C76F4BEE84F}"/>
              </a:ext>
            </a:extLst>
          </xdr:cNvPr>
          <xdr:cNvSpPr/>
        </xdr:nvSpPr>
        <xdr:spPr>
          <a:xfrm>
            <a:off x="7121515" y="86493362"/>
            <a:ext cx="146050" cy="146050"/>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2500" name="Rectangle 2499">
            <a:extLst>
              <a:ext uri="{FF2B5EF4-FFF2-40B4-BE49-F238E27FC236}">
                <a16:creationId xmlns:a16="http://schemas.microsoft.com/office/drawing/2014/main" id="{A1BC1D1F-0257-4141-6180-BCEE04F3E147}"/>
              </a:ext>
            </a:extLst>
          </xdr:cNvPr>
          <xdr:cNvSpPr/>
        </xdr:nvSpPr>
        <xdr:spPr>
          <a:xfrm>
            <a:off x="3652837" y="86490175"/>
            <a:ext cx="146050" cy="146050"/>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2501" name="Rectangle 2500">
            <a:extLst>
              <a:ext uri="{FF2B5EF4-FFF2-40B4-BE49-F238E27FC236}">
                <a16:creationId xmlns:a16="http://schemas.microsoft.com/office/drawing/2014/main" id="{DAFA7F1E-D642-DA9F-830C-3C8646968B7E}"/>
              </a:ext>
            </a:extLst>
          </xdr:cNvPr>
          <xdr:cNvSpPr/>
        </xdr:nvSpPr>
        <xdr:spPr>
          <a:xfrm>
            <a:off x="3724275" y="81562575"/>
            <a:ext cx="3886200" cy="5000625"/>
          </a:xfrm>
          <a:prstGeom prst="rect">
            <a:avLst/>
          </a:prstGeom>
          <a:noFill/>
          <a:ln w="6350">
            <a:prstDash val="dashDot"/>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kern="1200"/>
          </a:p>
        </xdr:txBody>
      </xdr:sp>
      <xdr:cxnSp macro="">
        <xdr:nvCxnSpPr>
          <xdr:cNvPr id="2502" name="Straight Connector 2501">
            <a:extLst>
              <a:ext uri="{FF2B5EF4-FFF2-40B4-BE49-F238E27FC236}">
                <a16:creationId xmlns:a16="http://schemas.microsoft.com/office/drawing/2014/main" id="{A6B6072C-C5E5-A15B-4EDF-B01FA10096AA}"/>
              </a:ext>
            </a:extLst>
          </xdr:cNvPr>
          <xdr:cNvCxnSpPr/>
        </xdr:nvCxnSpPr>
        <xdr:spPr>
          <a:xfrm>
            <a:off x="3724275" y="82276950"/>
            <a:ext cx="3886200" cy="0"/>
          </a:xfrm>
          <a:prstGeom prst="line">
            <a:avLst/>
          </a:prstGeom>
          <a:noFill/>
          <a:ln w="6350">
            <a:prstDash val="dashDot"/>
          </a:ln>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2503" name="Straight Connector 2502">
            <a:extLst>
              <a:ext uri="{FF2B5EF4-FFF2-40B4-BE49-F238E27FC236}">
                <a16:creationId xmlns:a16="http://schemas.microsoft.com/office/drawing/2014/main" id="{D1ACFCAA-D808-C184-015C-58D2F6C60FCF}"/>
              </a:ext>
            </a:extLst>
          </xdr:cNvPr>
          <xdr:cNvCxnSpPr/>
        </xdr:nvCxnSpPr>
        <xdr:spPr>
          <a:xfrm>
            <a:off x="4143375" y="81562575"/>
            <a:ext cx="0" cy="5000625"/>
          </a:xfrm>
          <a:prstGeom prst="line">
            <a:avLst/>
          </a:prstGeom>
          <a:noFill/>
          <a:ln w="6350">
            <a:prstDash val="dashDot"/>
          </a:ln>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2504" name="Straight Connector 2503">
            <a:extLst>
              <a:ext uri="{FF2B5EF4-FFF2-40B4-BE49-F238E27FC236}">
                <a16:creationId xmlns:a16="http://schemas.microsoft.com/office/drawing/2014/main" id="{38E61A78-E337-8C2F-6E54-D3A77775879D}"/>
              </a:ext>
            </a:extLst>
          </xdr:cNvPr>
          <xdr:cNvCxnSpPr/>
        </xdr:nvCxnSpPr>
        <xdr:spPr>
          <a:xfrm>
            <a:off x="4581525" y="81562575"/>
            <a:ext cx="0" cy="5000625"/>
          </a:xfrm>
          <a:prstGeom prst="line">
            <a:avLst/>
          </a:prstGeom>
          <a:noFill/>
          <a:ln w="6350">
            <a:prstDash val="dashDot"/>
          </a:ln>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2505" name="Straight Connector 2504">
            <a:extLst>
              <a:ext uri="{FF2B5EF4-FFF2-40B4-BE49-F238E27FC236}">
                <a16:creationId xmlns:a16="http://schemas.microsoft.com/office/drawing/2014/main" id="{2F6685B6-84EE-24EB-76FF-1F0A16FD4D13}"/>
              </a:ext>
            </a:extLst>
          </xdr:cNvPr>
          <xdr:cNvCxnSpPr/>
        </xdr:nvCxnSpPr>
        <xdr:spPr>
          <a:xfrm>
            <a:off x="5019675" y="81562575"/>
            <a:ext cx="0" cy="5000625"/>
          </a:xfrm>
          <a:prstGeom prst="line">
            <a:avLst/>
          </a:prstGeom>
          <a:noFill/>
          <a:ln w="6350">
            <a:prstDash val="dashDot"/>
          </a:ln>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2506" name="Straight Connector 2505">
            <a:extLst>
              <a:ext uri="{FF2B5EF4-FFF2-40B4-BE49-F238E27FC236}">
                <a16:creationId xmlns:a16="http://schemas.microsoft.com/office/drawing/2014/main" id="{A31D5825-3D38-1DE3-9A8F-99D905BBC89F}"/>
              </a:ext>
            </a:extLst>
          </xdr:cNvPr>
          <xdr:cNvCxnSpPr/>
        </xdr:nvCxnSpPr>
        <xdr:spPr>
          <a:xfrm>
            <a:off x="6315075" y="81567337"/>
            <a:ext cx="0" cy="5000625"/>
          </a:xfrm>
          <a:prstGeom prst="line">
            <a:avLst/>
          </a:prstGeom>
          <a:noFill/>
          <a:ln w="6350">
            <a:prstDash val="dashDot"/>
          </a:ln>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2507" name="Straight Connector 2506">
            <a:extLst>
              <a:ext uri="{FF2B5EF4-FFF2-40B4-BE49-F238E27FC236}">
                <a16:creationId xmlns:a16="http://schemas.microsoft.com/office/drawing/2014/main" id="{35FE2C6A-0531-9912-E1FC-C6A46D8A9B7B}"/>
              </a:ext>
            </a:extLst>
          </xdr:cNvPr>
          <xdr:cNvCxnSpPr/>
        </xdr:nvCxnSpPr>
        <xdr:spPr>
          <a:xfrm>
            <a:off x="6753225" y="81562575"/>
            <a:ext cx="0" cy="5000625"/>
          </a:xfrm>
          <a:prstGeom prst="line">
            <a:avLst/>
          </a:prstGeom>
          <a:noFill/>
          <a:ln w="6350">
            <a:prstDash val="dashDot"/>
          </a:ln>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2508" name="Straight Connector 2507">
            <a:extLst>
              <a:ext uri="{FF2B5EF4-FFF2-40B4-BE49-F238E27FC236}">
                <a16:creationId xmlns:a16="http://schemas.microsoft.com/office/drawing/2014/main" id="{C480132F-AF99-7131-893B-1769FBB5A816}"/>
              </a:ext>
            </a:extLst>
          </xdr:cNvPr>
          <xdr:cNvCxnSpPr/>
        </xdr:nvCxnSpPr>
        <xdr:spPr>
          <a:xfrm>
            <a:off x="7191375" y="81562575"/>
            <a:ext cx="0" cy="5000625"/>
          </a:xfrm>
          <a:prstGeom prst="line">
            <a:avLst/>
          </a:prstGeom>
          <a:noFill/>
          <a:ln w="6350">
            <a:prstDash val="dashDot"/>
          </a:ln>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2509" name="Straight Connector 2508">
            <a:extLst>
              <a:ext uri="{FF2B5EF4-FFF2-40B4-BE49-F238E27FC236}">
                <a16:creationId xmlns:a16="http://schemas.microsoft.com/office/drawing/2014/main" id="{3570BBA3-A85D-CCBD-696C-013F3F6467B3}"/>
              </a:ext>
            </a:extLst>
          </xdr:cNvPr>
          <xdr:cNvCxnSpPr/>
        </xdr:nvCxnSpPr>
        <xdr:spPr>
          <a:xfrm>
            <a:off x="3724275" y="82991325"/>
            <a:ext cx="3886200" cy="0"/>
          </a:xfrm>
          <a:prstGeom prst="line">
            <a:avLst/>
          </a:prstGeom>
          <a:noFill/>
          <a:ln w="6350">
            <a:prstDash val="dashDot"/>
          </a:ln>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2510" name="Straight Connector 2509">
            <a:extLst>
              <a:ext uri="{FF2B5EF4-FFF2-40B4-BE49-F238E27FC236}">
                <a16:creationId xmlns:a16="http://schemas.microsoft.com/office/drawing/2014/main" id="{C63C7722-3F85-AFDE-C6F3-B04102062AC7}"/>
              </a:ext>
            </a:extLst>
          </xdr:cNvPr>
          <xdr:cNvCxnSpPr/>
        </xdr:nvCxnSpPr>
        <xdr:spPr>
          <a:xfrm>
            <a:off x="3733800" y="83705700"/>
            <a:ext cx="3886200" cy="0"/>
          </a:xfrm>
          <a:prstGeom prst="line">
            <a:avLst/>
          </a:prstGeom>
          <a:noFill/>
          <a:ln w="6350">
            <a:prstDash val="dashDot"/>
          </a:ln>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2511" name="Straight Connector 2510">
            <a:extLst>
              <a:ext uri="{FF2B5EF4-FFF2-40B4-BE49-F238E27FC236}">
                <a16:creationId xmlns:a16="http://schemas.microsoft.com/office/drawing/2014/main" id="{6DDD91CF-773A-DB10-2A30-5C87658A96E4}"/>
              </a:ext>
            </a:extLst>
          </xdr:cNvPr>
          <xdr:cNvCxnSpPr/>
        </xdr:nvCxnSpPr>
        <xdr:spPr>
          <a:xfrm>
            <a:off x="3724275" y="84420075"/>
            <a:ext cx="3886200" cy="0"/>
          </a:xfrm>
          <a:prstGeom prst="line">
            <a:avLst/>
          </a:prstGeom>
          <a:noFill/>
          <a:ln w="6350">
            <a:prstDash val="dashDot"/>
          </a:ln>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2512" name="Straight Connector 2511">
            <a:extLst>
              <a:ext uri="{FF2B5EF4-FFF2-40B4-BE49-F238E27FC236}">
                <a16:creationId xmlns:a16="http://schemas.microsoft.com/office/drawing/2014/main" id="{75F369EA-CB98-3B20-09CF-EBCF9E8CA802}"/>
              </a:ext>
            </a:extLst>
          </xdr:cNvPr>
          <xdr:cNvCxnSpPr/>
        </xdr:nvCxnSpPr>
        <xdr:spPr>
          <a:xfrm>
            <a:off x="3724275" y="85134450"/>
            <a:ext cx="3886200" cy="0"/>
          </a:xfrm>
          <a:prstGeom prst="line">
            <a:avLst/>
          </a:prstGeom>
          <a:noFill/>
          <a:ln w="6350">
            <a:prstDash val="dashDot"/>
          </a:ln>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2513" name="Straight Connector 2512">
            <a:extLst>
              <a:ext uri="{FF2B5EF4-FFF2-40B4-BE49-F238E27FC236}">
                <a16:creationId xmlns:a16="http://schemas.microsoft.com/office/drawing/2014/main" id="{AFDCDD61-6F00-32B4-6DC4-FEDC8204F4E7}"/>
              </a:ext>
            </a:extLst>
          </xdr:cNvPr>
          <xdr:cNvCxnSpPr/>
        </xdr:nvCxnSpPr>
        <xdr:spPr>
          <a:xfrm>
            <a:off x="3733800" y="85848825"/>
            <a:ext cx="3886200" cy="0"/>
          </a:xfrm>
          <a:prstGeom prst="line">
            <a:avLst/>
          </a:prstGeom>
          <a:noFill/>
          <a:ln w="6350">
            <a:prstDash val="dashDot"/>
          </a:ln>
        </xdr:spPr>
        <xdr:style>
          <a:lnRef idx="2">
            <a:schemeClr val="accent1">
              <a:shade val="15000"/>
            </a:schemeClr>
          </a:lnRef>
          <a:fillRef idx="1">
            <a:schemeClr val="accent1"/>
          </a:fillRef>
          <a:effectRef idx="0">
            <a:schemeClr val="accent1"/>
          </a:effectRef>
          <a:fontRef idx="minor">
            <a:schemeClr val="lt1"/>
          </a:fontRef>
        </xdr:style>
      </xdr:cxnSp>
    </xdr:grpSp>
    <xdr:clientData/>
  </xdr:twoCellAnchor>
  <xdr:twoCellAnchor>
    <xdr:from>
      <xdr:col>1</xdr:col>
      <xdr:colOff>152400</xdr:colOff>
      <xdr:row>84</xdr:row>
      <xdr:rowOff>80963</xdr:rowOff>
    </xdr:from>
    <xdr:to>
      <xdr:col>18</xdr:col>
      <xdr:colOff>61913</xdr:colOff>
      <xdr:row>98</xdr:row>
      <xdr:rowOff>76200</xdr:rowOff>
    </xdr:to>
    <xdr:grpSp>
      <xdr:nvGrpSpPr>
        <xdr:cNvPr id="2522" name="Group 2521">
          <a:extLst>
            <a:ext uri="{FF2B5EF4-FFF2-40B4-BE49-F238E27FC236}">
              <a16:creationId xmlns:a16="http://schemas.microsoft.com/office/drawing/2014/main" id="{DED22115-BABD-7525-BD99-B4600F1F0519}"/>
            </a:ext>
          </a:extLst>
        </xdr:cNvPr>
        <xdr:cNvGrpSpPr/>
      </xdr:nvGrpSpPr>
      <xdr:grpSpPr>
        <a:xfrm>
          <a:off x="314325" y="12463463"/>
          <a:ext cx="2662238" cy="1995487"/>
          <a:chOff x="314325" y="12463463"/>
          <a:chExt cx="2662238" cy="1995487"/>
        </a:xfrm>
      </xdr:grpSpPr>
      <xdr:sp macro="" textlink="">
        <xdr:nvSpPr>
          <xdr:cNvPr id="2398" name="Rectangle 2397">
            <a:extLst>
              <a:ext uri="{FF2B5EF4-FFF2-40B4-BE49-F238E27FC236}">
                <a16:creationId xmlns:a16="http://schemas.microsoft.com/office/drawing/2014/main" id="{A459E6C5-70DA-2DAB-286A-F7D58B4E7D46}"/>
              </a:ext>
            </a:extLst>
          </xdr:cNvPr>
          <xdr:cNvSpPr/>
        </xdr:nvSpPr>
        <xdr:spPr>
          <a:xfrm>
            <a:off x="319088" y="12954000"/>
            <a:ext cx="1138237" cy="1143000"/>
          </a:xfrm>
          <a:prstGeom prst="rect">
            <a:avLst/>
          </a:prstGeom>
          <a:blipFill>
            <a:blip xmlns:r="http://schemas.openxmlformats.org/officeDocument/2006/relationships" r:embed="rId1"/>
            <a:tile tx="0" ty="0" sx="100000" sy="100000" flip="none" algn="tl"/>
          </a:blip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kern="1200"/>
          </a:p>
        </xdr:txBody>
      </xdr:sp>
      <xdr:grpSp>
        <xdr:nvGrpSpPr>
          <xdr:cNvPr id="2399" name="Group 2398">
            <a:extLst>
              <a:ext uri="{FF2B5EF4-FFF2-40B4-BE49-F238E27FC236}">
                <a16:creationId xmlns:a16="http://schemas.microsoft.com/office/drawing/2014/main" id="{C373BAE5-72C6-B9F2-8F7A-A90A6D249375}"/>
              </a:ext>
            </a:extLst>
          </xdr:cNvPr>
          <xdr:cNvGrpSpPr/>
        </xdr:nvGrpSpPr>
        <xdr:grpSpPr>
          <a:xfrm>
            <a:off x="966788" y="12954000"/>
            <a:ext cx="1624011" cy="1143000"/>
            <a:chOff x="966788" y="79276575"/>
            <a:chExt cx="1624011" cy="1143000"/>
          </a:xfrm>
          <a:blipFill>
            <a:blip xmlns:r="http://schemas.openxmlformats.org/officeDocument/2006/relationships" r:embed="rId1"/>
            <a:tile tx="0" ty="0" sx="100000" sy="100000" flip="none" algn="tl"/>
          </a:blipFill>
        </xdr:grpSpPr>
        <xdr:sp macro="" textlink="">
          <xdr:nvSpPr>
            <xdr:cNvPr id="2434" name="Rectangle 2433">
              <a:extLst>
                <a:ext uri="{FF2B5EF4-FFF2-40B4-BE49-F238E27FC236}">
                  <a16:creationId xmlns:a16="http://schemas.microsoft.com/office/drawing/2014/main" id="{26AA5E15-07BE-C76C-5C79-0413868E619B}"/>
                </a:ext>
              </a:extLst>
            </xdr:cNvPr>
            <xdr:cNvSpPr/>
          </xdr:nvSpPr>
          <xdr:spPr>
            <a:xfrm>
              <a:off x="1457325" y="79276575"/>
              <a:ext cx="642938" cy="719138"/>
            </a:xfrm>
            <a:prstGeom prst="rect">
              <a:avLst/>
            </a:prstGeom>
            <a:grp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kern="1200"/>
            </a:p>
          </xdr:txBody>
        </xdr:sp>
        <xdr:sp macro="" textlink="">
          <xdr:nvSpPr>
            <xdr:cNvPr id="2435" name="Rectangle 2434">
              <a:extLst>
                <a:ext uri="{FF2B5EF4-FFF2-40B4-BE49-F238E27FC236}">
                  <a16:creationId xmlns:a16="http://schemas.microsoft.com/office/drawing/2014/main" id="{0C71D91D-A760-2B61-7A74-8DBB10F4BB46}"/>
                </a:ext>
              </a:extLst>
            </xdr:cNvPr>
            <xdr:cNvSpPr/>
          </xdr:nvSpPr>
          <xdr:spPr>
            <a:xfrm>
              <a:off x="966788" y="79995714"/>
              <a:ext cx="1624011" cy="423861"/>
            </a:xfrm>
            <a:prstGeom prst="rect">
              <a:avLst/>
            </a:prstGeom>
            <a:grp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kern="1200"/>
            </a:p>
          </xdr:txBody>
        </xdr:sp>
      </xdr:grpSp>
      <xdr:cxnSp macro="">
        <xdr:nvCxnSpPr>
          <xdr:cNvPr id="2400" name="Straight Connector 2399">
            <a:extLst>
              <a:ext uri="{FF2B5EF4-FFF2-40B4-BE49-F238E27FC236}">
                <a16:creationId xmlns:a16="http://schemas.microsoft.com/office/drawing/2014/main" id="{8CA0DFBE-285D-5223-FEE0-788D32FDF60C}"/>
              </a:ext>
            </a:extLst>
          </xdr:cNvPr>
          <xdr:cNvCxnSpPr/>
        </xdr:nvCxnSpPr>
        <xdr:spPr>
          <a:xfrm>
            <a:off x="2914652" y="12873035"/>
            <a:ext cx="0" cy="128587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401" name="Straight Connector 2400">
            <a:extLst>
              <a:ext uri="{FF2B5EF4-FFF2-40B4-BE49-F238E27FC236}">
                <a16:creationId xmlns:a16="http://schemas.microsoft.com/office/drawing/2014/main" id="{BF09D38E-1EEE-9EC0-30D7-CBAD948747AD}"/>
              </a:ext>
            </a:extLst>
          </xdr:cNvPr>
          <xdr:cNvCxnSpPr/>
        </xdr:nvCxnSpPr>
        <xdr:spPr>
          <a:xfrm>
            <a:off x="2176461" y="12954001"/>
            <a:ext cx="800102"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402" name="Straight Connector 2401">
            <a:extLst>
              <a:ext uri="{FF2B5EF4-FFF2-40B4-BE49-F238E27FC236}">
                <a16:creationId xmlns:a16="http://schemas.microsoft.com/office/drawing/2014/main" id="{F0BA7CB7-6A31-77E6-F436-97C094B639FB}"/>
              </a:ext>
            </a:extLst>
          </xdr:cNvPr>
          <xdr:cNvCxnSpPr/>
        </xdr:nvCxnSpPr>
        <xdr:spPr>
          <a:xfrm flipH="1">
            <a:off x="2876550" y="12920663"/>
            <a:ext cx="76200" cy="762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403" name="Straight Connector 2402">
            <a:extLst>
              <a:ext uri="{FF2B5EF4-FFF2-40B4-BE49-F238E27FC236}">
                <a16:creationId xmlns:a16="http://schemas.microsoft.com/office/drawing/2014/main" id="{332F2907-5E5C-9037-9C82-96489FE1F4EE}"/>
              </a:ext>
            </a:extLst>
          </xdr:cNvPr>
          <xdr:cNvCxnSpPr/>
        </xdr:nvCxnSpPr>
        <xdr:spPr>
          <a:xfrm>
            <a:off x="2676525" y="13668377"/>
            <a:ext cx="2952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404" name="Straight Connector 2403">
            <a:extLst>
              <a:ext uri="{FF2B5EF4-FFF2-40B4-BE49-F238E27FC236}">
                <a16:creationId xmlns:a16="http://schemas.microsoft.com/office/drawing/2014/main" id="{810695F5-FE57-9D5E-AC64-AD7D4BF560A8}"/>
              </a:ext>
            </a:extLst>
          </xdr:cNvPr>
          <xdr:cNvCxnSpPr/>
        </xdr:nvCxnSpPr>
        <xdr:spPr>
          <a:xfrm flipH="1">
            <a:off x="2871785" y="13635039"/>
            <a:ext cx="76200" cy="762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405" name="Straight Connector 2404">
            <a:extLst>
              <a:ext uri="{FF2B5EF4-FFF2-40B4-BE49-F238E27FC236}">
                <a16:creationId xmlns:a16="http://schemas.microsoft.com/office/drawing/2014/main" id="{B54EA74E-C15F-82EF-9553-39A38D5565E5}"/>
              </a:ext>
            </a:extLst>
          </xdr:cNvPr>
          <xdr:cNvCxnSpPr/>
        </xdr:nvCxnSpPr>
        <xdr:spPr>
          <a:xfrm>
            <a:off x="2676525" y="14097002"/>
            <a:ext cx="2952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406" name="Straight Connector 2405">
            <a:extLst>
              <a:ext uri="{FF2B5EF4-FFF2-40B4-BE49-F238E27FC236}">
                <a16:creationId xmlns:a16="http://schemas.microsoft.com/office/drawing/2014/main" id="{00E9BD6B-C0D9-EEB6-FED7-C94AD7AFDAA5}"/>
              </a:ext>
            </a:extLst>
          </xdr:cNvPr>
          <xdr:cNvCxnSpPr/>
        </xdr:nvCxnSpPr>
        <xdr:spPr>
          <a:xfrm flipH="1">
            <a:off x="2871785" y="14063664"/>
            <a:ext cx="76200" cy="762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407" name="Straight Connector 2406">
            <a:extLst>
              <a:ext uri="{FF2B5EF4-FFF2-40B4-BE49-F238E27FC236}">
                <a16:creationId xmlns:a16="http://schemas.microsoft.com/office/drawing/2014/main" id="{98AC307C-3D51-9F0E-C9E2-D15015D404D3}"/>
              </a:ext>
            </a:extLst>
          </xdr:cNvPr>
          <xdr:cNvCxnSpPr/>
        </xdr:nvCxnSpPr>
        <xdr:spPr>
          <a:xfrm>
            <a:off x="971550" y="14168438"/>
            <a:ext cx="0" cy="29051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408" name="Straight Connector 2407">
            <a:extLst>
              <a:ext uri="{FF2B5EF4-FFF2-40B4-BE49-F238E27FC236}">
                <a16:creationId xmlns:a16="http://schemas.microsoft.com/office/drawing/2014/main" id="{4CCDED32-F049-716F-BC06-ACD538470473}"/>
              </a:ext>
            </a:extLst>
          </xdr:cNvPr>
          <xdr:cNvCxnSpPr/>
        </xdr:nvCxnSpPr>
        <xdr:spPr>
          <a:xfrm>
            <a:off x="900112" y="14382751"/>
            <a:ext cx="17430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409" name="Straight Connector 2408">
            <a:extLst>
              <a:ext uri="{FF2B5EF4-FFF2-40B4-BE49-F238E27FC236}">
                <a16:creationId xmlns:a16="http://schemas.microsoft.com/office/drawing/2014/main" id="{C205B6A0-28E0-055A-33FA-910B1B43887A}"/>
              </a:ext>
            </a:extLst>
          </xdr:cNvPr>
          <xdr:cNvCxnSpPr/>
        </xdr:nvCxnSpPr>
        <xdr:spPr>
          <a:xfrm flipH="1">
            <a:off x="933448" y="14344650"/>
            <a:ext cx="76200" cy="762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410" name="Straight Connector 2409">
            <a:extLst>
              <a:ext uri="{FF2B5EF4-FFF2-40B4-BE49-F238E27FC236}">
                <a16:creationId xmlns:a16="http://schemas.microsoft.com/office/drawing/2014/main" id="{80CA755B-E010-96B7-316B-A3AFFF29576F}"/>
              </a:ext>
            </a:extLst>
          </xdr:cNvPr>
          <xdr:cNvCxnSpPr/>
        </xdr:nvCxnSpPr>
        <xdr:spPr>
          <a:xfrm>
            <a:off x="2590800" y="14168438"/>
            <a:ext cx="0" cy="29051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411" name="Straight Connector 2410">
            <a:extLst>
              <a:ext uri="{FF2B5EF4-FFF2-40B4-BE49-F238E27FC236}">
                <a16:creationId xmlns:a16="http://schemas.microsoft.com/office/drawing/2014/main" id="{0C10F8A1-F8FC-A5FA-AE40-F5C3766CE0CE}"/>
              </a:ext>
            </a:extLst>
          </xdr:cNvPr>
          <xdr:cNvCxnSpPr/>
        </xdr:nvCxnSpPr>
        <xdr:spPr>
          <a:xfrm flipH="1">
            <a:off x="2552698" y="14344650"/>
            <a:ext cx="76200" cy="762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412" name="Straight Connector 2411">
            <a:extLst>
              <a:ext uri="{FF2B5EF4-FFF2-40B4-BE49-F238E27FC236}">
                <a16:creationId xmlns:a16="http://schemas.microsoft.com/office/drawing/2014/main" id="{5C550589-284A-C3B2-35F2-F55CF1AA0A78}"/>
              </a:ext>
            </a:extLst>
          </xdr:cNvPr>
          <xdr:cNvCxnSpPr/>
        </xdr:nvCxnSpPr>
        <xdr:spPr>
          <a:xfrm>
            <a:off x="319088" y="12877800"/>
            <a:ext cx="0" cy="1343025"/>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2413" name="Straight Connector 2412">
            <a:extLst>
              <a:ext uri="{FF2B5EF4-FFF2-40B4-BE49-F238E27FC236}">
                <a16:creationId xmlns:a16="http://schemas.microsoft.com/office/drawing/2014/main" id="{FB8AF000-DBB2-7CB7-C264-7F8B4AA881D4}"/>
              </a:ext>
            </a:extLst>
          </xdr:cNvPr>
          <xdr:cNvCxnSpPr/>
        </xdr:nvCxnSpPr>
        <xdr:spPr>
          <a:xfrm flipV="1">
            <a:off x="1819275" y="12668250"/>
            <a:ext cx="714375" cy="676275"/>
          </a:xfrm>
          <a:prstGeom prst="line">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414" name="Straight Connector 2413">
            <a:extLst>
              <a:ext uri="{FF2B5EF4-FFF2-40B4-BE49-F238E27FC236}">
                <a16:creationId xmlns:a16="http://schemas.microsoft.com/office/drawing/2014/main" id="{D5CD4458-80BF-BB25-7D04-6F9481DCBF06}"/>
              </a:ext>
            </a:extLst>
          </xdr:cNvPr>
          <xdr:cNvCxnSpPr/>
        </xdr:nvCxnSpPr>
        <xdr:spPr>
          <a:xfrm flipV="1">
            <a:off x="2085975" y="13535025"/>
            <a:ext cx="457200" cy="390525"/>
          </a:xfrm>
          <a:prstGeom prst="line">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415" name="Straight Connector 2414">
            <a:extLst>
              <a:ext uri="{FF2B5EF4-FFF2-40B4-BE49-F238E27FC236}">
                <a16:creationId xmlns:a16="http://schemas.microsoft.com/office/drawing/2014/main" id="{B05942C6-2B20-98D2-7C17-B0E4E646AA46}"/>
              </a:ext>
            </a:extLst>
          </xdr:cNvPr>
          <xdr:cNvCxnSpPr/>
        </xdr:nvCxnSpPr>
        <xdr:spPr>
          <a:xfrm flipV="1">
            <a:off x="895350" y="12787313"/>
            <a:ext cx="314325" cy="523875"/>
          </a:xfrm>
          <a:prstGeom prst="line">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416" name="Straight Connector 2415">
            <a:extLst>
              <a:ext uri="{FF2B5EF4-FFF2-40B4-BE49-F238E27FC236}">
                <a16:creationId xmlns:a16="http://schemas.microsoft.com/office/drawing/2014/main" id="{B9139791-1D58-4E05-6AEC-66E0D8D460F8}"/>
              </a:ext>
            </a:extLst>
          </xdr:cNvPr>
          <xdr:cNvCxnSpPr/>
        </xdr:nvCxnSpPr>
        <xdr:spPr>
          <a:xfrm>
            <a:off x="314325" y="13101638"/>
            <a:ext cx="1143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417" name="Straight Connector 2416">
            <a:extLst>
              <a:ext uri="{FF2B5EF4-FFF2-40B4-BE49-F238E27FC236}">
                <a16:creationId xmlns:a16="http://schemas.microsoft.com/office/drawing/2014/main" id="{81DF3FE4-D674-817D-1070-BB0835EFF731}"/>
              </a:ext>
            </a:extLst>
          </xdr:cNvPr>
          <xdr:cNvCxnSpPr/>
        </xdr:nvCxnSpPr>
        <xdr:spPr>
          <a:xfrm>
            <a:off x="847725" y="12677775"/>
            <a:ext cx="57150" cy="390525"/>
          </a:xfrm>
          <a:prstGeom prst="line">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418" name="Straight Connector 2417">
            <a:extLst>
              <a:ext uri="{FF2B5EF4-FFF2-40B4-BE49-F238E27FC236}">
                <a16:creationId xmlns:a16="http://schemas.microsoft.com/office/drawing/2014/main" id="{BD3B8D28-3E4B-1BAC-B322-DFF81E2BC84F}"/>
              </a:ext>
            </a:extLst>
          </xdr:cNvPr>
          <xdr:cNvCxnSpPr/>
        </xdr:nvCxnSpPr>
        <xdr:spPr>
          <a:xfrm>
            <a:off x="647700" y="12892088"/>
            <a:ext cx="0" cy="27146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419" name="Straight Connector 2418">
            <a:extLst>
              <a:ext uri="{FF2B5EF4-FFF2-40B4-BE49-F238E27FC236}">
                <a16:creationId xmlns:a16="http://schemas.microsoft.com/office/drawing/2014/main" id="{19B6B775-D8FA-1E96-CBE7-5FB1DA7B2687}"/>
              </a:ext>
            </a:extLst>
          </xdr:cNvPr>
          <xdr:cNvCxnSpPr/>
        </xdr:nvCxnSpPr>
        <xdr:spPr>
          <a:xfrm flipH="1">
            <a:off x="614362" y="12920661"/>
            <a:ext cx="76200" cy="762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420" name="Straight Connector 2419">
            <a:extLst>
              <a:ext uri="{FF2B5EF4-FFF2-40B4-BE49-F238E27FC236}">
                <a16:creationId xmlns:a16="http://schemas.microsoft.com/office/drawing/2014/main" id="{27FB4702-DC97-C81B-B18C-B6AFBFD65586}"/>
              </a:ext>
            </a:extLst>
          </xdr:cNvPr>
          <xdr:cNvCxnSpPr/>
        </xdr:nvCxnSpPr>
        <xdr:spPr>
          <a:xfrm flipH="1">
            <a:off x="609600" y="13063538"/>
            <a:ext cx="76200" cy="76200"/>
          </a:xfrm>
          <a:prstGeom prst="line">
            <a:avLst/>
          </a:prstGeom>
        </xdr:spPr>
        <xdr:style>
          <a:lnRef idx="1">
            <a:schemeClr val="accent1"/>
          </a:lnRef>
          <a:fillRef idx="0">
            <a:schemeClr val="accent1"/>
          </a:fillRef>
          <a:effectRef idx="0">
            <a:schemeClr val="accent1"/>
          </a:effectRef>
          <a:fontRef idx="minor">
            <a:schemeClr val="tx1"/>
          </a:fontRef>
        </xdr:style>
      </xdr:cxnSp>
      <xdr:sp macro="" textlink="">
        <xdr:nvSpPr>
          <xdr:cNvPr id="2421" name="Freeform: Shape 2420">
            <a:extLst>
              <a:ext uri="{FF2B5EF4-FFF2-40B4-BE49-F238E27FC236}">
                <a16:creationId xmlns:a16="http://schemas.microsoft.com/office/drawing/2014/main" id="{135BD879-2E95-F712-5235-3DB642345B3C}"/>
              </a:ext>
            </a:extLst>
          </xdr:cNvPr>
          <xdr:cNvSpPr/>
        </xdr:nvSpPr>
        <xdr:spPr>
          <a:xfrm>
            <a:off x="1019175" y="13720762"/>
            <a:ext cx="1519237" cy="319088"/>
          </a:xfrm>
          <a:custGeom>
            <a:avLst/>
            <a:gdLst>
              <a:gd name="connsiteX0" fmla="*/ 0 w 1519237"/>
              <a:gd name="connsiteY0" fmla="*/ 9525 h 319088"/>
              <a:gd name="connsiteX1" fmla="*/ 0 w 1519237"/>
              <a:gd name="connsiteY1" fmla="*/ 319088 h 319088"/>
              <a:gd name="connsiteX2" fmla="*/ 1519237 w 1519237"/>
              <a:gd name="connsiteY2" fmla="*/ 319088 h 319088"/>
              <a:gd name="connsiteX3" fmla="*/ 1519237 w 1519237"/>
              <a:gd name="connsiteY3" fmla="*/ 0 h 319088"/>
            </a:gdLst>
            <a:ahLst/>
            <a:cxnLst>
              <a:cxn ang="0">
                <a:pos x="connsiteX0" y="connsiteY0"/>
              </a:cxn>
              <a:cxn ang="0">
                <a:pos x="connsiteX1" y="connsiteY1"/>
              </a:cxn>
              <a:cxn ang="0">
                <a:pos x="connsiteX2" y="connsiteY2"/>
              </a:cxn>
              <a:cxn ang="0">
                <a:pos x="connsiteX3" y="connsiteY3"/>
              </a:cxn>
            </a:cxnLst>
            <a:rect l="l" t="t" r="r" b="b"/>
            <a:pathLst>
              <a:path w="1519237" h="319088">
                <a:moveTo>
                  <a:pt x="0" y="9525"/>
                </a:moveTo>
                <a:lnTo>
                  <a:pt x="0" y="319088"/>
                </a:lnTo>
                <a:lnTo>
                  <a:pt x="1519237" y="319088"/>
                </a:lnTo>
                <a:lnTo>
                  <a:pt x="1519237" y="0"/>
                </a:lnTo>
              </a:path>
            </a:pathLst>
          </a:cu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kern="1200"/>
          </a:p>
        </xdr:txBody>
      </xdr:sp>
      <xdr:cxnSp macro="">
        <xdr:nvCxnSpPr>
          <xdr:cNvPr id="2422" name="Straight Connector 2421">
            <a:extLst>
              <a:ext uri="{FF2B5EF4-FFF2-40B4-BE49-F238E27FC236}">
                <a16:creationId xmlns:a16="http://schemas.microsoft.com/office/drawing/2014/main" id="{FA2264F5-FC22-FBD5-4F17-7A0F1EC51131}"/>
              </a:ext>
            </a:extLst>
          </xdr:cNvPr>
          <xdr:cNvCxnSpPr/>
        </xdr:nvCxnSpPr>
        <xdr:spPr>
          <a:xfrm>
            <a:off x="328613" y="13011149"/>
            <a:ext cx="17526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2423" name="Oval 2422">
            <a:extLst>
              <a:ext uri="{FF2B5EF4-FFF2-40B4-BE49-F238E27FC236}">
                <a16:creationId xmlns:a16="http://schemas.microsoft.com/office/drawing/2014/main" id="{FFDFE81A-8C05-816D-0A67-17D9226CE58F}"/>
              </a:ext>
            </a:extLst>
          </xdr:cNvPr>
          <xdr:cNvSpPr/>
        </xdr:nvSpPr>
        <xdr:spPr>
          <a:xfrm>
            <a:off x="396241" y="13021626"/>
            <a:ext cx="45720" cy="45720"/>
          </a:xfrm>
          <a:prstGeom prst="ellipse">
            <a:avLst/>
          </a:prstGeom>
          <a:solidFill>
            <a:schemeClr val="tx1"/>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kern="1200"/>
          </a:p>
        </xdr:txBody>
      </xdr:sp>
      <xdr:sp macro="" textlink="">
        <xdr:nvSpPr>
          <xdr:cNvPr id="2424" name="Oval 2423">
            <a:extLst>
              <a:ext uri="{FF2B5EF4-FFF2-40B4-BE49-F238E27FC236}">
                <a16:creationId xmlns:a16="http://schemas.microsoft.com/office/drawing/2014/main" id="{72391098-54B2-5227-669F-BD76E5744EFE}"/>
              </a:ext>
            </a:extLst>
          </xdr:cNvPr>
          <xdr:cNvSpPr/>
        </xdr:nvSpPr>
        <xdr:spPr>
          <a:xfrm>
            <a:off x="748666" y="13021627"/>
            <a:ext cx="45720" cy="45720"/>
          </a:xfrm>
          <a:prstGeom prst="ellipse">
            <a:avLst/>
          </a:prstGeom>
          <a:solidFill>
            <a:schemeClr val="tx1"/>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kern="1200"/>
          </a:p>
        </xdr:txBody>
      </xdr:sp>
      <xdr:sp macro="" textlink="">
        <xdr:nvSpPr>
          <xdr:cNvPr id="2425" name="Oval 2424">
            <a:extLst>
              <a:ext uri="{FF2B5EF4-FFF2-40B4-BE49-F238E27FC236}">
                <a16:creationId xmlns:a16="http://schemas.microsoft.com/office/drawing/2014/main" id="{635949ED-05AA-6FFB-E062-9AA41B8E8E35}"/>
              </a:ext>
            </a:extLst>
          </xdr:cNvPr>
          <xdr:cNvSpPr/>
        </xdr:nvSpPr>
        <xdr:spPr>
          <a:xfrm>
            <a:off x="1267778" y="13021627"/>
            <a:ext cx="45720" cy="45720"/>
          </a:xfrm>
          <a:prstGeom prst="ellipse">
            <a:avLst/>
          </a:prstGeom>
          <a:solidFill>
            <a:schemeClr val="tx1"/>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kern="1200"/>
          </a:p>
        </xdr:txBody>
      </xdr:sp>
      <xdr:sp macro="" textlink="">
        <xdr:nvSpPr>
          <xdr:cNvPr id="2426" name="Oval 2425">
            <a:extLst>
              <a:ext uri="{FF2B5EF4-FFF2-40B4-BE49-F238E27FC236}">
                <a16:creationId xmlns:a16="http://schemas.microsoft.com/office/drawing/2014/main" id="{C41E95BA-9635-2D34-9AF4-C8F2FFD3BA98}"/>
              </a:ext>
            </a:extLst>
          </xdr:cNvPr>
          <xdr:cNvSpPr/>
        </xdr:nvSpPr>
        <xdr:spPr>
          <a:xfrm>
            <a:off x="1029653" y="13021627"/>
            <a:ext cx="45720" cy="45720"/>
          </a:xfrm>
          <a:prstGeom prst="ellipse">
            <a:avLst/>
          </a:prstGeom>
          <a:solidFill>
            <a:schemeClr val="tx1"/>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kern="1200"/>
          </a:p>
        </xdr:txBody>
      </xdr:sp>
      <xdr:sp macro="" textlink="">
        <xdr:nvSpPr>
          <xdr:cNvPr id="2427" name="Freeform: Shape 2426">
            <a:extLst>
              <a:ext uri="{FF2B5EF4-FFF2-40B4-BE49-F238E27FC236}">
                <a16:creationId xmlns:a16="http://schemas.microsoft.com/office/drawing/2014/main" id="{028ED616-20CF-0B50-DF3C-C469CA298857}"/>
              </a:ext>
            </a:extLst>
          </xdr:cNvPr>
          <xdr:cNvSpPr/>
        </xdr:nvSpPr>
        <xdr:spPr>
          <a:xfrm>
            <a:off x="1519237" y="13011150"/>
            <a:ext cx="495300" cy="1028700"/>
          </a:xfrm>
          <a:custGeom>
            <a:avLst/>
            <a:gdLst>
              <a:gd name="connsiteX0" fmla="*/ 0 w 495300"/>
              <a:gd name="connsiteY0" fmla="*/ 714375 h 714375"/>
              <a:gd name="connsiteX1" fmla="*/ 0 w 495300"/>
              <a:gd name="connsiteY1" fmla="*/ 0 h 714375"/>
              <a:gd name="connsiteX2" fmla="*/ 495300 w 495300"/>
              <a:gd name="connsiteY2" fmla="*/ 0 h 714375"/>
              <a:gd name="connsiteX3" fmla="*/ 495300 w 495300"/>
              <a:gd name="connsiteY3" fmla="*/ 714375 h 714375"/>
            </a:gdLst>
            <a:ahLst/>
            <a:cxnLst>
              <a:cxn ang="0">
                <a:pos x="connsiteX0" y="connsiteY0"/>
              </a:cxn>
              <a:cxn ang="0">
                <a:pos x="connsiteX1" y="connsiteY1"/>
              </a:cxn>
              <a:cxn ang="0">
                <a:pos x="connsiteX2" y="connsiteY2"/>
              </a:cxn>
              <a:cxn ang="0">
                <a:pos x="connsiteX3" y="connsiteY3"/>
              </a:cxn>
            </a:cxnLst>
            <a:rect l="l" t="t" r="r" b="b"/>
            <a:pathLst>
              <a:path w="495300" h="714375">
                <a:moveTo>
                  <a:pt x="0" y="714375"/>
                </a:moveTo>
                <a:lnTo>
                  <a:pt x="0" y="0"/>
                </a:lnTo>
                <a:lnTo>
                  <a:pt x="495300" y="0"/>
                </a:lnTo>
                <a:lnTo>
                  <a:pt x="495300" y="714375"/>
                </a:lnTo>
              </a:path>
            </a:pathLst>
          </a:cu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cxnSp macro="">
        <xdr:nvCxnSpPr>
          <xdr:cNvPr id="2428" name="Straight Connector 2427">
            <a:extLst>
              <a:ext uri="{FF2B5EF4-FFF2-40B4-BE49-F238E27FC236}">
                <a16:creationId xmlns:a16="http://schemas.microsoft.com/office/drawing/2014/main" id="{AE171D2D-5FF0-85BB-D74A-D18837C61A37}"/>
              </a:ext>
            </a:extLst>
          </xdr:cNvPr>
          <xdr:cNvCxnSpPr/>
        </xdr:nvCxnSpPr>
        <xdr:spPr>
          <a:xfrm>
            <a:off x="1685925" y="13011150"/>
            <a:ext cx="0" cy="1019175"/>
          </a:xfrm>
          <a:prstGeom prst="lin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2429" name="Straight Connector 2428">
            <a:extLst>
              <a:ext uri="{FF2B5EF4-FFF2-40B4-BE49-F238E27FC236}">
                <a16:creationId xmlns:a16="http://schemas.microsoft.com/office/drawing/2014/main" id="{C49A80C9-1A07-F6A8-9AC0-450CE4A85FF4}"/>
              </a:ext>
            </a:extLst>
          </xdr:cNvPr>
          <xdr:cNvCxnSpPr/>
        </xdr:nvCxnSpPr>
        <xdr:spPr>
          <a:xfrm>
            <a:off x="1890712" y="13015913"/>
            <a:ext cx="0" cy="1019175"/>
          </a:xfrm>
          <a:prstGeom prst="lin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2430" name="Straight Connector 2429">
            <a:extLst>
              <a:ext uri="{FF2B5EF4-FFF2-40B4-BE49-F238E27FC236}">
                <a16:creationId xmlns:a16="http://schemas.microsoft.com/office/drawing/2014/main" id="{11B2265A-DA01-9B89-8417-43E09E0834F5}"/>
              </a:ext>
            </a:extLst>
          </xdr:cNvPr>
          <xdr:cNvCxnSpPr/>
        </xdr:nvCxnSpPr>
        <xdr:spPr>
          <a:xfrm>
            <a:off x="1519237" y="13201652"/>
            <a:ext cx="495301" cy="0"/>
          </a:xfrm>
          <a:prstGeom prst="lin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2431" name="Straight Connector 2430">
            <a:extLst>
              <a:ext uri="{FF2B5EF4-FFF2-40B4-BE49-F238E27FC236}">
                <a16:creationId xmlns:a16="http://schemas.microsoft.com/office/drawing/2014/main" id="{BD97C59E-4CE8-2A24-6FDC-1D6AF456429E}"/>
              </a:ext>
            </a:extLst>
          </xdr:cNvPr>
          <xdr:cNvCxnSpPr/>
        </xdr:nvCxnSpPr>
        <xdr:spPr>
          <a:xfrm>
            <a:off x="1514474" y="13401676"/>
            <a:ext cx="495301" cy="0"/>
          </a:xfrm>
          <a:prstGeom prst="lin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2432" name="Straight Connector 2431">
            <a:extLst>
              <a:ext uri="{FF2B5EF4-FFF2-40B4-BE49-F238E27FC236}">
                <a16:creationId xmlns:a16="http://schemas.microsoft.com/office/drawing/2014/main" id="{321D7E3D-E7C8-117A-062D-787DD05FEA8E}"/>
              </a:ext>
            </a:extLst>
          </xdr:cNvPr>
          <xdr:cNvCxnSpPr/>
        </xdr:nvCxnSpPr>
        <xdr:spPr>
          <a:xfrm>
            <a:off x="1514474" y="13611227"/>
            <a:ext cx="495301" cy="0"/>
          </a:xfrm>
          <a:prstGeom prst="lin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2433" name="Straight Connector 2432">
            <a:extLst>
              <a:ext uri="{FF2B5EF4-FFF2-40B4-BE49-F238E27FC236}">
                <a16:creationId xmlns:a16="http://schemas.microsoft.com/office/drawing/2014/main" id="{00FDF970-AB98-0038-454D-13003FFC387D}"/>
              </a:ext>
            </a:extLst>
          </xdr:cNvPr>
          <xdr:cNvCxnSpPr/>
        </xdr:nvCxnSpPr>
        <xdr:spPr>
          <a:xfrm>
            <a:off x="1519237" y="13854109"/>
            <a:ext cx="495301" cy="0"/>
          </a:xfrm>
          <a:prstGeom prst="lin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cxnSp>
      <xdr:sp macro="" textlink="">
        <xdr:nvSpPr>
          <xdr:cNvPr id="1692" name="Oval 1691">
            <a:extLst>
              <a:ext uri="{FF2B5EF4-FFF2-40B4-BE49-F238E27FC236}">
                <a16:creationId xmlns:a16="http://schemas.microsoft.com/office/drawing/2014/main" id="{F6D8D91D-BD51-4565-A962-F6FA5C70E2C3}"/>
              </a:ext>
            </a:extLst>
          </xdr:cNvPr>
          <xdr:cNvSpPr/>
        </xdr:nvSpPr>
        <xdr:spPr>
          <a:xfrm>
            <a:off x="1524016" y="13020675"/>
            <a:ext cx="45720" cy="45720"/>
          </a:xfrm>
          <a:prstGeom prst="ellipse">
            <a:avLst/>
          </a:prstGeom>
          <a:solidFill>
            <a:schemeClr val="tx1"/>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kern="1200"/>
          </a:p>
        </xdr:txBody>
      </xdr:sp>
      <xdr:sp macro="" textlink="">
        <xdr:nvSpPr>
          <xdr:cNvPr id="1795" name="Oval 1794">
            <a:extLst>
              <a:ext uri="{FF2B5EF4-FFF2-40B4-BE49-F238E27FC236}">
                <a16:creationId xmlns:a16="http://schemas.microsoft.com/office/drawing/2014/main" id="{DC6193DF-C879-4786-8142-0F93D38EF051}"/>
              </a:ext>
            </a:extLst>
          </xdr:cNvPr>
          <xdr:cNvSpPr/>
        </xdr:nvSpPr>
        <xdr:spPr>
          <a:xfrm>
            <a:off x="2038365" y="13020675"/>
            <a:ext cx="45720" cy="45720"/>
          </a:xfrm>
          <a:prstGeom prst="ellipse">
            <a:avLst/>
          </a:prstGeom>
          <a:solidFill>
            <a:schemeClr val="tx1"/>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kern="1200"/>
          </a:p>
        </xdr:txBody>
      </xdr:sp>
      <xdr:sp macro="" textlink="">
        <xdr:nvSpPr>
          <xdr:cNvPr id="2518" name="Oval 2517">
            <a:extLst>
              <a:ext uri="{FF2B5EF4-FFF2-40B4-BE49-F238E27FC236}">
                <a16:creationId xmlns:a16="http://schemas.microsoft.com/office/drawing/2014/main" id="{8D12FD63-6CA4-4B2B-BD11-704A465F007B}"/>
              </a:ext>
            </a:extLst>
          </xdr:cNvPr>
          <xdr:cNvSpPr/>
        </xdr:nvSpPr>
        <xdr:spPr>
          <a:xfrm>
            <a:off x="1805003" y="13020675"/>
            <a:ext cx="45720" cy="45720"/>
          </a:xfrm>
          <a:prstGeom prst="ellipse">
            <a:avLst/>
          </a:prstGeom>
          <a:solidFill>
            <a:schemeClr val="tx1"/>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kern="1200"/>
          </a:p>
        </xdr:txBody>
      </xdr:sp>
      <xdr:cxnSp macro="">
        <xdr:nvCxnSpPr>
          <xdr:cNvPr id="2519" name="Straight Connector 2518">
            <a:extLst>
              <a:ext uri="{FF2B5EF4-FFF2-40B4-BE49-F238E27FC236}">
                <a16:creationId xmlns:a16="http://schemas.microsoft.com/office/drawing/2014/main" id="{03BD4E9F-AE9C-4F9E-8C4A-713EC8BE7E4B}"/>
              </a:ext>
            </a:extLst>
          </xdr:cNvPr>
          <xdr:cNvCxnSpPr/>
        </xdr:nvCxnSpPr>
        <xdr:spPr>
          <a:xfrm flipV="1">
            <a:off x="1352550" y="12463463"/>
            <a:ext cx="1233488" cy="542925"/>
          </a:xfrm>
          <a:prstGeom prst="line">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152400</xdr:colOff>
      <xdr:row>465</xdr:row>
      <xdr:rowOff>76200</xdr:rowOff>
    </xdr:from>
    <xdr:to>
      <xdr:col>18</xdr:col>
      <xdr:colOff>61913</xdr:colOff>
      <xdr:row>479</xdr:row>
      <xdr:rowOff>71437</xdr:rowOff>
    </xdr:to>
    <xdr:grpSp>
      <xdr:nvGrpSpPr>
        <xdr:cNvPr id="2523" name="Group 2522">
          <a:extLst>
            <a:ext uri="{FF2B5EF4-FFF2-40B4-BE49-F238E27FC236}">
              <a16:creationId xmlns:a16="http://schemas.microsoft.com/office/drawing/2014/main" id="{58C0BCF2-0A3A-443F-9BA3-F8AD499007AF}"/>
            </a:ext>
          </a:extLst>
        </xdr:cNvPr>
        <xdr:cNvGrpSpPr/>
      </xdr:nvGrpSpPr>
      <xdr:grpSpPr>
        <a:xfrm>
          <a:off x="314325" y="67808475"/>
          <a:ext cx="2662238" cy="1995487"/>
          <a:chOff x="314325" y="12463463"/>
          <a:chExt cx="2662238" cy="1995487"/>
        </a:xfrm>
      </xdr:grpSpPr>
      <xdr:sp macro="" textlink="">
        <xdr:nvSpPr>
          <xdr:cNvPr id="2524" name="Rectangle 2523">
            <a:extLst>
              <a:ext uri="{FF2B5EF4-FFF2-40B4-BE49-F238E27FC236}">
                <a16:creationId xmlns:a16="http://schemas.microsoft.com/office/drawing/2014/main" id="{6AC38AE4-DAF8-B08D-B3A8-45A194E063F5}"/>
              </a:ext>
            </a:extLst>
          </xdr:cNvPr>
          <xdr:cNvSpPr/>
        </xdr:nvSpPr>
        <xdr:spPr>
          <a:xfrm>
            <a:off x="319088" y="12954000"/>
            <a:ext cx="1138237" cy="1143000"/>
          </a:xfrm>
          <a:prstGeom prst="rect">
            <a:avLst/>
          </a:prstGeom>
          <a:blipFill>
            <a:blip xmlns:r="http://schemas.openxmlformats.org/officeDocument/2006/relationships" r:embed="rId1"/>
            <a:tile tx="0" ty="0" sx="100000" sy="100000" flip="none" algn="tl"/>
          </a:blip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kern="1200"/>
          </a:p>
        </xdr:txBody>
      </xdr:sp>
      <xdr:grpSp>
        <xdr:nvGrpSpPr>
          <xdr:cNvPr id="2525" name="Group 2524">
            <a:extLst>
              <a:ext uri="{FF2B5EF4-FFF2-40B4-BE49-F238E27FC236}">
                <a16:creationId xmlns:a16="http://schemas.microsoft.com/office/drawing/2014/main" id="{6CB22E3B-09E7-D607-A84F-09D63C5A95E0}"/>
              </a:ext>
            </a:extLst>
          </xdr:cNvPr>
          <xdr:cNvGrpSpPr/>
        </xdr:nvGrpSpPr>
        <xdr:grpSpPr>
          <a:xfrm>
            <a:off x="966788" y="12954000"/>
            <a:ext cx="1624011" cy="1143000"/>
            <a:chOff x="966788" y="79276575"/>
            <a:chExt cx="1624011" cy="1143000"/>
          </a:xfrm>
          <a:blipFill>
            <a:blip xmlns:r="http://schemas.openxmlformats.org/officeDocument/2006/relationships" r:embed="rId1"/>
            <a:tile tx="0" ty="0" sx="100000" sy="100000" flip="none" algn="tl"/>
          </a:blipFill>
        </xdr:grpSpPr>
        <xdr:sp macro="" textlink="">
          <xdr:nvSpPr>
            <xdr:cNvPr id="2564" name="Rectangle 2563">
              <a:extLst>
                <a:ext uri="{FF2B5EF4-FFF2-40B4-BE49-F238E27FC236}">
                  <a16:creationId xmlns:a16="http://schemas.microsoft.com/office/drawing/2014/main" id="{36F7F0F7-74F0-8DE7-029A-1F08D147A3D9}"/>
                </a:ext>
              </a:extLst>
            </xdr:cNvPr>
            <xdr:cNvSpPr/>
          </xdr:nvSpPr>
          <xdr:spPr>
            <a:xfrm>
              <a:off x="1457325" y="79276575"/>
              <a:ext cx="642938" cy="719138"/>
            </a:xfrm>
            <a:prstGeom prst="rect">
              <a:avLst/>
            </a:prstGeom>
            <a:grp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kern="1200"/>
            </a:p>
          </xdr:txBody>
        </xdr:sp>
        <xdr:sp macro="" textlink="">
          <xdr:nvSpPr>
            <xdr:cNvPr id="2565" name="Rectangle 2564">
              <a:extLst>
                <a:ext uri="{FF2B5EF4-FFF2-40B4-BE49-F238E27FC236}">
                  <a16:creationId xmlns:a16="http://schemas.microsoft.com/office/drawing/2014/main" id="{3F1F44C9-5803-6ECB-CE98-D67DAD182E5A}"/>
                </a:ext>
              </a:extLst>
            </xdr:cNvPr>
            <xdr:cNvSpPr/>
          </xdr:nvSpPr>
          <xdr:spPr>
            <a:xfrm>
              <a:off x="966788" y="79995714"/>
              <a:ext cx="1624011" cy="423861"/>
            </a:xfrm>
            <a:prstGeom prst="rect">
              <a:avLst/>
            </a:prstGeom>
            <a:grp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kern="1200"/>
            </a:p>
          </xdr:txBody>
        </xdr:sp>
      </xdr:grpSp>
      <xdr:cxnSp macro="">
        <xdr:nvCxnSpPr>
          <xdr:cNvPr id="2526" name="Straight Connector 2525">
            <a:extLst>
              <a:ext uri="{FF2B5EF4-FFF2-40B4-BE49-F238E27FC236}">
                <a16:creationId xmlns:a16="http://schemas.microsoft.com/office/drawing/2014/main" id="{D108CDD8-D72A-087A-CD45-A68F71F2C006}"/>
              </a:ext>
            </a:extLst>
          </xdr:cNvPr>
          <xdr:cNvCxnSpPr/>
        </xdr:nvCxnSpPr>
        <xdr:spPr>
          <a:xfrm>
            <a:off x="2914652" y="12873035"/>
            <a:ext cx="0" cy="128587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527" name="Straight Connector 2526">
            <a:extLst>
              <a:ext uri="{FF2B5EF4-FFF2-40B4-BE49-F238E27FC236}">
                <a16:creationId xmlns:a16="http://schemas.microsoft.com/office/drawing/2014/main" id="{2DC1C1F5-D9B1-9EA9-E3BC-488FCC92A72C}"/>
              </a:ext>
            </a:extLst>
          </xdr:cNvPr>
          <xdr:cNvCxnSpPr/>
        </xdr:nvCxnSpPr>
        <xdr:spPr>
          <a:xfrm>
            <a:off x="2176461" y="12954001"/>
            <a:ext cx="800102"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528" name="Straight Connector 2527">
            <a:extLst>
              <a:ext uri="{FF2B5EF4-FFF2-40B4-BE49-F238E27FC236}">
                <a16:creationId xmlns:a16="http://schemas.microsoft.com/office/drawing/2014/main" id="{08AB2397-2FCD-C359-C437-ACD2F7EE0200}"/>
              </a:ext>
            </a:extLst>
          </xdr:cNvPr>
          <xdr:cNvCxnSpPr/>
        </xdr:nvCxnSpPr>
        <xdr:spPr>
          <a:xfrm flipH="1">
            <a:off x="2876550" y="12920663"/>
            <a:ext cx="76200" cy="762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529" name="Straight Connector 2528">
            <a:extLst>
              <a:ext uri="{FF2B5EF4-FFF2-40B4-BE49-F238E27FC236}">
                <a16:creationId xmlns:a16="http://schemas.microsoft.com/office/drawing/2014/main" id="{3183E293-97DA-7897-0D4D-9A310D669CFF}"/>
              </a:ext>
            </a:extLst>
          </xdr:cNvPr>
          <xdr:cNvCxnSpPr/>
        </xdr:nvCxnSpPr>
        <xdr:spPr>
          <a:xfrm>
            <a:off x="2676525" y="13668377"/>
            <a:ext cx="2952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530" name="Straight Connector 2529">
            <a:extLst>
              <a:ext uri="{FF2B5EF4-FFF2-40B4-BE49-F238E27FC236}">
                <a16:creationId xmlns:a16="http://schemas.microsoft.com/office/drawing/2014/main" id="{624EEDAE-959C-C25C-6C32-EA1E500F59DE}"/>
              </a:ext>
            </a:extLst>
          </xdr:cNvPr>
          <xdr:cNvCxnSpPr/>
        </xdr:nvCxnSpPr>
        <xdr:spPr>
          <a:xfrm flipH="1">
            <a:off x="2871785" y="13635039"/>
            <a:ext cx="76200" cy="762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531" name="Straight Connector 2530">
            <a:extLst>
              <a:ext uri="{FF2B5EF4-FFF2-40B4-BE49-F238E27FC236}">
                <a16:creationId xmlns:a16="http://schemas.microsoft.com/office/drawing/2014/main" id="{0C295CD6-B578-6A69-1A0A-DFCE96927C15}"/>
              </a:ext>
            </a:extLst>
          </xdr:cNvPr>
          <xdr:cNvCxnSpPr/>
        </xdr:nvCxnSpPr>
        <xdr:spPr>
          <a:xfrm>
            <a:off x="2676525" y="14097002"/>
            <a:ext cx="2952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532" name="Straight Connector 2531">
            <a:extLst>
              <a:ext uri="{FF2B5EF4-FFF2-40B4-BE49-F238E27FC236}">
                <a16:creationId xmlns:a16="http://schemas.microsoft.com/office/drawing/2014/main" id="{2780B95B-9768-EA52-25FC-EACC3B686FE9}"/>
              </a:ext>
            </a:extLst>
          </xdr:cNvPr>
          <xdr:cNvCxnSpPr/>
        </xdr:nvCxnSpPr>
        <xdr:spPr>
          <a:xfrm flipH="1">
            <a:off x="2871785" y="14063664"/>
            <a:ext cx="76200" cy="762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533" name="Straight Connector 2532">
            <a:extLst>
              <a:ext uri="{FF2B5EF4-FFF2-40B4-BE49-F238E27FC236}">
                <a16:creationId xmlns:a16="http://schemas.microsoft.com/office/drawing/2014/main" id="{6338CD1A-7D4C-C871-26CF-A8B8C569AF09}"/>
              </a:ext>
            </a:extLst>
          </xdr:cNvPr>
          <xdr:cNvCxnSpPr/>
        </xdr:nvCxnSpPr>
        <xdr:spPr>
          <a:xfrm>
            <a:off x="971550" y="14168438"/>
            <a:ext cx="0" cy="29051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534" name="Straight Connector 2533">
            <a:extLst>
              <a:ext uri="{FF2B5EF4-FFF2-40B4-BE49-F238E27FC236}">
                <a16:creationId xmlns:a16="http://schemas.microsoft.com/office/drawing/2014/main" id="{57255133-5E88-C625-D542-883ED8EBAC03}"/>
              </a:ext>
            </a:extLst>
          </xdr:cNvPr>
          <xdr:cNvCxnSpPr/>
        </xdr:nvCxnSpPr>
        <xdr:spPr>
          <a:xfrm>
            <a:off x="900112" y="14382751"/>
            <a:ext cx="17430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535" name="Straight Connector 2534">
            <a:extLst>
              <a:ext uri="{FF2B5EF4-FFF2-40B4-BE49-F238E27FC236}">
                <a16:creationId xmlns:a16="http://schemas.microsoft.com/office/drawing/2014/main" id="{DDFB5BA6-B840-03CB-3302-B8352C23641C}"/>
              </a:ext>
            </a:extLst>
          </xdr:cNvPr>
          <xdr:cNvCxnSpPr/>
        </xdr:nvCxnSpPr>
        <xdr:spPr>
          <a:xfrm flipH="1">
            <a:off x="933448" y="14344650"/>
            <a:ext cx="76200" cy="762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536" name="Straight Connector 2535">
            <a:extLst>
              <a:ext uri="{FF2B5EF4-FFF2-40B4-BE49-F238E27FC236}">
                <a16:creationId xmlns:a16="http://schemas.microsoft.com/office/drawing/2014/main" id="{54F75959-B306-1BB6-5010-DA665B526EC3}"/>
              </a:ext>
            </a:extLst>
          </xdr:cNvPr>
          <xdr:cNvCxnSpPr/>
        </xdr:nvCxnSpPr>
        <xdr:spPr>
          <a:xfrm>
            <a:off x="2590800" y="14168438"/>
            <a:ext cx="0" cy="29051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537" name="Straight Connector 2536">
            <a:extLst>
              <a:ext uri="{FF2B5EF4-FFF2-40B4-BE49-F238E27FC236}">
                <a16:creationId xmlns:a16="http://schemas.microsoft.com/office/drawing/2014/main" id="{42DE30D0-067E-3CC3-2839-207AFC02DF47}"/>
              </a:ext>
            </a:extLst>
          </xdr:cNvPr>
          <xdr:cNvCxnSpPr/>
        </xdr:nvCxnSpPr>
        <xdr:spPr>
          <a:xfrm flipH="1">
            <a:off x="2552698" y="14344650"/>
            <a:ext cx="76200" cy="762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538" name="Straight Connector 2537">
            <a:extLst>
              <a:ext uri="{FF2B5EF4-FFF2-40B4-BE49-F238E27FC236}">
                <a16:creationId xmlns:a16="http://schemas.microsoft.com/office/drawing/2014/main" id="{22A9CDD4-09FD-C9A6-EFD7-80F44F7548E5}"/>
              </a:ext>
            </a:extLst>
          </xdr:cNvPr>
          <xdr:cNvCxnSpPr/>
        </xdr:nvCxnSpPr>
        <xdr:spPr>
          <a:xfrm>
            <a:off x="319088" y="12877800"/>
            <a:ext cx="0" cy="1343025"/>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2539" name="Straight Connector 2538">
            <a:extLst>
              <a:ext uri="{FF2B5EF4-FFF2-40B4-BE49-F238E27FC236}">
                <a16:creationId xmlns:a16="http://schemas.microsoft.com/office/drawing/2014/main" id="{42D92409-374E-B6BE-2872-2531F8DEF878}"/>
              </a:ext>
            </a:extLst>
          </xdr:cNvPr>
          <xdr:cNvCxnSpPr/>
        </xdr:nvCxnSpPr>
        <xdr:spPr>
          <a:xfrm flipV="1">
            <a:off x="1819275" y="12668250"/>
            <a:ext cx="714375" cy="676275"/>
          </a:xfrm>
          <a:prstGeom prst="line">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540" name="Straight Connector 2539">
            <a:extLst>
              <a:ext uri="{FF2B5EF4-FFF2-40B4-BE49-F238E27FC236}">
                <a16:creationId xmlns:a16="http://schemas.microsoft.com/office/drawing/2014/main" id="{A18D182D-E202-8D6B-5A4F-A4D75EC74CB1}"/>
              </a:ext>
            </a:extLst>
          </xdr:cNvPr>
          <xdr:cNvCxnSpPr/>
        </xdr:nvCxnSpPr>
        <xdr:spPr>
          <a:xfrm flipV="1">
            <a:off x="2085975" y="13535025"/>
            <a:ext cx="457200" cy="390525"/>
          </a:xfrm>
          <a:prstGeom prst="line">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541" name="Straight Connector 2540">
            <a:extLst>
              <a:ext uri="{FF2B5EF4-FFF2-40B4-BE49-F238E27FC236}">
                <a16:creationId xmlns:a16="http://schemas.microsoft.com/office/drawing/2014/main" id="{5B76FC13-F181-1261-B0C5-20847DFE3BE8}"/>
              </a:ext>
            </a:extLst>
          </xdr:cNvPr>
          <xdr:cNvCxnSpPr/>
        </xdr:nvCxnSpPr>
        <xdr:spPr>
          <a:xfrm flipV="1">
            <a:off x="895350" y="12787313"/>
            <a:ext cx="314325" cy="523875"/>
          </a:xfrm>
          <a:prstGeom prst="line">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542" name="Straight Connector 2541">
            <a:extLst>
              <a:ext uri="{FF2B5EF4-FFF2-40B4-BE49-F238E27FC236}">
                <a16:creationId xmlns:a16="http://schemas.microsoft.com/office/drawing/2014/main" id="{0314940B-F7DF-A2D1-1A91-2876BDF7285D}"/>
              </a:ext>
            </a:extLst>
          </xdr:cNvPr>
          <xdr:cNvCxnSpPr/>
        </xdr:nvCxnSpPr>
        <xdr:spPr>
          <a:xfrm>
            <a:off x="314325" y="13101638"/>
            <a:ext cx="1143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543" name="Straight Connector 2542">
            <a:extLst>
              <a:ext uri="{FF2B5EF4-FFF2-40B4-BE49-F238E27FC236}">
                <a16:creationId xmlns:a16="http://schemas.microsoft.com/office/drawing/2014/main" id="{79367DB8-6923-0776-6B9D-4AA4D7DEFEA7}"/>
              </a:ext>
            </a:extLst>
          </xdr:cNvPr>
          <xdr:cNvCxnSpPr/>
        </xdr:nvCxnSpPr>
        <xdr:spPr>
          <a:xfrm>
            <a:off x="847725" y="12677775"/>
            <a:ext cx="57150" cy="390525"/>
          </a:xfrm>
          <a:prstGeom prst="line">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544" name="Straight Connector 2543">
            <a:extLst>
              <a:ext uri="{FF2B5EF4-FFF2-40B4-BE49-F238E27FC236}">
                <a16:creationId xmlns:a16="http://schemas.microsoft.com/office/drawing/2014/main" id="{FB801B28-7E33-2E5B-1D93-902745245E31}"/>
              </a:ext>
            </a:extLst>
          </xdr:cNvPr>
          <xdr:cNvCxnSpPr/>
        </xdr:nvCxnSpPr>
        <xdr:spPr>
          <a:xfrm>
            <a:off x="647700" y="12892088"/>
            <a:ext cx="0" cy="27146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545" name="Straight Connector 2544">
            <a:extLst>
              <a:ext uri="{FF2B5EF4-FFF2-40B4-BE49-F238E27FC236}">
                <a16:creationId xmlns:a16="http://schemas.microsoft.com/office/drawing/2014/main" id="{BEDA5389-10E6-B70B-5379-515648711088}"/>
              </a:ext>
            </a:extLst>
          </xdr:cNvPr>
          <xdr:cNvCxnSpPr/>
        </xdr:nvCxnSpPr>
        <xdr:spPr>
          <a:xfrm flipH="1">
            <a:off x="614362" y="12920661"/>
            <a:ext cx="76200" cy="762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546" name="Straight Connector 2545">
            <a:extLst>
              <a:ext uri="{FF2B5EF4-FFF2-40B4-BE49-F238E27FC236}">
                <a16:creationId xmlns:a16="http://schemas.microsoft.com/office/drawing/2014/main" id="{EE75B6E6-A131-54C0-3B18-63F43704B813}"/>
              </a:ext>
            </a:extLst>
          </xdr:cNvPr>
          <xdr:cNvCxnSpPr/>
        </xdr:nvCxnSpPr>
        <xdr:spPr>
          <a:xfrm flipH="1">
            <a:off x="609600" y="13063538"/>
            <a:ext cx="76200" cy="76200"/>
          </a:xfrm>
          <a:prstGeom prst="line">
            <a:avLst/>
          </a:prstGeom>
        </xdr:spPr>
        <xdr:style>
          <a:lnRef idx="1">
            <a:schemeClr val="accent1"/>
          </a:lnRef>
          <a:fillRef idx="0">
            <a:schemeClr val="accent1"/>
          </a:fillRef>
          <a:effectRef idx="0">
            <a:schemeClr val="accent1"/>
          </a:effectRef>
          <a:fontRef idx="minor">
            <a:schemeClr val="tx1"/>
          </a:fontRef>
        </xdr:style>
      </xdr:cxnSp>
      <xdr:sp macro="" textlink="">
        <xdr:nvSpPr>
          <xdr:cNvPr id="2547" name="Freeform: Shape 2546">
            <a:extLst>
              <a:ext uri="{FF2B5EF4-FFF2-40B4-BE49-F238E27FC236}">
                <a16:creationId xmlns:a16="http://schemas.microsoft.com/office/drawing/2014/main" id="{C61504C5-8CA9-C139-42B1-AAAB2DDC9A65}"/>
              </a:ext>
            </a:extLst>
          </xdr:cNvPr>
          <xdr:cNvSpPr/>
        </xdr:nvSpPr>
        <xdr:spPr>
          <a:xfrm>
            <a:off x="1019175" y="13720762"/>
            <a:ext cx="1519237" cy="319088"/>
          </a:xfrm>
          <a:custGeom>
            <a:avLst/>
            <a:gdLst>
              <a:gd name="connsiteX0" fmla="*/ 0 w 1519237"/>
              <a:gd name="connsiteY0" fmla="*/ 9525 h 319088"/>
              <a:gd name="connsiteX1" fmla="*/ 0 w 1519237"/>
              <a:gd name="connsiteY1" fmla="*/ 319088 h 319088"/>
              <a:gd name="connsiteX2" fmla="*/ 1519237 w 1519237"/>
              <a:gd name="connsiteY2" fmla="*/ 319088 h 319088"/>
              <a:gd name="connsiteX3" fmla="*/ 1519237 w 1519237"/>
              <a:gd name="connsiteY3" fmla="*/ 0 h 319088"/>
            </a:gdLst>
            <a:ahLst/>
            <a:cxnLst>
              <a:cxn ang="0">
                <a:pos x="connsiteX0" y="connsiteY0"/>
              </a:cxn>
              <a:cxn ang="0">
                <a:pos x="connsiteX1" y="connsiteY1"/>
              </a:cxn>
              <a:cxn ang="0">
                <a:pos x="connsiteX2" y="connsiteY2"/>
              </a:cxn>
              <a:cxn ang="0">
                <a:pos x="connsiteX3" y="connsiteY3"/>
              </a:cxn>
            </a:cxnLst>
            <a:rect l="l" t="t" r="r" b="b"/>
            <a:pathLst>
              <a:path w="1519237" h="319088">
                <a:moveTo>
                  <a:pt x="0" y="9525"/>
                </a:moveTo>
                <a:lnTo>
                  <a:pt x="0" y="319088"/>
                </a:lnTo>
                <a:lnTo>
                  <a:pt x="1519237" y="319088"/>
                </a:lnTo>
                <a:lnTo>
                  <a:pt x="1519237" y="0"/>
                </a:lnTo>
              </a:path>
            </a:pathLst>
          </a:cu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kern="1200"/>
          </a:p>
        </xdr:txBody>
      </xdr:sp>
      <xdr:cxnSp macro="">
        <xdr:nvCxnSpPr>
          <xdr:cNvPr id="2548" name="Straight Connector 2547">
            <a:extLst>
              <a:ext uri="{FF2B5EF4-FFF2-40B4-BE49-F238E27FC236}">
                <a16:creationId xmlns:a16="http://schemas.microsoft.com/office/drawing/2014/main" id="{2885B804-E811-15CD-CE9C-9BED136162DE}"/>
              </a:ext>
            </a:extLst>
          </xdr:cNvPr>
          <xdr:cNvCxnSpPr/>
        </xdr:nvCxnSpPr>
        <xdr:spPr>
          <a:xfrm>
            <a:off x="328613" y="13011149"/>
            <a:ext cx="17526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2549" name="Oval 2548">
            <a:extLst>
              <a:ext uri="{FF2B5EF4-FFF2-40B4-BE49-F238E27FC236}">
                <a16:creationId xmlns:a16="http://schemas.microsoft.com/office/drawing/2014/main" id="{EA74D337-3AB7-8943-42A9-ACF58A0614A4}"/>
              </a:ext>
            </a:extLst>
          </xdr:cNvPr>
          <xdr:cNvSpPr/>
        </xdr:nvSpPr>
        <xdr:spPr>
          <a:xfrm>
            <a:off x="396241" y="13021626"/>
            <a:ext cx="45720" cy="45720"/>
          </a:xfrm>
          <a:prstGeom prst="ellipse">
            <a:avLst/>
          </a:prstGeom>
          <a:solidFill>
            <a:schemeClr val="tx1"/>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kern="1200"/>
          </a:p>
        </xdr:txBody>
      </xdr:sp>
      <xdr:sp macro="" textlink="">
        <xdr:nvSpPr>
          <xdr:cNvPr id="2550" name="Oval 2549">
            <a:extLst>
              <a:ext uri="{FF2B5EF4-FFF2-40B4-BE49-F238E27FC236}">
                <a16:creationId xmlns:a16="http://schemas.microsoft.com/office/drawing/2014/main" id="{2B1DB8B9-6F61-5B83-7A65-636A11D7A0E0}"/>
              </a:ext>
            </a:extLst>
          </xdr:cNvPr>
          <xdr:cNvSpPr/>
        </xdr:nvSpPr>
        <xdr:spPr>
          <a:xfrm>
            <a:off x="748666" y="13021627"/>
            <a:ext cx="45720" cy="45720"/>
          </a:xfrm>
          <a:prstGeom prst="ellipse">
            <a:avLst/>
          </a:prstGeom>
          <a:solidFill>
            <a:schemeClr val="tx1"/>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kern="1200"/>
          </a:p>
        </xdr:txBody>
      </xdr:sp>
      <xdr:sp macro="" textlink="">
        <xdr:nvSpPr>
          <xdr:cNvPr id="2551" name="Oval 2550">
            <a:extLst>
              <a:ext uri="{FF2B5EF4-FFF2-40B4-BE49-F238E27FC236}">
                <a16:creationId xmlns:a16="http://schemas.microsoft.com/office/drawing/2014/main" id="{47E43082-1435-4838-64C5-8FA90A50CA81}"/>
              </a:ext>
            </a:extLst>
          </xdr:cNvPr>
          <xdr:cNvSpPr/>
        </xdr:nvSpPr>
        <xdr:spPr>
          <a:xfrm>
            <a:off x="1267778" y="13021627"/>
            <a:ext cx="45720" cy="45720"/>
          </a:xfrm>
          <a:prstGeom prst="ellipse">
            <a:avLst/>
          </a:prstGeom>
          <a:solidFill>
            <a:schemeClr val="tx1"/>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kern="1200"/>
          </a:p>
        </xdr:txBody>
      </xdr:sp>
      <xdr:sp macro="" textlink="">
        <xdr:nvSpPr>
          <xdr:cNvPr id="2552" name="Oval 2551">
            <a:extLst>
              <a:ext uri="{FF2B5EF4-FFF2-40B4-BE49-F238E27FC236}">
                <a16:creationId xmlns:a16="http://schemas.microsoft.com/office/drawing/2014/main" id="{7F1624F2-86A9-5ECE-3AA0-2000CE59F858}"/>
              </a:ext>
            </a:extLst>
          </xdr:cNvPr>
          <xdr:cNvSpPr/>
        </xdr:nvSpPr>
        <xdr:spPr>
          <a:xfrm>
            <a:off x="1029653" y="13021627"/>
            <a:ext cx="45720" cy="45720"/>
          </a:xfrm>
          <a:prstGeom prst="ellipse">
            <a:avLst/>
          </a:prstGeom>
          <a:solidFill>
            <a:schemeClr val="tx1"/>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kern="1200"/>
          </a:p>
        </xdr:txBody>
      </xdr:sp>
      <xdr:sp macro="" textlink="">
        <xdr:nvSpPr>
          <xdr:cNvPr id="2553" name="Freeform: Shape 2552">
            <a:extLst>
              <a:ext uri="{FF2B5EF4-FFF2-40B4-BE49-F238E27FC236}">
                <a16:creationId xmlns:a16="http://schemas.microsoft.com/office/drawing/2014/main" id="{CEEF97D8-AE64-163B-3F75-689AF6479AB2}"/>
              </a:ext>
            </a:extLst>
          </xdr:cNvPr>
          <xdr:cNvSpPr/>
        </xdr:nvSpPr>
        <xdr:spPr>
          <a:xfrm>
            <a:off x="1519237" y="13011150"/>
            <a:ext cx="495300" cy="1028700"/>
          </a:xfrm>
          <a:custGeom>
            <a:avLst/>
            <a:gdLst>
              <a:gd name="connsiteX0" fmla="*/ 0 w 495300"/>
              <a:gd name="connsiteY0" fmla="*/ 714375 h 714375"/>
              <a:gd name="connsiteX1" fmla="*/ 0 w 495300"/>
              <a:gd name="connsiteY1" fmla="*/ 0 h 714375"/>
              <a:gd name="connsiteX2" fmla="*/ 495300 w 495300"/>
              <a:gd name="connsiteY2" fmla="*/ 0 h 714375"/>
              <a:gd name="connsiteX3" fmla="*/ 495300 w 495300"/>
              <a:gd name="connsiteY3" fmla="*/ 714375 h 714375"/>
            </a:gdLst>
            <a:ahLst/>
            <a:cxnLst>
              <a:cxn ang="0">
                <a:pos x="connsiteX0" y="connsiteY0"/>
              </a:cxn>
              <a:cxn ang="0">
                <a:pos x="connsiteX1" y="connsiteY1"/>
              </a:cxn>
              <a:cxn ang="0">
                <a:pos x="connsiteX2" y="connsiteY2"/>
              </a:cxn>
              <a:cxn ang="0">
                <a:pos x="connsiteX3" y="connsiteY3"/>
              </a:cxn>
            </a:cxnLst>
            <a:rect l="l" t="t" r="r" b="b"/>
            <a:pathLst>
              <a:path w="495300" h="714375">
                <a:moveTo>
                  <a:pt x="0" y="714375"/>
                </a:moveTo>
                <a:lnTo>
                  <a:pt x="0" y="0"/>
                </a:lnTo>
                <a:lnTo>
                  <a:pt x="495300" y="0"/>
                </a:lnTo>
                <a:lnTo>
                  <a:pt x="495300" y="714375"/>
                </a:lnTo>
              </a:path>
            </a:pathLst>
          </a:cu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cxnSp macro="">
        <xdr:nvCxnSpPr>
          <xdr:cNvPr id="2554" name="Straight Connector 2553">
            <a:extLst>
              <a:ext uri="{FF2B5EF4-FFF2-40B4-BE49-F238E27FC236}">
                <a16:creationId xmlns:a16="http://schemas.microsoft.com/office/drawing/2014/main" id="{3CDA749B-350F-0F98-6B48-45656077489B}"/>
              </a:ext>
            </a:extLst>
          </xdr:cNvPr>
          <xdr:cNvCxnSpPr/>
        </xdr:nvCxnSpPr>
        <xdr:spPr>
          <a:xfrm>
            <a:off x="1685925" y="13011150"/>
            <a:ext cx="0" cy="1019175"/>
          </a:xfrm>
          <a:prstGeom prst="lin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2555" name="Straight Connector 2554">
            <a:extLst>
              <a:ext uri="{FF2B5EF4-FFF2-40B4-BE49-F238E27FC236}">
                <a16:creationId xmlns:a16="http://schemas.microsoft.com/office/drawing/2014/main" id="{AC3803B7-75D9-59AC-4842-D38389FE7752}"/>
              </a:ext>
            </a:extLst>
          </xdr:cNvPr>
          <xdr:cNvCxnSpPr/>
        </xdr:nvCxnSpPr>
        <xdr:spPr>
          <a:xfrm>
            <a:off x="1890712" y="13015913"/>
            <a:ext cx="0" cy="1019175"/>
          </a:xfrm>
          <a:prstGeom prst="lin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2556" name="Straight Connector 2555">
            <a:extLst>
              <a:ext uri="{FF2B5EF4-FFF2-40B4-BE49-F238E27FC236}">
                <a16:creationId xmlns:a16="http://schemas.microsoft.com/office/drawing/2014/main" id="{F104F222-3207-F6B8-819D-68D46EB42301}"/>
              </a:ext>
            </a:extLst>
          </xdr:cNvPr>
          <xdr:cNvCxnSpPr/>
        </xdr:nvCxnSpPr>
        <xdr:spPr>
          <a:xfrm>
            <a:off x="1519237" y="13201652"/>
            <a:ext cx="495301" cy="0"/>
          </a:xfrm>
          <a:prstGeom prst="lin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2557" name="Straight Connector 2556">
            <a:extLst>
              <a:ext uri="{FF2B5EF4-FFF2-40B4-BE49-F238E27FC236}">
                <a16:creationId xmlns:a16="http://schemas.microsoft.com/office/drawing/2014/main" id="{1ECC690F-08B3-1189-B7E9-C53D86A6BAC4}"/>
              </a:ext>
            </a:extLst>
          </xdr:cNvPr>
          <xdr:cNvCxnSpPr/>
        </xdr:nvCxnSpPr>
        <xdr:spPr>
          <a:xfrm>
            <a:off x="1514474" y="13401676"/>
            <a:ext cx="495301" cy="0"/>
          </a:xfrm>
          <a:prstGeom prst="lin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2558" name="Straight Connector 2557">
            <a:extLst>
              <a:ext uri="{FF2B5EF4-FFF2-40B4-BE49-F238E27FC236}">
                <a16:creationId xmlns:a16="http://schemas.microsoft.com/office/drawing/2014/main" id="{CB7316D4-2AA6-AC3D-9D23-A96EF0EA3D51}"/>
              </a:ext>
            </a:extLst>
          </xdr:cNvPr>
          <xdr:cNvCxnSpPr/>
        </xdr:nvCxnSpPr>
        <xdr:spPr>
          <a:xfrm>
            <a:off x="1514474" y="13611227"/>
            <a:ext cx="495301" cy="0"/>
          </a:xfrm>
          <a:prstGeom prst="lin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2559" name="Straight Connector 2558">
            <a:extLst>
              <a:ext uri="{FF2B5EF4-FFF2-40B4-BE49-F238E27FC236}">
                <a16:creationId xmlns:a16="http://schemas.microsoft.com/office/drawing/2014/main" id="{62285DC8-8566-5A95-981A-C0AF02833105}"/>
              </a:ext>
            </a:extLst>
          </xdr:cNvPr>
          <xdr:cNvCxnSpPr/>
        </xdr:nvCxnSpPr>
        <xdr:spPr>
          <a:xfrm>
            <a:off x="1519237" y="13854109"/>
            <a:ext cx="495301" cy="0"/>
          </a:xfrm>
          <a:prstGeom prst="lin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cxnSp>
      <xdr:sp macro="" textlink="">
        <xdr:nvSpPr>
          <xdr:cNvPr id="2560" name="Oval 2559">
            <a:extLst>
              <a:ext uri="{FF2B5EF4-FFF2-40B4-BE49-F238E27FC236}">
                <a16:creationId xmlns:a16="http://schemas.microsoft.com/office/drawing/2014/main" id="{81BCE9FC-C271-F29A-E6F5-0806921D12E3}"/>
              </a:ext>
            </a:extLst>
          </xdr:cNvPr>
          <xdr:cNvSpPr/>
        </xdr:nvSpPr>
        <xdr:spPr>
          <a:xfrm>
            <a:off x="1524016" y="13020675"/>
            <a:ext cx="45720" cy="45720"/>
          </a:xfrm>
          <a:prstGeom prst="ellipse">
            <a:avLst/>
          </a:prstGeom>
          <a:solidFill>
            <a:schemeClr val="tx1"/>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kern="1200"/>
          </a:p>
        </xdr:txBody>
      </xdr:sp>
      <xdr:sp macro="" textlink="">
        <xdr:nvSpPr>
          <xdr:cNvPr id="2561" name="Oval 2560">
            <a:extLst>
              <a:ext uri="{FF2B5EF4-FFF2-40B4-BE49-F238E27FC236}">
                <a16:creationId xmlns:a16="http://schemas.microsoft.com/office/drawing/2014/main" id="{3F00072D-A86E-CB23-E1C4-50294E40BBF8}"/>
              </a:ext>
            </a:extLst>
          </xdr:cNvPr>
          <xdr:cNvSpPr/>
        </xdr:nvSpPr>
        <xdr:spPr>
          <a:xfrm>
            <a:off x="2038365" y="13020675"/>
            <a:ext cx="45720" cy="45720"/>
          </a:xfrm>
          <a:prstGeom prst="ellipse">
            <a:avLst/>
          </a:prstGeom>
          <a:solidFill>
            <a:schemeClr val="tx1"/>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kern="1200"/>
          </a:p>
        </xdr:txBody>
      </xdr:sp>
      <xdr:sp macro="" textlink="">
        <xdr:nvSpPr>
          <xdr:cNvPr id="2562" name="Oval 2561">
            <a:extLst>
              <a:ext uri="{FF2B5EF4-FFF2-40B4-BE49-F238E27FC236}">
                <a16:creationId xmlns:a16="http://schemas.microsoft.com/office/drawing/2014/main" id="{563CC7B2-A2D6-A36B-BFB8-6241FE04355C}"/>
              </a:ext>
            </a:extLst>
          </xdr:cNvPr>
          <xdr:cNvSpPr/>
        </xdr:nvSpPr>
        <xdr:spPr>
          <a:xfrm>
            <a:off x="1805003" y="13020675"/>
            <a:ext cx="45720" cy="45720"/>
          </a:xfrm>
          <a:prstGeom prst="ellipse">
            <a:avLst/>
          </a:prstGeom>
          <a:solidFill>
            <a:schemeClr val="tx1"/>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kern="1200"/>
          </a:p>
        </xdr:txBody>
      </xdr:sp>
      <xdr:cxnSp macro="">
        <xdr:nvCxnSpPr>
          <xdr:cNvPr id="2563" name="Straight Connector 2562">
            <a:extLst>
              <a:ext uri="{FF2B5EF4-FFF2-40B4-BE49-F238E27FC236}">
                <a16:creationId xmlns:a16="http://schemas.microsoft.com/office/drawing/2014/main" id="{D3170EFA-04F1-2B58-957A-9EC201326507}"/>
              </a:ext>
            </a:extLst>
          </xdr:cNvPr>
          <xdr:cNvCxnSpPr/>
        </xdr:nvCxnSpPr>
        <xdr:spPr>
          <a:xfrm flipV="1">
            <a:off x="1352550" y="12463463"/>
            <a:ext cx="1233488" cy="542925"/>
          </a:xfrm>
          <a:prstGeom prst="line">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152400</xdr:colOff>
      <xdr:row>654</xdr:row>
      <xdr:rowOff>76200</xdr:rowOff>
    </xdr:from>
    <xdr:to>
      <xdr:col>18</xdr:col>
      <xdr:colOff>61913</xdr:colOff>
      <xdr:row>668</xdr:row>
      <xdr:rowOff>71437</xdr:rowOff>
    </xdr:to>
    <xdr:grpSp>
      <xdr:nvGrpSpPr>
        <xdr:cNvPr id="2566" name="Group 2565">
          <a:extLst>
            <a:ext uri="{FF2B5EF4-FFF2-40B4-BE49-F238E27FC236}">
              <a16:creationId xmlns:a16="http://schemas.microsoft.com/office/drawing/2014/main" id="{083FD322-76A6-440E-8B2B-95B7234C4B66}"/>
            </a:ext>
          </a:extLst>
        </xdr:cNvPr>
        <xdr:cNvGrpSpPr/>
      </xdr:nvGrpSpPr>
      <xdr:grpSpPr>
        <a:xfrm>
          <a:off x="314325" y="95259525"/>
          <a:ext cx="2662238" cy="1995487"/>
          <a:chOff x="314325" y="12463463"/>
          <a:chExt cx="2662238" cy="1995487"/>
        </a:xfrm>
      </xdr:grpSpPr>
      <xdr:sp macro="" textlink="">
        <xdr:nvSpPr>
          <xdr:cNvPr id="2567" name="Rectangle 2566">
            <a:extLst>
              <a:ext uri="{FF2B5EF4-FFF2-40B4-BE49-F238E27FC236}">
                <a16:creationId xmlns:a16="http://schemas.microsoft.com/office/drawing/2014/main" id="{9C450617-B096-42FB-6201-94F2CDCC4299}"/>
              </a:ext>
            </a:extLst>
          </xdr:cNvPr>
          <xdr:cNvSpPr/>
        </xdr:nvSpPr>
        <xdr:spPr>
          <a:xfrm>
            <a:off x="319088" y="12954000"/>
            <a:ext cx="1138237" cy="1143000"/>
          </a:xfrm>
          <a:prstGeom prst="rect">
            <a:avLst/>
          </a:prstGeom>
          <a:blipFill>
            <a:blip xmlns:r="http://schemas.openxmlformats.org/officeDocument/2006/relationships" r:embed="rId1"/>
            <a:tile tx="0" ty="0" sx="100000" sy="100000" flip="none" algn="tl"/>
          </a:blip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kern="1200"/>
          </a:p>
        </xdr:txBody>
      </xdr:sp>
      <xdr:grpSp>
        <xdr:nvGrpSpPr>
          <xdr:cNvPr id="2568" name="Group 2567">
            <a:extLst>
              <a:ext uri="{FF2B5EF4-FFF2-40B4-BE49-F238E27FC236}">
                <a16:creationId xmlns:a16="http://schemas.microsoft.com/office/drawing/2014/main" id="{98BDD7F2-07BA-9CA3-1529-9ADB26A90E13}"/>
              </a:ext>
            </a:extLst>
          </xdr:cNvPr>
          <xdr:cNvGrpSpPr/>
        </xdr:nvGrpSpPr>
        <xdr:grpSpPr>
          <a:xfrm>
            <a:off x="966788" y="12954000"/>
            <a:ext cx="1624011" cy="1143000"/>
            <a:chOff x="966788" y="79276575"/>
            <a:chExt cx="1624011" cy="1143000"/>
          </a:xfrm>
          <a:blipFill>
            <a:blip xmlns:r="http://schemas.openxmlformats.org/officeDocument/2006/relationships" r:embed="rId1"/>
            <a:tile tx="0" ty="0" sx="100000" sy="100000" flip="none" algn="tl"/>
          </a:blipFill>
        </xdr:grpSpPr>
        <xdr:sp macro="" textlink="">
          <xdr:nvSpPr>
            <xdr:cNvPr id="2607" name="Rectangle 2606">
              <a:extLst>
                <a:ext uri="{FF2B5EF4-FFF2-40B4-BE49-F238E27FC236}">
                  <a16:creationId xmlns:a16="http://schemas.microsoft.com/office/drawing/2014/main" id="{BE43DC43-6058-AEAD-5299-6078AA025CA1}"/>
                </a:ext>
              </a:extLst>
            </xdr:cNvPr>
            <xdr:cNvSpPr/>
          </xdr:nvSpPr>
          <xdr:spPr>
            <a:xfrm>
              <a:off x="1457325" y="79276575"/>
              <a:ext cx="642938" cy="719138"/>
            </a:xfrm>
            <a:prstGeom prst="rect">
              <a:avLst/>
            </a:prstGeom>
            <a:grp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kern="1200"/>
            </a:p>
          </xdr:txBody>
        </xdr:sp>
        <xdr:sp macro="" textlink="">
          <xdr:nvSpPr>
            <xdr:cNvPr id="2608" name="Rectangle 2607">
              <a:extLst>
                <a:ext uri="{FF2B5EF4-FFF2-40B4-BE49-F238E27FC236}">
                  <a16:creationId xmlns:a16="http://schemas.microsoft.com/office/drawing/2014/main" id="{D97C167D-6B82-ADE1-86AA-559A2B5D1FA8}"/>
                </a:ext>
              </a:extLst>
            </xdr:cNvPr>
            <xdr:cNvSpPr/>
          </xdr:nvSpPr>
          <xdr:spPr>
            <a:xfrm>
              <a:off x="966788" y="79995714"/>
              <a:ext cx="1624011" cy="423861"/>
            </a:xfrm>
            <a:prstGeom prst="rect">
              <a:avLst/>
            </a:prstGeom>
            <a:grp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kern="1200"/>
            </a:p>
          </xdr:txBody>
        </xdr:sp>
      </xdr:grpSp>
      <xdr:cxnSp macro="">
        <xdr:nvCxnSpPr>
          <xdr:cNvPr id="2569" name="Straight Connector 2568">
            <a:extLst>
              <a:ext uri="{FF2B5EF4-FFF2-40B4-BE49-F238E27FC236}">
                <a16:creationId xmlns:a16="http://schemas.microsoft.com/office/drawing/2014/main" id="{9F8F7C7A-A3CE-D9FF-8250-3DB76CE56F77}"/>
              </a:ext>
            </a:extLst>
          </xdr:cNvPr>
          <xdr:cNvCxnSpPr/>
        </xdr:nvCxnSpPr>
        <xdr:spPr>
          <a:xfrm>
            <a:off x="2914652" y="12873035"/>
            <a:ext cx="0" cy="128587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570" name="Straight Connector 2569">
            <a:extLst>
              <a:ext uri="{FF2B5EF4-FFF2-40B4-BE49-F238E27FC236}">
                <a16:creationId xmlns:a16="http://schemas.microsoft.com/office/drawing/2014/main" id="{C9BF6099-1100-28EF-43DA-391D50CF018F}"/>
              </a:ext>
            </a:extLst>
          </xdr:cNvPr>
          <xdr:cNvCxnSpPr/>
        </xdr:nvCxnSpPr>
        <xdr:spPr>
          <a:xfrm>
            <a:off x="2176461" y="12954001"/>
            <a:ext cx="800102"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571" name="Straight Connector 2570">
            <a:extLst>
              <a:ext uri="{FF2B5EF4-FFF2-40B4-BE49-F238E27FC236}">
                <a16:creationId xmlns:a16="http://schemas.microsoft.com/office/drawing/2014/main" id="{5A005247-4C7C-581E-F339-55A2E6792747}"/>
              </a:ext>
            </a:extLst>
          </xdr:cNvPr>
          <xdr:cNvCxnSpPr/>
        </xdr:nvCxnSpPr>
        <xdr:spPr>
          <a:xfrm flipH="1">
            <a:off x="2876550" y="12920663"/>
            <a:ext cx="76200" cy="762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572" name="Straight Connector 2571">
            <a:extLst>
              <a:ext uri="{FF2B5EF4-FFF2-40B4-BE49-F238E27FC236}">
                <a16:creationId xmlns:a16="http://schemas.microsoft.com/office/drawing/2014/main" id="{10862AF8-2292-D60A-62D1-C0C91EC67D13}"/>
              </a:ext>
            </a:extLst>
          </xdr:cNvPr>
          <xdr:cNvCxnSpPr/>
        </xdr:nvCxnSpPr>
        <xdr:spPr>
          <a:xfrm>
            <a:off x="2676525" y="13668377"/>
            <a:ext cx="2952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573" name="Straight Connector 2572">
            <a:extLst>
              <a:ext uri="{FF2B5EF4-FFF2-40B4-BE49-F238E27FC236}">
                <a16:creationId xmlns:a16="http://schemas.microsoft.com/office/drawing/2014/main" id="{6CBEE491-589D-2EC9-2156-2C995760EB6C}"/>
              </a:ext>
            </a:extLst>
          </xdr:cNvPr>
          <xdr:cNvCxnSpPr/>
        </xdr:nvCxnSpPr>
        <xdr:spPr>
          <a:xfrm flipH="1">
            <a:off x="2871785" y="13635039"/>
            <a:ext cx="76200" cy="762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574" name="Straight Connector 2573">
            <a:extLst>
              <a:ext uri="{FF2B5EF4-FFF2-40B4-BE49-F238E27FC236}">
                <a16:creationId xmlns:a16="http://schemas.microsoft.com/office/drawing/2014/main" id="{774397A5-64B5-D01C-26D3-A8B194983396}"/>
              </a:ext>
            </a:extLst>
          </xdr:cNvPr>
          <xdr:cNvCxnSpPr/>
        </xdr:nvCxnSpPr>
        <xdr:spPr>
          <a:xfrm>
            <a:off x="2676525" y="14097002"/>
            <a:ext cx="2952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575" name="Straight Connector 2574">
            <a:extLst>
              <a:ext uri="{FF2B5EF4-FFF2-40B4-BE49-F238E27FC236}">
                <a16:creationId xmlns:a16="http://schemas.microsoft.com/office/drawing/2014/main" id="{AEBAB524-9176-4850-6AFA-54A47003EF66}"/>
              </a:ext>
            </a:extLst>
          </xdr:cNvPr>
          <xdr:cNvCxnSpPr/>
        </xdr:nvCxnSpPr>
        <xdr:spPr>
          <a:xfrm flipH="1">
            <a:off x="2871785" y="14063664"/>
            <a:ext cx="76200" cy="762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576" name="Straight Connector 2575">
            <a:extLst>
              <a:ext uri="{FF2B5EF4-FFF2-40B4-BE49-F238E27FC236}">
                <a16:creationId xmlns:a16="http://schemas.microsoft.com/office/drawing/2014/main" id="{C7046265-EE30-A632-C081-A42F68429EC8}"/>
              </a:ext>
            </a:extLst>
          </xdr:cNvPr>
          <xdr:cNvCxnSpPr/>
        </xdr:nvCxnSpPr>
        <xdr:spPr>
          <a:xfrm>
            <a:off x="971550" y="14168438"/>
            <a:ext cx="0" cy="29051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577" name="Straight Connector 2576">
            <a:extLst>
              <a:ext uri="{FF2B5EF4-FFF2-40B4-BE49-F238E27FC236}">
                <a16:creationId xmlns:a16="http://schemas.microsoft.com/office/drawing/2014/main" id="{348F539E-3908-4841-C46C-956D2965D586}"/>
              </a:ext>
            </a:extLst>
          </xdr:cNvPr>
          <xdr:cNvCxnSpPr/>
        </xdr:nvCxnSpPr>
        <xdr:spPr>
          <a:xfrm>
            <a:off x="900112" y="14382751"/>
            <a:ext cx="17430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578" name="Straight Connector 2577">
            <a:extLst>
              <a:ext uri="{FF2B5EF4-FFF2-40B4-BE49-F238E27FC236}">
                <a16:creationId xmlns:a16="http://schemas.microsoft.com/office/drawing/2014/main" id="{4DCE4220-A88C-B67B-F30C-15155232C706}"/>
              </a:ext>
            </a:extLst>
          </xdr:cNvPr>
          <xdr:cNvCxnSpPr/>
        </xdr:nvCxnSpPr>
        <xdr:spPr>
          <a:xfrm flipH="1">
            <a:off x="933448" y="14344650"/>
            <a:ext cx="76200" cy="762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579" name="Straight Connector 2578">
            <a:extLst>
              <a:ext uri="{FF2B5EF4-FFF2-40B4-BE49-F238E27FC236}">
                <a16:creationId xmlns:a16="http://schemas.microsoft.com/office/drawing/2014/main" id="{A0AF659D-EB5C-9B88-97B8-9E5566C3B7D2}"/>
              </a:ext>
            </a:extLst>
          </xdr:cNvPr>
          <xdr:cNvCxnSpPr/>
        </xdr:nvCxnSpPr>
        <xdr:spPr>
          <a:xfrm>
            <a:off x="2590800" y="14168438"/>
            <a:ext cx="0" cy="29051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580" name="Straight Connector 2579">
            <a:extLst>
              <a:ext uri="{FF2B5EF4-FFF2-40B4-BE49-F238E27FC236}">
                <a16:creationId xmlns:a16="http://schemas.microsoft.com/office/drawing/2014/main" id="{5709D217-5CF3-5123-311B-BCB47791A964}"/>
              </a:ext>
            </a:extLst>
          </xdr:cNvPr>
          <xdr:cNvCxnSpPr/>
        </xdr:nvCxnSpPr>
        <xdr:spPr>
          <a:xfrm flipH="1">
            <a:off x="2552698" y="14344650"/>
            <a:ext cx="76200" cy="762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581" name="Straight Connector 2580">
            <a:extLst>
              <a:ext uri="{FF2B5EF4-FFF2-40B4-BE49-F238E27FC236}">
                <a16:creationId xmlns:a16="http://schemas.microsoft.com/office/drawing/2014/main" id="{FEF31411-3D48-0F4A-3705-4EC5D522CF10}"/>
              </a:ext>
            </a:extLst>
          </xdr:cNvPr>
          <xdr:cNvCxnSpPr/>
        </xdr:nvCxnSpPr>
        <xdr:spPr>
          <a:xfrm>
            <a:off x="319088" y="12877800"/>
            <a:ext cx="0" cy="1343025"/>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2582" name="Straight Connector 2581">
            <a:extLst>
              <a:ext uri="{FF2B5EF4-FFF2-40B4-BE49-F238E27FC236}">
                <a16:creationId xmlns:a16="http://schemas.microsoft.com/office/drawing/2014/main" id="{02B781BE-078B-1792-0F2E-C70742934658}"/>
              </a:ext>
            </a:extLst>
          </xdr:cNvPr>
          <xdr:cNvCxnSpPr/>
        </xdr:nvCxnSpPr>
        <xdr:spPr>
          <a:xfrm flipV="1">
            <a:off x="1819275" y="12668250"/>
            <a:ext cx="714375" cy="676275"/>
          </a:xfrm>
          <a:prstGeom prst="line">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583" name="Straight Connector 2582">
            <a:extLst>
              <a:ext uri="{FF2B5EF4-FFF2-40B4-BE49-F238E27FC236}">
                <a16:creationId xmlns:a16="http://schemas.microsoft.com/office/drawing/2014/main" id="{465FAECA-C054-05C8-9517-9FB52581A9C3}"/>
              </a:ext>
            </a:extLst>
          </xdr:cNvPr>
          <xdr:cNvCxnSpPr/>
        </xdr:nvCxnSpPr>
        <xdr:spPr>
          <a:xfrm flipV="1">
            <a:off x="2085975" y="13535025"/>
            <a:ext cx="457200" cy="390525"/>
          </a:xfrm>
          <a:prstGeom prst="line">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584" name="Straight Connector 2583">
            <a:extLst>
              <a:ext uri="{FF2B5EF4-FFF2-40B4-BE49-F238E27FC236}">
                <a16:creationId xmlns:a16="http://schemas.microsoft.com/office/drawing/2014/main" id="{A1777882-38FE-75AB-36C0-2A67F396F64A}"/>
              </a:ext>
            </a:extLst>
          </xdr:cNvPr>
          <xdr:cNvCxnSpPr/>
        </xdr:nvCxnSpPr>
        <xdr:spPr>
          <a:xfrm flipV="1">
            <a:off x="895350" y="12787313"/>
            <a:ext cx="314325" cy="523875"/>
          </a:xfrm>
          <a:prstGeom prst="line">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585" name="Straight Connector 2584">
            <a:extLst>
              <a:ext uri="{FF2B5EF4-FFF2-40B4-BE49-F238E27FC236}">
                <a16:creationId xmlns:a16="http://schemas.microsoft.com/office/drawing/2014/main" id="{69DE8EAE-EF09-4CE7-D37C-850EDE4B27A7}"/>
              </a:ext>
            </a:extLst>
          </xdr:cNvPr>
          <xdr:cNvCxnSpPr/>
        </xdr:nvCxnSpPr>
        <xdr:spPr>
          <a:xfrm>
            <a:off x="314325" y="13101638"/>
            <a:ext cx="1143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586" name="Straight Connector 2585">
            <a:extLst>
              <a:ext uri="{FF2B5EF4-FFF2-40B4-BE49-F238E27FC236}">
                <a16:creationId xmlns:a16="http://schemas.microsoft.com/office/drawing/2014/main" id="{E384334B-7D4F-03EA-F591-538C97322BDE}"/>
              </a:ext>
            </a:extLst>
          </xdr:cNvPr>
          <xdr:cNvCxnSpPr/>
        </xdr:nvCxnSpPr>
        <xdr:spPr>
          <a:xfrm>
            <a:off x="847725" y="12677775"/>
            <a:ext cx="57150" cy="390525"/>
          </a:xfrm>
          <a:prstGeom prst="line">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587" name="Straight Connector 2586">
            <a:extLst>
              <a:ext uri="{FF2B5EF4-FFF2-40B4-BE49-F238E27FC236}">
                <a16:creationId xmlns:a16="http://schemas.microsoft.com/office/drawing/2014/main" id="{910CB336-CBEF-D7C2-E095-E79114C5F568}"/>
              </a:ext>
            </a:extLst>
          </xdr:cNvPr>
          <xdr:cNvCxnSpPr/>
        </xdr:nvCxnSpPr>
        <xdr:spPr>
          <a:xfrm>
            <a:off x="647700" y="12892088"/>
            <a:ext cx="0" cy="27146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588" name="Straight Connector 2587">
            <a:extLst>
              <a:ext uri="{FF2B5EF4-FFF2-40B4-BE49-F238E27FC236}">
                <a16:creationId xmlns:a16="http://schemas.microsoft.com/office/drawing/2014/main" id="{B9FD3A50-5EB2-3B59-90D2-F15039794A66}"/>
              </a:ext>
            </a:extLst>
          </xdr:cNvPr>
          <xdr:cNvCxnSpPr/>
        </xdr:nvCxnSpPr>
        <xdr:spPr>
          <a:xfrm flipH="1">
            <a:off x="614362" y="12920661"/>
            <a:ext cx="76200" cy="762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589" name="Straight Connector 2588">
            <a:extLst>
              <a:ext uri="{FF2B5EF4-FFF2-40B4-BE49-F238E27FC236}">
                <a16:creationId xmlns:a16="http://schemas.microsoft.com/office/drawing/2014/main" id="{4EBF399A-F4C2-42D4-457C-857F28BBBBA0}"/>
              </a:ext>
            </a:extLst>
          </xdr:cNvPr>
          <xdr:cNvCxnSpPr/>
        </xdr:nvCxnSpPr>
        <xdr:spPr>
          <a:xfrm flipH="1">
            <a:off x="609600" y="13063538"/>
            <a:ext cx="76200" cy="76200"/>
          </a:xfrm>
          <a:prstGeom prst="line">
            <a:avLst/>
          </a:prstGeom>
        </xdr:spPr>
        <xdr:style>
          <a:lnRef idx="1">
            <a:schemeClr val="accent1"/>
          </a:lnRef>
          <a:fillRef idx="0">
            <a:schemeClr val="accent1"/>
          </a:fillRef>
          <a:effectRef idx="0">
            <a:schemeClr val="accent1"/>
          </a:effectRef>
          <a:fontRef idx="minor">
            <a:schemeClr val="tx1"/>
          </a:fontRef>
        </xdr:style>
      </xdr:cxnSp>
      <xdr:sp macro="" textlink="">
        <xdr:nvSpPr>
          <xdr:cNvPr id="2590" name="Freeform: Shape 2589">
            <a:extLst>
              <a:ext uri="{FF2B5EF4-FFF2-40B4-BE49-F238E27FC236}">
                <a16:creationId xmlns:a16="http://schemas.microsoft.com/office/drawing/2014/main" id="{FD4014C3-B4B4-A70E-BEB3-097893147A15}"/>
              </a:ext>
            </a:extLst>
          </xdr:cNvPr>
          <xdr:cNvSpPr/>
        </xdr:nvSpPr>
        <xdr:spPr>
          <a:xfrm>
            <a:off x="1019175" y="13720762"/>
            <a:ext cx="1519237" cy="319088"/>
          </a:xfrm>
          <a:custGeom>
            <a:avLst/>
            <a:gdLst>
              <a:gd name="connsiteX0" fmla="*/ 0 w 1519237"/>
              <a:gd name="connsiteY0" fmla="*/ 9525 h 319088"/>
              <a:gd name="connsiteX1" fmla="*/ 0 w 1519237"/>
              <a:gd name="connsiteY1" fmla="*/ 319088 h 319088"/>
              <a:gd name="connsiteX2" fmla="*/ 1519237 w 1519237"/>
              <a:gd name="connsiteY2" fmla="*/ 319088 h 319088"/>
              <a:gd name="connsiteX3" fmla="*/ 1519237 w 1519237"/>
              <a:gd name="connsiteY3" fmla="*/ 0 h 319088"/>
            </a:gdLst>
            <a:ahLst/>
            <a:cxnLst>
              <a:cxn ang="0">
                <a:pos x="connsiteX0" y="connsiteY0"/>
              </a:cxn>
              <a:cxn ang="0">
                <a:pos x="connsiteX1" y="connsiteY1"/>
              </a:cxn>
              <a:cxn ang="0">
                <a:pos x="connsiteX2" y="connsiteY2"/>
              </a:cxn>
              <a:cxn ang="0">
                <a:pos x="connsiteX3" y="connsiteY3"/>
              </a:cxn>
            </a:cxnLst>
            <a:rect l="l" t="t" r="r" b="b"/>
            <a:pathLst>
              <a:path w="1519237" h="319088">
                <a:moveTo>
                  <a:pt x="0" y="9525"/>
                </a:moveTo>
                <a:lnTo>
                  <a:pt x="0" y="319088"/>
                </a:lnTo>
                <a:lnTo>
                  <a:pt x="1519237" y="319088"/>
                </a:lnTo>
                <a:lnTo>
                  <a:pt x="1519237" y="0"/>
                </a:lnTo>
              </a:path>
            </a:pathLst>
          </a:cu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kern="1200"/>
          </a:p>
        </xdr:txBody>
      </xdr:sp>
      <xdr:cxnSp macro="">
        <xdr:nvCxnSpPr>
          <xdr:cNvPr id="2591" name="Straight Connector 2590">
            <a:extLst>
              <a:ext uri="{FF2B5EF4-FFF2-40B4-BE49-F238E27FC236}">
                <a16:creationId xmlns:a16="http://schemas.microsoft.com/office/drawing/2014/main" id="{49AA2CCF-C1D6-D92D-D701-CFBF1BD6FFA0}"/>
              </a:ext>
            </a:extLst>
          </xdr:cNvPr>
          <xdr:cNvCxnSpPr/>
        </xdr:nvCxnSpPr>
        <xdr:spPr>
          <a:xfrm>
            <a:off x="328613" y="13011149"/>
            <a:ext cx="17526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2592" name="Oval 2591">
            <a:extLst>
              <a:ext uri="{FF2B5EF4-FFF2-40B4-BE49-F238E27FC236}">
                <a16:creationId xmlns:a16="http://schemas.microsoft.com/office/drawing/2014/main" id="{D3E9B4EC-E814-D363-5B14-94D744A3E12A}"/>
              </a:ext>
            </a:extLst>
          </xdr:cNvPr>
          <xdr:cNvSpPr/>
        </xdr:nvSpPr>
        <xdr:spPr>
          <a:xfrm>
            <a:off x="396241" y="13021626"/>
            <a:ext cx="45720" cy="45720"/>
          </a:xfrm>
          <a:prstGeom prst="ellipse">
            <a:avLst/>
          </a:prstGeom>
          <a:solidFill>
            <a:schemeClr val="tx1"/>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kern="1200"/>
          </a:p>
        </xdr:txBody>
      </xdr:sp>
      <xdr:sp macro="" textlink="">
        <xdr:nvSpPr>
          <xdr:cNvPr id="2593" name="Oval 2592">
            <a:extLst>
              <a:ext uri="{FF2B5EF4-FFF2-40B4-BE49-F238E27FC236}">
                <a16:creationId xmlns:a16="http://schemas.microsoft.com/office/drawing/2014/main" id="{40852CA3-EF9A-6109-C86A-F3DCE2AD1ABA}"/>
              </a:ext>
            </a:extLst>
          </xdr:cNvPr>
          <xdr:cNvSpPr/>
        </xdr:nvSpPr>
        <xdr:spPr>
          <a:xfrm>
            <a:off x="748666" y="13021627"/>
            <a:ext cx="45720" cy="45720"/>
          </a:xfrm>
          <a:prstGeom prst="ellipse">
            <a:avLst/>
          </a:prstGeom>
          <a:solidFill>
            <a:schemeClr val="tx1"/>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kern="1200"/>
          </a:p>
        </xdr:txBody>
      </xdr:sp>
      <xdr:sp macro="" textlink="">
        <xdr:nvSpPr>
          <xdr:cNvPr id="2594" name="Oval 2593">
            <a:extLst>
              <a:ext uri="{FF2B5EF4-FFF2-40B4-BE49-F238E27FC236}">
                <a16:creationId xmlns:a16="http://schemas.microsoft.com/office/drawing/2014/main" id="{BC686682-8EEE-7F3B-35DE-2D021BAC529E}"/>
              </a:ext>
            </a:extLst>
          </xdr:cNvPr>
          <xdr:cNvSpPr/>
        </xdr:nvSpPr>
        <xdr:spPr>
          <a:xfrm>
            <a:off x="1267778" y="13021627"/>
            <a:ext cx="45720" cy="45720"/>
          </a:xfrm>
          <a:prstGeom prst="ellipse">
            <a:avLst/>
          </a:prstGeom>
          <a:solidFill>
            <a:schemeClr val="tx1"/>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kern="1200"/>
          </a:p>
        </xdr:txBody>
      </xdr:sp>
      <xdr:sp macro="" textlink="">
        <xdr:nvSpPr>
          <xdr:cNvPr id="2595" name="Oval 2594">
            <a:extLst>
              <a:ext uri="{FF2B5EF4-FFF2-40B4-BE49-F238E27FC236}">
                <a16:creationId xmlns:a16="http://schemas.microsoft.com/office/drawing/2014/main" id="{0D444439-9618-A217-6624-B55D8403C3B7}"/>
              </a:ext>
            </a:extLst>
          </xdr:cNvPr>
          <xdr:cNvSpPr/>
        </xdr:nvSpPr>
        <xdr:spPr>
          <a:xfrm>
            <a:off x="1029653" y="13021627"/>
            <a:ext cx="45720" cy="45720"/>
          </a:xfrm>
          <a:prstGeom prst="ellipse">
            <a:avLst/>
          </a:prstGeom>
          <a:solidFill>
            <a:schemeClr val="tx1"/>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kern="1200"/>
          </a:p>
        </xdr:txBody>
      </xdr:sp>
      <xdr:sp macro="" textlink="">
        <xdr:nvSpPr>
          <xdr:cNvPr id="2596" name="Freeform: Shape 2595">
            <a:extLst>
              <a:ext uri="{FF2B5EF4-FFF2-40B4-BE49-F238E27FC236}">
                <a16:creationId xmlns:a16="http://schemas.microsoft.com/office/drawing/2014/main" id="{2EFEB54A-4330-2B7C-F41A-2CF6DC93581B}"/>
              </a:ext>
            </a:extLst>
          </xdr:cNvPr>
          <xdr:cNvSpPr/>
        </xdr:nvSpPr>
        <xdr:spPr>
          <a:xfrm>
            <a:off x="1519237" y="13011150"/>
            <a:ext cx="495300" cy="1028700"/>
          </a:xfrm>
          <a:custGeom>
            <a:avLst/>
            <a:gdLst>
              <a:gd name="connsiteX0" fmla="*/ 0 w 495300"/>
              <a:gd name="connsiteY0" fmla="*/ 714375 h 714375"/>
              <a:gd name="connsiteX1" fmla="*/ 0 w 495300"/>
              <a:gd name="connsiteY1" fmla="*/ 0 h 714375"/>
              <a:gd name="connsiteX2" fmla="*/ 495300 w 495300"/>
              <a:gd name="connsiteY2" fmla="*/ 0 h 714375"/>
              <a:gd name="connsiteX3" fmla="*/ 495300 w 495300"/>
              <a:gd name="connsiteY3" fmla="*/ 714375 h 714375"/>
            </a:gdLst>
            <a:ahLst/>
            <a:cxnLst>
              <a:cxn ang="0">
                <a:pos x="connsiteX0" y="connsiteY0"/>
              </a:cxn>
              <a:cxn ang="0">
                <a:pos x="connsiteX1" y="connsiteY1"/>
              </a:cxn>
              <a:cxn ang="0">
                <a:pos x="connsiteX2" y="connsiteY2"/>
              </a:cxn>
              <a:cxn ang="0">
                <a:pos x="connsiteX3" y="connsiteY3"/>
              </a:cxn>
            </a:cxnLst>
            <a:rect l="l" t="t" r="r" b="b"/>
            <a:pathLst>
              <a:path w="495300" h="714375">
                <a:moveTo>
                  <a:pt x="0" y="714375"/>
                </a:moveTo>
                <a:lnTo>
                  <a:pt x="0" y="0"/>
                </a:lnTo>
                <a:lnTo>
                  <a:pt x="495300" y="0"/>
                </a:lnTo>
                <a:lnTo>
                  <a:pt x="495300" y="714375"/>
                </a:lnTo>
              </a:path>
            </a:pathLst>
          </a:cu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cxnSp macro="">
        <xdr:nvCxnSpPr>
          <xdr:cNvPr id="2597" name="Straight Connector 2596">
            <a:extLst>
              <a:ext uri="{FF2B5EF4-FFF2-40B4-BE49-F238E27FC236}">
                <a16:creationId xmlns:a16="http://schemas.microsoft.com/office/drawing/2014/main" id="{4AEF02D7-1BC0-2C74-1117-3135337C0E09}"/>
              </a:ext>
            </a:extLst>
          </xdr:cNvPr>
          <xdr:cNvCxnSpPr/>
        </xdr:nvCxnSpPr>
        <xdr:spPr>
          <a:xfrm>
            <a:off x="1685925" y="13011150"/>
            <a:ext cx="0" cy="1019175"/>
          </a:xfrm>
          <a:prstGeom prst="lin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2598" name="Straight Connector 2597">
            <a:extLst>
              <a:ext uri="{FF2B5EF4-FFF2-40B4-BE49-F238E27FC236}">
                <a16:creationId xmlns:a16="http://schemas.microsoft.com/office/drawing/2014/main" id="{C3ABDCC0-6106-B8F7-FFD2-8AC05223F685}"/>
              </a:ext>
            </a:extLst>
          </xdr:cNvPr>
          <xdr:cNvCxnSpPr/>
        </xdr:nvCxnSpPr>
        <xdr:spPr>
          <a:xfrm>
            <a:off x="1890712" y="13015913"/>
            <a:ext cx="0" cy="1019175"/>
          </a:xfrm>
          <a:prstGeom prst="lin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2599" name="Straight Connector 2598">
            <a:extLst>
              <a:ext uri="{FF2B5EF4-FFF2-40B4-BE49-F238E27FC236}">
                <a16:creationId xmlns:a16="http://schemas.microsoft.com/office/drawing/2014/main" id="{A4AD2400-0314-EA21-1E30-7546D4456AF7}"/>
              </a:ext>
            </a:extLst>
          </xdr:cNvPr>
          <xdr:cNvCxnSpPr/>
        </xdr:nvCxnSpPr>
        <xdr:spPr>
          <a:xfrm>
            <a:off x="1519237" y="13201652"/>
            <a:ext cx="495301" cy="0"/>
          </a:xfrm>
          <a:prstGeom prst="lin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2600" name="Straight Connector 2599">
            <a:extLst>
              <a:ext uri="{FF2B5EF4-FFF2-40B4-BE49-F238E27FC236}">
                <a16:creationId xmlns:a16="http://schemas.microsoft.com/office/drawing/2014/main" id="{D2D40283-6D20-315D-7812-F21CA451C16A}"/>
              </a:ext>
            </a:extLst>
          </xdr:cNvPr>
          <xdr:cNvCxnSpPr/>
        </xdr:nvCxnSpPr>
        <xdr:spPr>
          <a:xfrm>
            <a:off x="1514474" y="13401676"/>
            <a:ext cx="495301" cy="0"/>
          </a:xfrm>
          <a:prstGeom prst="lin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2601" name="Straight Connector 2600">
            <a:extLst>
              <a:ext uri="{FF2B5EF4-FFF2-40B4-BE49-F238E27FC236}">
                <a16:creationId xmlns:a16="http://schemas.microsoft.com/office/drawing/2014/main" id="{80D5A004-6DEF-4C19-D3C1-0FDA390DDB82}"/>
              </a:ext>
            </a:extLst>
          </xdr:cNvPr>
          <xdr:cNvCxnSpPr/>
        </xdr:nvCxnSpPr>
        <xdr:spPr>
          <a:xfrm>
            <a:off x="1514474" y="13611227"/>
            <a:ext cx="495301" cy="0"/>
          </a:xfrm>
          <a:prstGeom prst="lin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2602" name="Straight Connector 2601">
            <a:extLst>
              <a:ext uri="{FF2B5EF4-FFF2-40B4-BE49-F238E27FC236}">
                <a16:creationId xmlns:a16="http://schemas.microsoft.com/office/drawing/2014/main" id="{B19F9855-6123-55F9-8343-FAC30D61F7AF}"/>
              </a:ext>
            </a:extLst>
          </xdr:cNvPr>
          <xdr:cNvCxnSpPr/>
        </xdr:nvCxnSpPr>
        <xdr:spPr>
          <a:xfrm>
            <a:off x="1519237" y="13854109"/>
            <a:ext cx="495301" cy="0"/>
          </a:xfrm>
          <a:prstGeom prst="lin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cxnSp>
      <xdr:sp macro="" textlink="">
        <xdr:nvSpPr>
          <xdr:cNvPr id="2603" name="Oval 2602">
            <a:extLst>
              <a:ext uri="{FF2B5EF4-FFF2-40B4-BE49-F238E27FC236}">
                <a16:creationId xmlns:a16="http://schemas.microsoft.com/office/drawing/2014/main" id="{70107B90-EEE3-692B-4D95-0F2013442471}"/>
              </a:ext>
            </a:extLst>
          </xdr:cNvPr>
          <xdr:cNvSpPr/>
        </xdr:nvSpPr>
        <xdr:spPr>
          <a:xfrm>
            <a:off x="1524016" y="13020675"/>
            <a:ext cx="45720" cy="45720"/>
          </a:xfrm>
          <a:prstGeom prst="ellipse">
            <a:avLst/>
          </a:prstGeom>
          <a:solidFill>
            <a:schemeClr val="tx1"/>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kern="1200"/>
          </a:p>
        </xdr:txBody>
      </xdr:sp>
      <xdr:sp macro="" textlink="">
        <xdr:nvSpPr>
          <xdr:cNvPr id="2604" name="Oval 2603">
            <a:extLst>
              <a:ext uri="{FF2B5EF4-FFF2-40B4-BE49-F238E27FC236}">
                <a16:creationId xmlns:a16="http://schemas.microsoft.com/office/drawing/2014/main" id="{EABA3D3F-B20A-1098-599E-986C2FCB2218}"/>
              </a:ext>
            </a:extLst>
          </xdr:cNvPr>
          <xdr:cNvSpPr/>
        </xdr:nvSpPr>
        <xdr:spPr>
          <a:xfrm>
            <a:off x="2038365" y="13020675"/>
            <a:ext cx="45720" cy="45720"/>
          </a:xfrm>
          <a:prstGeom prst="ellipse">
            <a:avLst/>
          </a:prstGeom>
          <a:solidFill>
            <a:schemeClr val="tx1"/>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kern="1200"/>
          </a:p>
        </xdr:txBody>
      </xdr:sp>
      <xdr:sp macro="" textlink="">
        <xdr:nvSpPr>
          <xdr:cNvPr id="2605" name="Oval 2604">
            <a:extLst>
              <a:ext uri="{FF2B5EF4-FFF2-40B4-BE49-F238E27FC236}">
                <a16:creationId xmlns:a16="http://schemas.microsoft.com/office/drawing/2014/main" id="{535686F1-FE63-5191-0A16-617ECBFD5195}"/>
              </a:ext>
            </a:extLst>
          </xdr:cNvPr>
          <xdr:cNvSpPr/>
        </xdr:nvSpPr>
        <xdr:spPr>
          <a:xfrm>
            <a:off x="1805003" y="13020675"/>
            <a:ext cx="45720" cy="45720"/>
          </a:xfrm>
          <a:prstGeom prst="ellipse">
            <a:avLst/>
          </a:prstGeom>
          <a:solidFill>
            <a:schemeClr val="tx1"/>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kern="1200"/>
          </a:p>
        </xdr:txBody>
      </xdr:sp>
      <xdr:cxnSp macro="">
        <xdr:nvCxnSpPr>
          <xdr:cNvPr id="2606" name="Straight Connector 2605">
            <a:extLst>
              <a:ext uri="{FF2B5EF4-FFF2-40B4-BE49-F238E27FC236}">
                <a16:creationId xmlns:a16="http://schemas.microsoft.com/office/drawing/2014/main" id="{F79CEFA2-B8AB-76FB-2816-802006723E21}"/>
              </a:ext>
            </a:extLst>
          </xdr:cNvPr>
          <xdr:cNvCxnSpPr/>
        </xdr:nvCxnSpPr>
        <xdr:spPr>
          <a:xfrm flipV="1">
            <a:off x="1352550" y="12463463"/>
            <a:ext cx="1233488" cy="542925"/>
          </a:xfrm>
          <a:prstGeom prst="line">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152400</xdr:colOff>
      <xdr:row>849</xdr:row>
      <xdr:rowOff>76200</xdr:rowOff>
    </xdr:from>
    <xdr:to>
      <xdr:col>18</xdr:col>
      <xdr:colOff>61913</xdr:colOff>
      <xdr:row>863</xdr:row>
      <xdr:rowOff>71437</xdr:rowOff>
    </xdr:to>
    <xdr:grpSp>
      <xdr:nvGrpSpPr>
        <xdr:cNvPr id="2609" name="Group 2608">
          <a:extLst>
            <a:ext uri="{FF2B5EF4-FFF2-40B4-BE49-F238E27FC236}">
              <a16:creationId xmlns:a16="http://schemas.microsoft.com/office/drawing/2014/main" id="{DECC509E-1865-43FD-8A3F-DA365D066F99}"/>
            </a:ext>
          </a:extLst>
        </xdr:cNvPr>
        <xdr:cNvGrpSpPr/>
      </xdr:nvGrpSpPr>
      <xdr:grpSpPr>
        <a:xfrm>
          <a:off x="314325" y="123558300"/>
          <a:ext cx="2662238" cy="1995487"/>
          <a:chOff x="314325" y="12463463"/>
          <a:chExt cx="2662238" cy="1995487"/>
        </a:xfrm>
      </xdr:grpSpPr>
      <xdr:sp macro="" textlink="">
        <xdr:nvSpPr>
          <xdr:cNvPr id="2610" name="Rectangle 2609">
            <a:extLst>
              <a:ext uri="{FF2B5EF4-FFF2-40B4-BE49-F238E27FC236}">
                <a16:creationId xmlns:a16="http://schemas.microsoft.com/office/drawing/2014/main" id="{C8364B68-50FB-0EF9-60DF-A9C584E55757}"/>
              </a:ext>
            </a:extLst>
          </xdr:cNvPr>
          <xdr:cNvSpPr/>
        </xdr:nvSpPr>
        <xdr:spPr>
          <a:xfrm>
            <a:off x="319088" y="12954000"/>
            <a:ext cx="1138237" cy="1143000"/>
          </a:xfrm>
          <a:prstGeom prst="rect">
            <a:avLst/>
          </a:prstGeom>
          <a:blipFill>
            <a:blip xmlns:r="http://schemas.openxmlformats.org/officeDocument/2006/relationships" r:embed="rId1"/>
            <a:tile tx="0" ty="0" sx="100000" sy="100000" flip="none" algn="tl"/>
          </a:blip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kern="1200"/>
          </a:p>
        </xdr:txBody>
      </xdr:sp>
      <xdr:grpSp>
        <xdr:nvGrpSpPr>
          <xdr:cNvPr id="2611" name="Group 2610">
            <a:extLst>
              <a:ext uri="{FF2B5EF4-FFF2-40B4-BE49-F238E27FC236}">
                <a16:creationId xmlns:a16="http://schemas.microsoft.com/office/drawing/2014/main" id="{8A278536-95FC-17B0-2831-4C5183B37F82}"/>
              </a:ext>
            </a:extLst>
          </xdr:cNvPr>
          <xdr:cNvGrpSpPr/>
        </xdr:nvGrpSpPr>
        <xdr:grpSpPr>
          <a:xfrm>
            <a:off x="966788" y="12954000"/>
            <a:ext cx="1624011" cy="1143000"/>
            <a:chOff x="966788" y="79276575"/>
            <a:chExt cx="1624011" cy="1143000"/>
          </a:xfrm>
          <a:blipFill>
            <a:blip xmlns:r="http://schemas.openxmlformats.org/officeDocument/2006/relationships" r:embed="rId1"/>
            <a:tile tx="0" ty="0" sx="100000" sy="100000" flip="none" algn="tl"/>
          </a:blipFill>
        </xdr:grpSpPr>
        <xdr:sp macro="" textlink="">
          <xdr:nvSpPr>
            <xdr:cNvPr id="2650" name="Rectangle 2649">
              <a:extLst>
                <a:ext uri="{FF2B5EF4-FFF2-40B4-BE49-F238E27FC236}">
                  <a16:creationId xmlns:a16="http://schemas.microsoft.com/office/drawing/2014/main" id="{EB9BA38B-B511-58FF-16E4-8FE69417922C}"/>
                </a:ext>
              </a:extLst>
            </xdr:cNvPr>
            <xdr:cNvSpPr/>
          </xdr:nvSpPr>
          <xdr:spPr>
            <a:xfrm>
              <a:off x="1457325" y="79276575"/>
              <a:ext cx="642938" cy="719138"/>
            </a:xfrm>
            <a:prstGeom prst="rect">
              <a:avLst/>
            </a:prstGeom>
            <a:grp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kern="1200"/>
            </a:p>
          </xdr:txBody>
        </xdr:sp>
        <xdr:sp macro="" textlink="">
          <xdr:nvSpPr>
            <xdr:cNvPr id="2651" name="Rectangle 2650">
              <a:extLst>
                <a:ext uri="{FF2B5EF4-FFF2-40B4-BE49-F238E27FC236}">
                  <a16:creationId xmlns:a16="http://schemas.microsoft.com/office/drawing/2014/main" id="{A0953998-AAD8-135F-7EBD-11AEF2DAC7BB}"/>
                </a:ext>
              </a:extLst>
            </xdr:cNvPr>
            <xdr:cNvSpPr/>
          </xdr:nvSpPr>
          <xdr:spPr>
            <a:xfrm>
              <a:off x="966788" y="79995714"/>
              <a:ext cx="1624011" cy="423861"/>
            </a:xfrm>
            <a:prstGeom prst="rect">
              <a:avLst/>
            </a:prstGeom>
            <a:grp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kern="1200"/>
            </a:p>
          </xdr:txBody>
        </xdr:sp>
      </xdr:grpSp>
      <xdr:cxnSp macro="">
        <xdr:nvCxnSpPr>
          <xdr:cNvPr id="2612" name="Straight Connector 2611">
            <a:extLst>
              <a:ext uri="{FF2B5EF4-FFF2-40B4-BE49-F238E27FC236}">
                <a16:creationId xmlns:a16="http://schemas.microsoft.com/office/drawing/2014/main" id="{D4900609-9CA8-BEB3-B275-D4ED94D7A9E2}"/>
              </a:ext>
            </a:extLst>
          </xdr:cNvPr>
          <xdr:cNvCxnSpPr/>
        </xdr:nvCxnSpPr>
        <xdr:spPr>
          <a:xfrm>
            <a:off x="2914652" y="12873035"/>
            <a:ext cx="0" cy="128587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613" name="Straight Connector 2612">
            <a:extLst>
              <a:ext uri="{FF2B5EF4-FFF2-40B4-BE49-F238E27FC236}">
                <a16:creationId xmlns:a16="http://schemas.microsoft.com/office/drawing/2014/main" id="{6BF7FCBE-DEEA-0B46-95C2-377C36CE4B48}"/>
              </a:ext>
            </a:extLst>
          </xdr:cNvPr>
          <xdr:cNvCxnSpPr/>
        </xdr:nvCxnSpPr>
        <xdr:spPr>
          <a:xfrm>
            <a:off x="2176461" y="12954001"/>
            <a:ext cx="800102"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614" name="Straight Connector 2613">
            <a:extLst>
              <a:ext uri="{FF2B5EF4-FFF2-40B4-BE49-F238E27FC236}">
                <a16:creationId xmlns:a16="http://schemas.microsoft.com/office/drawing/2014/main" id="{0F0A6F3C-163A-DADA-3B73-F7EE7F7265BC}"/>
              </a:ext>
            </a:extLst>
          </xdr:cNvPr>
          <xdr:cNvCxnSpPr/>
        </xdr:nvCxnSpPr>
        <xdr:spPr>
          <a:xfrm flipH="1">
            <a:off x="2876550" y="12920663"/>
            <a:ext cx="76200" cy="762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615" name="Straight Connector 2614">
            <a:extLst>
              <a:ext uri="{FF2B5EF4-FFF2-40B4-BE49-F238E27FC236}">
                <a16:creationId xmlns:a16="http://schemas.microsoft.com/office/drawing/2014/main" id="{A11977FB-E948-755D-6E23-EAA6C68524E1}"/>
              </a:ext>
            </a:extLst>
          </xdr:cNvPr>
          <xdr:cNvCxnSpPr/>
        </xdr:nvCxnSpPr>
        <xdr:spPr>
          <a:xfrm>
            <a:off x="2676525" y="13668377"/>
            <a:ext cx="2952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616" name="Straight Connector 2615">
            <a:extLst>
              <a:ext uri="{FF2B5EF4-FFF2-40B4-BE49-F238E27FC236}">
                <a16:creationId xmlns:a16="http://schemas.microsoft.com/office/drawing/2014/main" id="{589E2770-8A5F-0A1A-8910-6ACE902E7C6D}"/>
              </a:ext>
            </a:extLst>
          </xdr:cNvPr>
          <xdr:cNvCxnSpPr/>
        </xdr:nvCxnSpPr>
        <xdr:spPr>
          <a:xfrm flipH="1">
            <a:off x="2871785" y="13635039"/>
            <a:ext cx="76200" cy="762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617" name="Straight Connector 2616">
            <a:extLst>
              <a:ext uri="{FF2B5EF4-FFF2-40B4-BE49-F238E27FC236}">
                <a16:creationId xmlns:a16="http://schemas.microsoft.com/office/drawing/2014/main" id="{8ACDCE63-04E7-25AD-520B-15E4D4817E78}"/>
              </a:ext>
            </a:extLst>
          </xdr:cNvPr>
          <xdr:cNvCxnSpPr/>
        </xdr:nvCxnSpPr>
        <xdr:spPr>
          <a:xfrm>
            <a:off x="2676525" y="14097002"/>
            <a:ext cx="2952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618" name="Straight Connector 2617">
            <a:extLst>
              <a:ext uri="{FF2B5EF4-FFF2-40B4-BE49-F238E27FC236}">
                <a16:creationId xmlns:a16="http://schemas.microsoft.com/office/drawing/2014/main" id="{532DE25B-C452-61A7-0517-C39CC8E2542E}"/>
              </a:ext>
            </a:extLst>
          </xdr:cNvPr>
          <xdr:cNvCxnSpPr/>
        </xdr:nvCxnSpPr>
        <xdr:spPr>
          <a:xfrm flipH="1">
            <a:off x="2871785" y="14063664"/>
            <a:ext cx="76200" cy="762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619" name="Straight Connector 2618">
            <a:extLst>
              <a:ext uri="{FF2B5EF4-FFF2-40B4-BE49-F238E27FC236}">
                <a16:creationId xmlns:a16="http://schemas.microsoft.com/office/drawing/2014/main" id="{680ACC36-8428-994F-D552-A0B2A366840F}"/>
              </a:ext>
            </a:extLst>
          </xdr:cNvPr>
          <xdr:cNvCxnSpPr/>
        </xdr:nvCxnSpPr>
        <xdr:spPr>
          <a:xfrm>
            <a:off x="971550" y="14168438"/>
            <a:ext cx="0" cy="29051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620" name="Straight Connector 2619">
            <a:extLst>
              <a:ext uri="{FF2B5EF4-FFF2-40B4-BE49-F238E27FC236}">
                <a16:creationId xmlns:a16="http://schemas.microsoft.com/office/drawing/2014/main" id="{A350A2AE-7A5C-522B-092E-D79F3A92BCBA}"/>
              </a:ext>
            </a:extLst>
          </xdr:cNvPr>
          <xdr:cNvCxnSpPr/>
        </xdr:nvCxnSpPr>
        <xdr:spPr>
          <a:xfrm>
            <a:off x="900112" y="14382751"/>
            <a:ext cx="17430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621" name="Straight Connector 2620">
            <a:extLst>
              <a:ext uri="{FF2B5EF4-FFF2-40B4-BE49-F238E27FC236}">
                <a16:creationId xmlns:a16="http://schemas.microsoft.com/office/drawing/2014/main" id="{0B2D0518-4E32-8237-29F7-9BFB5AA6FA4F}"/>
              </a:ext>
            </a:extLst>
          </xdr:cNvPr>
          <xdr:cNvCxnSpPr/>
        </xdr:nvCxnSpPr>
        <xdr:spPr>
          <a:xfrm flipH="1">
            <a:off x="933448" y="14344650"/>
            <a:ext cx="76200" cy="762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622" name="Straight Connector 2621">
            <a:extLst>
              <a:ext uri="{FF2B5EF4-FFF2-40B4-BE49-F238E27FC236}">
                <a16:creationId xmlns:a16="http://schemas.microsoft.com/office/drawing/2014/main" id="{7765799D-CEDF-4416-53E5-68559AD0E180}"/>
              </a:ext>
            </a:extLst>
          </xdr:cNvPr>
          <xdr:cNvCxnSpPr/>
        </xdr:nvCxnSpPr>
        <xdr:spPr>
          <a:xfrm>
            <a:off x="2590800" y="14168438"/>
            <a:ext cx="0" cy="29051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623" name="Straight Connector 2622">
            <a:extLst>
              <a:ext uri="{FF2B5EF4-FFF2-40B4-BE49-F238E27FC236}">
                <a16:creationId xmlns:a16="http://schemas.microsoft.com/office/drawing/2014/main" id="{29100B8F-5B16-1A34-FFE7-CD045CBEC25E}"/>
              </a:ext>
            </a:extLst>
          </xdr:cNvPr>
          <xdr:cNvCxnSpPr/>
        </xdr:nvCxnSpPr>
        <xdr:spPr>
          <a:xfrm flipH="1">
            <a:off x="2552698" y="14344650"/>
            <a:ext cx="76200" cy="762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624" name="Straight Connector 2623">
            <a:extLst>
              <a:ext uri="{FF2B5EF4-FFF2-40B4-BE49-F238E27FC236}">
                <a16:creationId xmlns:a16="http://schemas.microsoft.com/office/drawing/2014/main" id="{737FA49D-3BE0-185E-BBA1-F86ADA09B36C}"/>
              </a:ext>
            </a:extLst>
          </xdr:cNvPr>
          <xdr:cNvCxnSpPr/>
        </xdr:nvCxnSpPr>
        <xdr:spPr>
          <a:xfrm>
            <a:off x="319088" y="12877800"/>
            <a:ext cx="0" cy="1343025"/>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2625" name="Straight Connector 2624">
            <a:extLst>
              <a:ext uri="{FF2B5EF4-FFF2-40B4-BE49-F238E27FC236}">
                <a16:creationId xmlns:a16="http://schemas.microsoft.com/office/drawing/2014/main" id="{20899236-D278-67DE-7B9D-455DF7B6BCB3}"/>
              </a:ext>
            </a:extLst>
          </xdr:cNvPr>
          <xdr:cNvCxnSpPr/>
        </xdr:nvCxnSpPr>
        <xdr:spPr>
          <a:xfrm flipV="1">
            <a:off x="1819275" y="12668250"/>
            <a:ext cx="714375" cy="676275"/>
          </a:xfrm>
          <a:prstGeom prst="line">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626" name="Straight Connector 2625">
            <a:extLst>
              <a:ext uri="{FF2B5EF4-FFF2-40B4-BE49-F238E27FC236}">
                <a16:creationId xmlns:a16="http://schemas.microsoft.com/office/drawing/2014/main" id="{DD1737D3-5616-88DF-70F4-5697D4A7A8A6}"/>
              </a:ext>
            </a:extLst>
          </xdr:cNvPr>
          <xdr:cNvCxnSpPr/>
        </xdr:nvCxnSpPr>
        <xdr:spPr>
          <a:xfrm flipV="1">
            <a:off x="2085975" y="13535025"/>
            <a:ext cx="457200" cy="390525"/>
          </a:xfrm>
          <a:prstGeom prst="line">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627" name="Straight Connector 2626">
            <a:extLst>
              <a:ext uri="{FF2B5EF4-FFF2-40B4-BE49-F238E27FC236}">
                <a16:creationId xmlns:a16="http://schemas.microsoft.com/office/drawing/2014/main" id="{5BC45451-872A-9A85-5406-4EE81AE6367A}"/>
              </a:ext>
            </a:extLst>
          </xdr:cNvPr>
          <xdr:cNvCxnSpPr/>
        </xdr:nvCxnSpPr>
        <xdr:spPr>
          <a:xfrm flipV="1">
            <a:off x="895350" y="12787313"/>
            <a:ext cx="314325" cy="523875"/>
          </a:xfrm>
          <a:prstGeom prst="line">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628" name="Straight Connector 2627">
            <a:extLst>
              <a:ext uri="{FF2B5EF4-FFF2-40B4-BE49-F238E27FC236}">
                <a16:creationId xmlns:a16="http://schemas.microsoft.com/office/drawing/2014/main" id="{732B91A2-BA8F-6A5A-7E9D-2E3A029F2D21}"/>
              </a:ext>
            </a:extLst>
          </xdr:cNvPr>
          <xdr:cNvCxnSpPr/>
        </xdr:nvCxnSpPr>
        <xdr:spPr>
          <a:xfrm>
            <a:off x="314325" y="13101638"/>
            <a:ext cx="1143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629" name="Straight Connector 2628">
            <a:extLst>
              <a:ext uri="{FF2B5EF4-FFF2-40B4-BE49-F238E27FC236}">
                <a16:creationId xmlns:a16="http://schemas.microsoft.com/office/drawing/2014/main" id="{AC877BC0-0820-8929-9A28-CA122AF3833D}"/>
              </a:ext>
            </a:extLst>
          </xdr:cNvPr>
          <xdr:cNvCxnSpPr/>
        </xdr:nvCxnSpPr>
        <xdr:spPr>
          <a:xfrm>
            <a:off x="847725" y="12677775"/>
            <a:ext cx="57150" cy="390525"/>
          </a:xfrm>
          <a:prstGeom prst="line">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630" name="Straight Connector 2629">
            <a:extLst>
              <a:ext uri="{FF2B5EF4-FFF2-40B4-BE49-F238E27FC236}">
                <a16:creationId xmlns:a16="http://schemas.microsoft.com/office/drawing/2014/main" id="{AD76B721-8210-B685-0851-9468BB212EBA}"/>
              </a:ext>
            </a:extLst>
          </xdr:cNvPr>
          <xdr:cNvCxnSpPr/>
        </xdr:nvCxnSpPr>
        <xdr:spPr>
          <a:xfrm>
            <a:off x="647700" y="12892088"/>
            <a:ext cx="0" cy="27146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631" name="Straight Connector 2630">
            <a:extLst>
              <a:ext uri="{FF2B5EF4-FFF2-40B4-BE49-F238E27FC236}">
                <a16:creationId xmlns:a16="http://schemas.microsoft.com/office/drawing/2014/main" id="{A0339998-7FE4-325F-12CC-F385498655FE}"/>
              </a:ext>
            </a:extLst>
          </xdr:cNvPr>
          <xdr:cNvCxnSpPr/>
        </xdr:nvCxnSpPr>
        <xdr:spPr>
          <a:xfrm flipH="1">
            <a:off x="614362" y="12920661"/>
            <a:ext cx="76200" cy="762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632" name="Straight Connector 2631">
            <a:extLst>
              <a:ext uri="{FF2B5EF4-FFF2-40B4-BE49-F238E27FC236}">
                <a16:creationId xmlns:a16="http://schemas.microsoft.com/office/drawing/2014/main" id="{D42B08EB-6D9D-9DFA-EC0B-06122F5D73FA}"/>
              </a:ext>
            </a:extLst>
          </xdr:cNvPr>
          <xdr:cNvCxnSpPr/>
        </xdr:nvCxnSpPr>
        <xdr:spPr>
          <a:xfrm flipH="1">
            <a:off x="609600" y="13063538"/>
            <a:ext cx="76200" cy="76200"/>
          </a:xfrm>
          <a:prstGeom prst="line">
            <a:avLst/>
          </a:prstGeom>
        </xdr:spPr>
        <xdr:style>
          <a:lnRef idx="1">
            <a:schemeClr val="accent1"/>
          </a:lnRef>
          <a:fillRef idx="0">
            <a:schemeClr val="accent1"/>
          </a:fillRef>
          <a:effectRef idx="0">
            <a:schemeClr val="accent1"/>
          </a:effectRef>
          <a:fontRef idx="minor">
            <a:schemeClr val="tx1"/>
          </a:fontRef>
        </xdr:style>
      </xdr:cxnSp>
      <xdr:sp macro="" textlink="">
        <xdr:nvSpPr>
          <xdr:cNvPr id="2633" name="Freeform: Shape 2632">
            <a:extLst>
              <a:ext uri="{FF2B5EF4-FFF2-40B4-BE49-F238E27FC236}">
                <a16:creationId xmlns:a16="http://schemas.microsoft.com/office/drawing/2014/main" id="{D3DFB0F8-E607-08D1-5A62-A6AA1ACD8F30}"/>
              </a:ext>
            </a:extLst>
          </xdr:cNvPr>
          <xdr:cNvSpPr/>
        </xdr:nvSpPr>
        <xdr:spPr>
          <a:xfrm>
            <a:off x="1019175" y="13720762"/>
            <a:ext cx="1519237" cy="319088"/>
          </a:xfrm>
          <a:custGeom>
            <a:avLst/>
            <a:gdLst>
              <a:gd name="connsiteX0" fmla="*/ 0 w 1519237"/>
              <a:gd name="connsiteY0" fmla="*/ 9525 h 319088"/>
              <a:gd name="connsiteX1" fmla="*/ 0 w 1519237"/>
              <a:gd name="connsiteY1" fmla="*/ 319088 h 319088"/>
              <a:gd name="connsiteX2" fmla="*/ 1519237 w 1519237"/>
              <a:gd name="connsiteY2" fmla="*/ 319088 h 319088"/>
              <a:gd name="connsiteX3" fmla="*/ 1519237 w 1519237"/>
              <a:gd name="connsiteY3" fmla="*/ 0 h 319088"/>
            </a:gdLst>
            <a:ahLst/>
            <a:cxnLst>
              <a:cxn ang="0">
                <a:pos x="connsiteX0" y="connsiteY0"/>
              </a:cxn>
              <a:cxn ang="0">
                <a:pos x="connsiteX1" y="connsiteY1"/>
              </a:cxn>
              <a:cxn ang="0">
                <a:pos x="connsiteX2" y="connsiteY2"/>
              </a:cxn>
              <a:cxn ang="0">
                <a:pos x="connsiteX3" y="connsiteY3"/>
              </a:cxn>
            </a:cxnLst>
            <a:rect l="l" t="t" r="r" b="b"/>
            <a:pathLst>
              <a:path w="1519237" h="319088">
                <a:moveTo>
                  <a:pt x="0" y="9525"/>
                </a:moveTo>
                <a:lnTo>
                  <a:pt x="0" y="319088"/>
                </a:lnTo>
                <a:lnTo>
                  <a:pt x="1519237" y="319088"/>
                </a:lnTo>
                <a:lnTo>
                  <a:pt x="1519237" y="0"/>
                </a:lnTo>
              </a:path>
            </a:pathLst>
          </a:cu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kern="1200"/>
          </a:p>
        </xdr:txBody>
      </xdr:sp>
      <xdr:cxnSp macro="">
        <xdr:nvCxnSpPr>
          <xdr:cNvPr id="2634" name="Straight Connector 2633">
            <a:extLst>
              <a:ext uri="{FF2B5EF4-FFF2-40B4-BE49-F238E27FC236}">
                <a16:creationId xmlns:a16="http://schemas.microsoft.com/office/drawing/2014/main" id="{AE3A17C8-D603-AC11-0110-C351D7F5F24D}"/>
              </a:ext>
            </a:extLst>
          </xdr:cNvPr>
          <xdr:cNvCxnSpPr/>
        </xdr:nvCxnSpPr>
        <xdr:spPr>
          <a:xfrm>
            <a:off x="328613" y="13011149"/>
            <a:ext cx="17526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2635" name="Oval 2634">
            <a:extLst>
              <a:ext uri="{FF2B5EF4-FFF2-40B4-BE49-F238E27FC236}">
                <a16:creationId xmlns:a16="http://schemas.microsoft.com/office/drawing/2014/main" id="{50E95AF8-A7D6-CD16-1272-D78F1A37F98F}"/>
              </a:ext>
            </a:extLst>
          </xdr:cNvPr>
          <xdr:cNvSpPr/>
        </xdr:nvSpPr>
        <xdr:spPr>
          <a:xfrm>
            <a:off x="396241" y="13021626"/>
            <a:ext cx="45720" cy="45720"/>
          </a:xfrm>
          <a:prstGeom prst="ellipse">
            <a:avLst/>
          </a:prstGeom>
          <a:solidFill>
            <a:schemeClr val="tx1"/>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kern="1200"/>
          </a:p>
        </xdr:txBody>
      </xdr:sp>
      <xdr:sp macro="" textlink="">
        <xdr:nvSpPr>
          <xdr:cNvPr id="2636" name="Oval 2635">
            <a:extLst>
              <a:ext uri="{FF2B5EF4-FFF2-40B4-BE49-F238E27FC236}">
                <a16:creationId xmlns:a16="http://schemas.microsoft.com/office/drawing/2014/main" id="{EAE40849-D9D3-1110-EF23-A238A97FB0CE}"/>
              </a:ext>
            </a:extLst>
          </xdr:cNvPr>
          <xdr:cNvSpPr/>
        </xdr:nvSpPr>
        <xdr:spPr>
          <a:xfrm>
            <a:off x="748666" y="13021627"/>
            <a:ext cx="45720" cy="45720"/>
          </a:xfrm>
          <a:prstGeom prst="ellipse">
            <a:avLst/>
          </a:prstGeom>
          <a:solidFill>
            <a:schemeClr val="tx1"/>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kern="1200"/>
          </a:p>
        </xdr:txBody>
      </xdr:sp>
      <xdr:sp macro="" textlink="">
        <xdr:nvSpPr>
          <xdr:cNvPr id="2637" name="Oval 2636">
            <a:extLst>
              <a:ext uri="{FF2B5EF4-FFF2-40B4-BE49-F238E27FC236}">
                <a16:creationId xmlns:a16="http://schemas.microsoft.com/office/drawing/2014/main" id="{2413C641-82A0-996D-4EEF-5C1F59E2BF1B}"/>
              </a:ext>
            </a:extLst>
          </xdr:cNvPr>
          <xdr:cNvSpPr/>
        </xdr:nvSpPr>
        <xdr:spPr>
          <a:xfrm>
            <a:off x="1267778" y="13021627"/>
            <a:ext cx="45720" cy="45720"/>
          </a:xfrm>
          <a:prstGeom prst="ellipse">
            <a:avLst/>
          </a:prstGeom>
          <a:solidFill>
            <a:schemeClr val="tx1"/>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kern="1200"/>
          </a:p>
        </xdr:txBody>
      </xdr:sp>
      <xdr:sp macro="" textlink="">
        <xdr:nvSpPr>
          <xdr:cNvPr id="2638" name="Oval 2637">
            <a:extLst>
              <a:ext uri="{FF2B5EF4-FFF2-40B4-BE49-F238E27FC236}">
                <a16:creationId xmlns:a16="http://schemas.microsoft.com/office/drawing/2014/main" id="{F3651C06-18B2-11AC-89C1-2DC6C842F863}"/>
              </a:ext>
            </a:extLst>
          </xdr:cNvPr>
          <xdr:cNvSpPr/>
        </xdr:nvSpPr>
        <xdr:spPr>
          <a:xfrm>
            <a:off x="1029653" y="13021627"/>
            <a:ext cx="45720" cy="45720"/>
          </a:xfrm>
          <a:prstGeom prst="ellipse">
            <a:avLst/>
          </a:prstGeom>
          <a:solidFill>
            <a:schemeClr val="tx1"/>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kern="1200"/>
          </a:p>
        </xdr:txBody>
      </xdr:sp>
      <xdr:sp macro="" textlink="">
        <xdr:nvSpPr>
          <xdr:cNvPr id="2639" name="Freeform: Shape 2638">
            <a:extLst>
              <a:ext uri="{FF2B5EF4-FFF2-40B4-BE49-F238E27FC236}">
                <a16:creationId xmlns:a16="http://schemas.microsoft.com/office/drawing/2014/main" id="{CA80F8A3-23B8-FF41-A8A5-24B1663AD5B0}"/>
              </a:ext>
            </a:extLst>
          </xdr:cNvPr>
          <xdr:cNvSpPr/>
        </xdr:nvSpPr>
        <xdr:spPr>
          <a:xfrm>
            <a:off x="1519237" y="13011150"/>
            <a:ext cx="495300" cy="1028700"/>
          </a:xfrm>
          <a:custGeom>
            <a:avLst/>
            <a:gdLst>
              <a:gd name="connsiteX0" fmla="*/ 0 w 495300"/>
              <a:gd name="connsiteY0" fmla="*/ 714375 h 714375"/>
              <a:gd name="connsiteX1" fmla="*/ 0 w 495300"/>
              <a:gd name="connsiteY1" fmla="*/ 0 h 714375"/>
              <a:gd name="connsiteX2" fmla="*/ 495300 w 495300"/>
              <a:gd name="connsiteY2" fmla="*/ 0 h 714375"/>
              <a:gd name="connsiteX3" fmla="*/ 495300 w 495300"/>
              <a:gd name="connsiteY3" fmla="*/ 714375 h 714375"/>
            </a:gdLst>
            <a:ahLst/>
            <a:cxnLst>
              <a:cxn ang="0">
                <a:pos x="connsiteX0" y="connsiteY0"/>
              </a:cxn>
              <a:cxn ang="0">
                <a:pos x="connsiteX1" y="connsiteY1"/>
              </a:cxn>
              <a:cxn ang="0">
                <a:pos x="connsiteX2" y="connsiteY2"/>
              </a:cxn>
              <a:cxn ang="0">
                <a:pos x="connsiteX3" y="connsiteY3"/>
              </a:cxn>
            </a:cxnLst>
            <a:rect l="l" t="t" r="r" b="b"/>
            <a:pathLst>
              <a:path w="495300" h="714375">
                <a:moveTo>
                  <a:pt x="0" y="714375"/>
                </a:moveTo>
                <a:lnTo>
                  <a:pt x="0" y="0"/>
                </a:lnTo>
                <a:lnTo>
                  <a:pt x="495300" y="0"/>
                </a:lnTo>
                <a:lnTo>
                  <a:pt x="495300" y="714375"/>
                </a:lnTo>
              </a:path>
            </a:pathLst>
          </a:cu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cxnSp macro="">
        <xdr:nvCxnSpPr>
          <xdr:cNvPr id="2640" name="Straight Connector 2639">
            <a:extLst>
              <a:ext uri="{FF2B5EF4-FFF2-40B4-BE49-F238E27FC236}">
                <a16:creationId xmlns:a16="http://schemas.microsoft.com/office/drawing/2014/main" id="{D44F4D43-E05E-0040-BADF-42B0D43BD1DA}"/>
              </a:ext>
            </a:extLst>
          </xdr:cNvPr>
          <xdr:cNvCxnSpPr/>
        </xdr:nvCxnSpPr>
        <xdr:spPr>
          <a:xfrm>
            <a:off x="1685925" y="13011150"/>
            <a:ext cx="0" cy="1019175"/>
          </a:xfrm>
          <a:prstGeom prst="lin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2641" name="Straight Connector 2640">
            <a:extLst>
              <a:ext uri="{FF2B5EF4-FFF2-40B4-BE49-F238E27FC236}">
                <a16:creationId xmlns:a16="http://schemas.microsoft.com/office/drawing/2014/main" id="{20B921DA-45C5-CFC9-FB83-54849BF88D3C}"/>
              </a:ext>
            </a:extLst>
          </xdr:cNvPr>
          <xdr:cNvCxnSpPr/>
        </xdr:nvCxnSpPr>
        <xdr:spPr>
          <a:xfrm>
            <a:off x="1890712" y="13015913"/>
            <a:ext cx="0" cy="1019175"/>
          </a:xfrm>
          <a:prstGeom prst="lin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2642" name="Straight Connector 2641">
            <a:extLst>
              <a:ext uri="{FF2B5EF4-FFF2-40B4-BE49-F238E27FC236}">
                <a16:creationId xmlns:a16="http://schemas.microsoft.com/office/drawing/2014/main" id="{08020BE3-769A-4F76-DADD-5442C771B8B8}"/>
              </a:ext>
            </a:extLst>
          </xdr:cNvPr>
          <xdr:cNvCxnSpPr/>
        </xdr:nvCxnSpPr>
        <xdr:spPr>
          <a:xfrm>
            <a:off x="1519237" y="13201652"/>
            <a:ext cx="495301" cy="0"/>
          </a:xfrm>
          <a:prstGeom prst="lin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2643" name="Straight Connector 2642">
            <a:extLst>
              <a:ext uri="{FF2B5EF4-FFF2-40B4-BE49-F238E27FC236}">
                <a16:creationId xmlns:a16="http://schemas.microsoft.com/office/drawing/2014/main" id="{C39F6CF4-48BA-9DF2-1145-BFCDD9D31002}"/>
              </a:ext>
            </a:extLst>
          </xdr:cNvPr>
          <xdr:cNvCxnSpPr/>
        </xdr:nvCxnSpPr>
        <xdr:spPr>
          <a:xfrm>
            <a:off x="1514474" y="13401676"/>
            <a:ext cx="495301" cy="0"/>
          </a:xfrm>
          <a:prstGeom prst="lin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2644" name="Straight Connector 2643">
            <a:extLst>
              <a:ext uri="{FF2B5EF4-FFF2-40B4-BE49-F238E27FC236}">
                <a16:creationId xmlns:a16="http://schemas.microsoft.com/office/drawing/2014/main" id="{ACA7B055-A433-80C1-ADB0-5857C19D1030}"/>
              </a:ext>
            </a:extLst>
          </xdr:cNvPr>
          <xdr:cNvCxnSpPr/>
        </xdr:nvCxnSpPr>
        <xdr:spPr>
          <a:xfrm>
            <a:off x="1514474" y="13611227"/>
            <a:ext cx="495301" cy="0"/>
          </a:xfrm>
          <a:prstGeom prst="lin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2645" name="Straight Connector 2644">
            <a:extLst>
              <a:ext uri="{FF2B5EF4-FFF2-40B4-BE49-F238E27FC236}">
                <a16:creationId xmlns:a16="http://schemas.microsoft.com/office/drawing/2014/main" id="{FFD6659B-E19C-815D-C1E7-B680DFF77FB4}"/>
              </a:ext>
            </a:extLst>
          </xdr:cNvPr>
          <xdr:cNvCxnSpPr/>
        </xdr:nvCxnSpPr>
        <xdr:spPr>
          <a:xfrm>
            <a:off x="1519237" y="13854109"/>
            <a:ext cx="495301" cy="0"/>
          </a:xfrm>
          <a:prstGeom prst="lin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cxnSp>
      <xdr:sp macro="" textlink="">
        <xdr:nvSpPr>
          <xdr:cNvPr id="2646" name="Oval 2645">
            <a:extLst>
              <a:ext uri="{FF2B5EF4-FFF2-40B4-BE49-F238E27FC236}">
                <a16:creationId xmlns:a16="http://schemas.microsoft.com/office/drawing/2014/main" id="{F1F7FB23-EAE9-28EF-9022-29A7079A761D}"/>
              </a:ext>
            </a:extLst>
          </xdr:cNvPr>
          <xdr:cNvSpPr/>
        </xdr:nvSpPr>
        <xdr:spPr>
          <a:xfrm>
            <a:off x="1524016" y="13020675"/>
            <a:ext cx="45720" cy="45720"/>
          </a:xfrm>
          <a:prstGeom prst="ellipse">
            <a:avLst/>
          </a:prstGeom>
          <a:solidFill>
            <a:schemeClr val="tx1"/>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kern="1200"/>
          </a:p>
        </xdr:txBody>
      </xdr:sp>
      <xdr:sp macro="" textlink="">
        <xdr:nvSpPr>
          <xdr:cNvPr id="2647" name="Oval 2646">
            <a:extLst>
              <a:ext uri="{FF2B5EF4-FFF2-40B4-BE49-F238E27FC236}">
                <a16:creationId xmlns:a16="http://schemas.microsoft.com/office/drawing/2014/main" id="{65059801-ADE9-2E56-4CFB-B40F5CDFC93F}"/>
              </a:ext>
            </a:extLst>
          </xdr:cNvPr>
          <xdr:cNvSpPr/>
        </xdr:nvSpPr>
        <xdr:spPr>
          <a:xfrm>
            <a:off x="2038365" y="13020675"/>
            <a:ext cx="45720" cy="45720"/>
          </a:xfrm>
          <a:prstGeom prst="ellipse">
            <a:avLst/>
          </a:prstGeom>
          <a:solidFill>
            <a:schemeClr val="tx1"/>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kern="1200"/>
          </a:p>
        </xdr:txBody>
      </xdr:sp>
      <xdr:sp macro="" textlink="">
        <xdr:nvSpPr>
          <xdr:cNvPr id="2648" name="Oval 2647">
            <a:extLst>
              <a:ext uri="{FF2B5EF4-FFF2-40B4-BE49-F238E27FC236}">
                <a16:creationId xmlns:a16="http://schemas.microsoft.com/office/drawing/2014/main" id="{55B3FF57-B610-FAD8-DA88-F4934CC05124}"/>
              </a:ext>
            </a:extLst>
          </xdr:cNvPr>
          <xdr:cNvSpPr/>
        </xdr:nvSpPr>
        <xdr:spPr>
          <a:xfrm>
            <a:off x="1805003" y="13020675"/>
            <a:ext cx="45720" cy="45720"/>
          </a:xfrm>
          <a:prstGeom prst="ellipse">
            <a:avLst/>
          </a:prstGeom>
          <a:solidFill>
            <a:schemeClr val="tx1"/>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kern="1200"/>
          </a:p>
        </xdr:txBody>
      </xdr:sp>
      <xdr:cxnSp macro="">
        <xdr:nvCxnSpPr>
          <xdr:cNvPr id="2649" name="Straight Connector 2648">
            <a:extLst>
              <a:ext uri="{FF2B5EF4-FFF2-40B4-BE49-F238E27FC236}">
                <a16:creationId xmlns:a16="http://schemas.microsoft.com/office/drawing/2014/main" id="{2F1A4AB4-39B8-1158-7EBB-88A11F894616}"/>
              </a:ext>
            </a:extLst>
          </xdr:cNvPr>
          <xdr:cNvCxnSpPr/>
        </xdr:nvCxnSpPr>
        <xdr:spPr>
          <a:xfrm flipV="1">
            <a:off x="1352550" y="12463463"/>
            <a:ext cx="1233488" cy="542925"/>
          </a:xfrm>
          <a:prstGeom prst="line">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xdr:col>
      <xdr:colOff>90488</xdr:colOff>
      <xdr:row>106</xdr:row>
      <xdr:rowOff>138106</xdr:rowOff>
    </xdr:from>
    <xdr:to>
      <xdr:col>18</xdr:col>
      <xdr:colOff>57146</xdr:colOff>
      <xdr:row>123</xdr:row>
      <xdr:rowOff>66675</xdr:rowOff>
    </xdr:to>
    <xdr:grpSp>
      <xdr:nvGrpSpPr>
        <xdr:cNvPr id="513" name="Group 512">
          <a:extLst>
            <a:ext uri="{FF2B5EF4-FFF2-40B4-BE49-F238E27FC236}">
              <a16:creationId xmlns:a16="http://schemas.microsoft.com/office/drawing/2014/main" id="{63382803-09D1-69E9-585F-E6AA6AE6AB5C}"/>
            </a:ext>
          </a:extLst>
        </xdr:cNvPr>
        <xdr:cNvGrpSpPr/>
      </xdr:nvGrpSpPr>
      <xdr:grpSpPr>
        <a:xfrm>
          <a:off x="414338" y="15663856"/>
          <a:ext cx="2557458" cy="2357444"/>
          <a:chOff x="414338" y="15663856"/>
          <a:chExt cx="2557458" cy="2357444"/>
        </a:xfrm>
      </xdr:grpSpPr>
      <xdr:cxnSp macro="">
        <xdr:nvCxnSpPr>
          <xdr:cNvPr id="2368" name="Straight Connector 2367">
            <a:extLst>
              <a:ext uri="{FF2B5EF4-FFF2-40B4-BE49-F238E27FC236}">
                <a16:creationId xmlns:a16="http://schemas.microsoft.com/office/drawing/2014/main" id="{6EAAA32F-EF27-EF8B-B25E-30EFF19429BA}"/>
              </a:ext>
            </a:extLst>
          </xdr:cNvPr>
          <xdr:cNvCxnSpPr/>
        </xdr:nvCxnSpPr>
        <xdr:spPr>
          <a:xfrm>
            <a:off x="485779" y="16144877"/>
            <a:ext cx="0" cy="76199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369" name="Straight Connector 2368">
            <a:extLst>
              <a:ext uri="{FF2B5EF4-FFF2-40B4-BE49-F238E27FC236}">
                <a16:creationId xmlns:a16="http://schemas.microsoft.com/office/drawing/2014/main" id="{66EC4275-2863-09A4-7DA6-BD85F677EE98}"/>
              </a:ext>
            </a:extLst>
          </xdr:cNvPr>
          <xdr:cNvCxnSpPr/>
        </xdr:nvCxnSpPr>
        <xdr:spPr>
          <a:xfrm>
            <a:off x="2914650" y="15663856"/>
            <a:ext cx="0" cy="1738319"/>
          </a:xfrm>
          <a:prstGeom prst="line">
            <a:avLst/>
          </a:prstGeom>
        </xdr:spPr>
        <xdr:style>
          <a:lnRef idx="1">
            <a:schemeClr val="accent1"/>
          </a:lnRef>
          <a:fillRef idx="0">
            <a:schemeClr val="accent1"/>
          </a:fillRef>
          <a:effectRef idx="0">
            <a:schemeClr val="accent1"/>
          </a:effectRef>
          <a:fontRef idx="minor">
            <a:schemeClr val="tx1"/>
          </a:fontRef>
        </xdr:style>
      </xdr:cxnSp>
      <xdr:grpSp>
        <xdr:nvGrpSpPr>
          <xdr:cNvPr id="2370" name="Group 2369">
            <a:extLst>
              <a:ext uri="{FF2B5EF4-FFF2-40B4-BE49-F238E27FC236}">
                <a16:creationId xmlns:a16="http://schemas.microsoft.com/office/drawing/2014/main" id="{AA5C0196-218C-FC52-BA28-10A086EF4ADF}"/>
              </a:ext>
            </a:extLst>
          </xdr:cNvPr>
          <xdr:cNvGrpSpPr/>
        </xdr:nvGrpSpPr>
        <xdr:grpSpPr>
          <a:xfrm>
            <a:off x="976310" y="15725776"/>
            <a:ext cx="1609728" cy="1609728"/>
            <a:chOff x="976310" y="80905351"/>
            <a:chExt cx="1609728" cy="1609728"/>
          </a:xfrm>
          <a:blipFill>
            <a:blip xmlns:r="http://schemas.openxmlformats.org/officeDocument/2006/relationships" r:embed="rId1"/>
            <a:tile tx="0" ty="0" sx="100000" sy="100000" flip="none" algn="tl"/>
          </a:blipFill>
        </xdr:grpSpPr>
        <xdr:sp macro="" textlink="">
          <xdr:nvSpPr>
            <xdr:cNvPr id="2395" name="Rectangle 2394">
              <a:extLst>
                <a:ext uri="{FF2B5EF4-FFF2-40B4-BE49-F238E27FC236}">
                  <a16:creationId xmlns:a16="http://schemas.microsoft.com/office/drawing/2014/main" id="{8C2A2341-2CF9-450A-F104-794599DCB0E6}"/>
                </a:ext>
              </a:extLst>
            </xdr:cNvPr>
            <xdr:cNvSpPr/>
          </xdr:nvSpPr>
          <xdr:spPr>
            <a:xfrm>
              <a:off x="976310" y="80905351"/>
              <a:ext cx="1609728" cy="1609728"/>
            </a:xfrm>
            <a:prstGeom prst="rect">
              <a:avLst/>
            </a:prstGeom>
            <a:grp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2396" name="Rectangle 2395">
              <a:extLst>
                <a:ext uri="{FF2B5EF4-FFF2-40B4-BE49-F238E27FC236}">
                  <a16:creationId xmlns:a16="http://schemas.microsoft.com/office/drawing/2014/main" id="{DECFFE1E-505A-35C7-06CD-B62B570DBB22}"/>
                </a:ext>
              </a:extLst>
            </xdr:cNvPr>
            <xdr:cNvSpPr/>
          </xdr:nvSpPr>
          <xdr:spPr>
            <a:xfrm>
              <a:off x="1457324" y="81386362"/>
              <a:ext cx="647698" cy="647698"/>
            </a:xfrm>
            <a:prstGeom prst="rect">
              <a:avLst/>
            </a:prstGeom>
            <a:grp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grpSp>
      <xdr:cxnSp macro="">
        <xdr:nvCxnSpPr>
          <xdr:cNvPr id="2371" name="Straight Connector 2370">
            <a:extLst>
              <a:ext uri="{FF2B5EF4-FFF2-40B4-BE49-F238E27FC236}">
                <a16:creationId xmlns:a16="http://schemas.microsoft.com/office/drawing/2014/main" id="{EF20BCEE-5A6C-A9B2-9201-736DD6801452}"/>
              </a:ext>
            </a:extLst>
          </xdr:cNvPr>
          <xdr:cNvCxnSpPr/>
        </xdr:nvCxnSpPr>
        <xdr:spPr>
          <a:xfrm>
            <a:off x="2643188" y="15725771"/>
            <a:ext cx="328607"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372" name="Straight Connector 2371">
            <a:extLst>
              <a:ext uri="{FF2B5EF4-FFF2-40B4-BE49-F238E27FC236}">
                <a16:creationId xmlns:a16="http://schemas.microsoft.com/office/drawing/2014/main" id="{E41D54DF-583D-8FE5-5038-92E92374823C}"/>
              </a:ext>
            </a:extLst>
          </xdr:cNvPr>
          <xdr:cNvCxnSpPr/>
        </xdr:nvCxnSpPr>
        <xdr:spPr>
          <a:xfrm flipH="1">
            <a:off x="2871782" y="15692433"/>
            <a:ext cx="76200" cy="762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373" name="Straight Connector 2372">
            <a:extLst>
              <a:ext uri="{FF2B5EF4-FFF2-40B4-BE49-F238E27FC236}">
                <a16:creationId xmlns:a16="http://schemas.microsoft.com/office/drawing/2014/main" id="{63F934C8-4568-E9E8-9B82-AA321639ADDA}"/>
              </a:ext>
            </a:extLst>
          </xdr:cNvPr>
          <xdr:cNvCxnSpPr/>
        </xdr:nvCxnSpPr>
        <xdr:spPr>
          <a:xfrm>
            <a:off x="2643189" y="17335501"/>
            <a:ext cx="328607"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374" name="Straight Connector 2373">
            <a:extLst>
              <a:ext uri="{FF2B5EF4-FFF2-40B4-BE49-F238E27FC236}">
                <a16:creationId xmlns:a16="http://schemas.microsoft.com/office/drawing/2014/main" id="{975D6863-23CD-08F0-F79A-FDC99F1E9716}"/>
              </a:ext>
            </a:extLst>
          </xdr:cNvPr>
          <xdr:cNvCxnSpPr/>
        </xdr:nvCxnSpPr>
        <xdr:spPr>
          <a:xfrm flipH="1">
            <a:off x="2871783" y="17302163"/>
            <a:ext cx="76200" cy="762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375" name="Straight Connector 2374">
            <a:extLst>
              <a:ext uri="{FF2B5EF4-FFF2-40B4-BE49-F238E27FC236}">
                <a16:creationId xmlns:a16="http://schemas.microsoft.com/office/drawing/2014/main" id="{9EFC5DA1-B9BD-DD10-ADA9-A43B587BBABE}"/>
              </a:ext>
            </a:extLst>
          </xdr:cNvPr>
          <xdr:cNvCxnSpPr/>
        </xdr:nvCxnSpPr>
        <xdr:spPr>
          <a:xfrm flipH="1">
            <a:off x="423863" y="16206787"/>
            <a:ext cx="476250"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376" name="Straight Connector 2375">
            <a:extLst>
              <a:ext uri="{FF2B5EF4-FFF2-40B4-BE49-F238E27FC236}">
                <a16:creationId xmlns:a16="http://schemas.microsoft.com/office/drawing/2014/main" id="{71DCD5D8-0F25-13E1-4BEF-DC64B7E50EB4}"/>
              </a:ext>
            </a:extLst>
          </xdr:cNvPr>
          <xdr:cNvCxnSpPr/>
        </xdr:nvCxnSpPr>
        <xdr:spPr>
          <a:xfrm flipH="1">
            <a:off x="442911" y="16173454"/>
            <a:ext cx="76200" cy="762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377" name="Straight Connector 2376">
            <a:extLst>
              <a:ext uri="{FF2B5EF4-FFF2-40B4-BE49-F238E27FC236}">
                <a16:creationId xmlns:a16="http://schemas.microsoft.com/office/drawing/2014/main" id="{F21EAAE4-5154-E167-2BBF-EE5EE3881E55}"/>
              </a:ext>
            </a:extLst>
          </xdr:cNvPr>
          <xdr:cNvCxnSpPr/>
        </xdr:nvCxnSpPr>
        <xdr:spPr>
          <a:xfrm flipH="1">
            <a:off x="414338" y="16854488"/>
            <a:ext cx="495300"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378" name="Straight Connector 2377">
            <a:extLst>
              <a:ext uri="{FF2B5EF4-FFF2-40B4-BE49-F238E27FC236}">
                <a16:creationId xmlns:a16="http://schemas.microsoft.com/office/drawing/2014/main" id="{B0184B7E-D76E-D46E-0B79-C563155E555D}"/>
              </a:ext>
            </a:extLst>
          </xdr:cNvPr>
          <xdr:cNvCxnSpPr/>
        </xdr:nvCxnSpPr>
        <xdr:spPr>
          <a:xfrm flipH="1">
            <a:off x="442907" y="16821155"/>
            <a:ext cx="76200" cy="762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379" name="Straight Connector 2378">
            <a:extLst>
              <a:ext uri="{FF2B5EF4-FFF2-40B4-BE49-F238E27FC236}">
                <a16:creationId xmlns:a16="http://schemas.microsoft.com/office/drawing/2014/main" id="{66DAB0D6-E0F6-C7AF-EE6E-2A4742310804}"/>
              </a:ext>
            </a:extLst>
          </xdr:cNvPr>
          <xdr:cNvCxnSpPr/>
        </xdr:nvCxnSpPr>
        <xdr:spPr>
          <a:xfrm>
            <a:off x="1457325" y="17392650"/>
            <a:ext cx="0" cy="62388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380" name="Straight Connector 2379">
            <a:extLst>
              <a:ext uri="{FF2B5EF4-FFF2-40B4-BE49-F238E27FC236}">
                <a16:creationId xmlns:a16="http://schemas.microsoft.com/office/drawing/2014/main" id="{B7DC0502-9270-6C02-6809-94E2816CCD0A}"/>
              </a:ext>
            </a:extLst>
          </xdr:cNvPr>
          <xdr:cNvCxnSpPr/>
        </xdr:nvCxnSpPr>
        <xdr:spPr>
          <a:xfrm>
            <a:off x="2105025" y="17392650"/>
            <a:ext cx="0" cy="62865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381" name="Straight Connector 2380">
            <a:extLst>
              <a:ext uri="{FF2B5EF4-FFF2-40B4-BE49-F238E27FC236}">
                <a16:creationId xmlns:a16="http://schemas.microsoft.com/office/drawing/2014/main" id="{38281753-EBDA-F6EB-13ED-C4A3843574AE}"/>
              </a:ext>
            </a:extLst>
          </xdr:cNvPr>
          <xdr:cNvCxnSpPr/>
        </xdr:nvCxnSpPr>
        <xdr:spPr>
          <a:xfrm>
            <a:off x="1385887" y="17954626"/>
            <a:ext cx="785813"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382" name="Straight Connector 2381">
            <a:extLst>
              <a:ext uri="{FF2B5EF4-FFF2-40B4-BE49-F238E27FC236}">
                <a16:creationId xmlns:a16="http://schemas.microsoft.com/office/drawing/2014/main" id="{8E4D6582-B4A7-C053-5488-29C9196352E9}"/>
              </a:ext>
            </a:extLst>
          </xdr:cNvPr>
          <xdr:cNvCxnSpPr/>
        </xdr:nvCxnSpPr>
        <xdr:spPr>
          <a:xfrm flipH="1">
            <a:off x="1419223" y="17916525"/>
            <a:ext cx="76200" cy="762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383" name="Straight Connector 2382">
            <a:extLst>
              <a:ext uri="{FF2B5EF4-FFF2-40B4-BE49-F238E27FC236}">
                <a16:creationId xmlns:a16="http://schemas.microsoft.com/office/drawing/2014/main" id="{FEC5444D-7622-CEC2-3742-D9FB7B54BCF8}"/>
              </a:ext>
            </a:extLst>
          </xdr:cNvPr>
          <xdr:cNvCxnSpPr/>
        </xdr:nvCxnSpPr>
        <xdr:spPr>
          <a:xfrm flipH="1">
            <a:off x="2066922" y="17916526"/>
            <a:ext cx="76200" cy="76200"/>
          </a:xfrm>
          <a:prstGeom prst="line">
            <a:avLst/>
          </a:prstGeom>
        </xdr:spPr>
        <xdr:style>
          <a:lnRef idx="1">
            <a:schemeClr val="accent1"/>
          </a:lnRef>
          <a:fillRef idx="0">
            <a:schemeClr val="accent1"/>
          </a:fillRef>
          <a:effectRef idx="0">
            <a:schemeClr val="accent1"/>
          </a:effectRef>
          <a:fontRef idx="minor">
            <a:schemeClr val="tx1"/>
          </a:fontRef>
        </xdr:style>
      </xdr:cxnSp>
      <xdr:sp macro="" textlink="">
        <xdr:nvSpPr>
          <xdr:cNvPr id="2384" name="Rectangle 2383">
            <a:extLst>
              <a:ext uri="{FF2B5EF4-FFF2-40B4-BE49-F238E27FC236}">
                <a16:creationId xmlns:a16="http://schemas.microsoft.com/office/drawing/2014/main" id="{5ED528F5-E045-0907-9D0C-274C2A05AD95}"/>
              </a:ext>
            </a:extLst>
          </xdr:cNvPr>
          <xdr:cNvSpPr/>
        </xdr:nvSpPr>
        <xdr:spPr>
          <a:xfrm>
            <a:off x="804863" y="16430626"/>
            <a:ext cx="652463" cy="190500"/>
          </a:xfrm>
          <a:prstGeom prst="rect">
            <a:avLst/>
          </a:prstGeom>
          <a:blipFill>
            <a:blip xmlns:r="http://schemas.openxmlformats.org/officeDocument/2006/relationships" r:embed="rId1"/>
            <a:tile tx="0" ty="0" sx="100000" sy="100000" flip="none" algn="tl"/>
          </a:blip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cxnSp macro="">
        <xdr:nvCxnSpPr>
          <xdr:cNvPr id="2385" name="Straight Connector 2384">
            <a:extLst>
              <a:ext uri="{FF2B5EF4-FFF2-40B4-BE49-F238E27FC236}">
                <a16:creationId xmlns:a16="http://schemas.microsoft.com/office/drawing/2014/main" id="{A5FEF2EC-CFB9-F237-68D2-3A6D69920DC7}"/>
              </a:ext>
            </a:extLst>
          </xdr:cNvPr>
          <xdr:cNvCxnSpPr/>
        </xdr:nvCxnSpPr>
        <xdr:spPr>
          <a:xfrm>
            <a:off x="809625" y="16325846"/>
            <a:ext cx="0" cy="414341"/>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2386" name="Rectangle 2385">
            <a:extLst>
              <a:ext uri="{FF2B5EF4-FFF2-40B4-BE49-F238E27FC236}">
                <a16:creationId xmlns:a16="http://schemas.microsoft.com/office/drawing/2014/main" id="{BC405343-4D4C-D3BA-2E08-A2440129ADA1}"/>
              </a:ext>
            </a:extLst>
          </xdr:cNvPr>
          <xdr:cNvSpPr/>
        </xdr:nvSpPr>
        <xdr:spPr>
          <a:xfrm rot="16200000">
            <a:off x="1475186" y="17060465"/>
            <a:ext cx="607219" cy="190500"/>
          </a:xfrm>
          <a:prstGeom prst="rect">
            <a:avLst/>
          </a:prstGeom>
          <a:blipFill>
            <a:blip xmlns:r="http://schemas.openxmlformats.org/officeDocument/2006/relationships" r:embed="rId1"/>
            <a:tile tx="0" ty="0" sx="100000" sy="100000" flip="none" algn="tl"/>
          </a:blip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cxnSp macro="">
        <xdr:nvCxnSpPr>
          <xdr:cNvPr id="2387" name="Straight Connector 2386">
            <a:extLst>
              <a:ext uri="{FF2B5EF4-FFF2-40B4-BE49-F238E27FC236}">
                <a16:creationId xmlns:a16="http://schemas.microsoft.com/office/drawing/2014/main" id="{F408A184-59D5-4AB3-D79D-5C40B64DDF37}"/>
              </a:ext>
            </a:extLst>
          </xdr:cNvPr>
          <xdr:cNvCxnSpPr/>
        </xdr:nvCxnSpPr>
        <xdr:spPr>
          <a:xfrm>
            <a:off x="1581151" y="17459325"/>
            <a:ext cx="409575" cy="0"/>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2388" name="Straight Connector 2387">
            <a:extLst>
              <a:ext uri="{FF2B5EF4-FFF2-40B4-BE49-F238E27FC236}">
                <a16:creationId xmlns:a16="http://schemas.microsoft.com/office/drawing/2014/main" id="{2E24068D-A83F-9C50-161B-7E06E7ED42B8}"/>
              </a:ext>
            </a:extLst>
          </xdr:cNvPr>
          <xdr:cNvCxnSpPr/>
        </xdr:nvCxnSpPr>
        <xdr:spPr>
          <a:xfrm>
            <a:off x="1619252" y="17668875"/>
            <a:ext cx="319086"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389" name="Straight Connector 2388">
            <a:extLst>
              <a:ext uri="{FF2B5EF4-FFF2-40B4-BE49-F238E27FC236}">
                <a16:creationId xmlns:a16="http://schemas.microsoft.com/office/drawing/2014/main" id="{01D82307-AA9B-B47A-138E-0EF837FF9172}"/>
              </a:ext>
            </a:extLst>
          </xdr:cNvPr>
          <xdr:cNvCxnSpPr/>
        </xdr:nvCxnSpPr>
        <xdr:spPr>
          <a:xfrm>
            <a:off x="1685926" y="17492664"/>
            <a:ext cx="0" cy="24765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390" name="Straight Connector 2389">
            <a:extLst>
              <a:ext uri="{FF2B5EF4-FFF2-40B4-BE49-F238E27FC236}">
                <a16:creationId xmlns:a16="http://schemas.microsoft.com/office/drawing/2014/main" id="{9533CEB4-72F7-9D84-6CD5-4CC5EEC0B914}"/>
              </a:ext>
            </a:extLst>
          </xdr:cNvPr>
          <xdr:cNvCxnSpPr/>
        </xdr:nvCxnSpPr>
        <xdr:spPr>
          <a:xfrm flipH="1">
            <a:off x="1647826" y="17630775"/>
            <a:ext cx="76200" cy="762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391" name="Straight Connector 2390">
            <a:extLst>
              <a:ext uri="{FF2B5EF4-FFF2-40B4-BE49-F238E27FC236}">
                <a16:creationId xmlns:a16="http://schemas.microsoft.com/office/drawing/2014/main" id="{18FCF215-60C0-8FFD-E7CC-AD7D08775602}"/>
              </a:ext>
            </a:extLst>
          </xdr:cNvPr>
          <xdr:cNvCxnSpPr/>
        </xdr:nvCxnSpPr>
        <xdr:spPr>
          <a:xfrm>
            <a:off x="1876426" y="17492669"/>
            <a:ext cx="0" cy="24765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392" name="Straight Connector 2391">
            <a:extLst>
              <a:ext uri="{FF2B5EF4-FFF2-40B4-BE49-F238E27FC236}">
                <a16:creationId xmlns:a16="http://schemas.microsoft.com/office/drawing/2014/main" id="{720F6693-5133-EB37-27A4-05A757456772}"/>
              </a:ext>
            </a:extLst>
          </xdr:cNvPr>
          <xdr:cNvCxnSpPr/>
        </xdr:nvCxnSpPr>
        <xdr:spPr>
          <a:xfrm flipH="1">
            <a:off x="1838326" y="17630780"/>
            <a:ext cx="76200" cy="76200"/>
          </a:xfrm>
          <a:prstGeom prst="line">
            <a:avLst/>
          </a:prstGeom>
        </xdr:spPr>
        <xdr:style>
          <a:lnRef idx="1">
            <a:schemeClr val="accent1"/>
          </a:lnRef>
          <a:fillRef idx="0">
            <a:schemeClr val="accent1"/>
          </a:fillRef>
          <a:effectRef idx="0">
            <a:schemeClr val="accent1"/>
          </a:effectRef>
          <a:fontRef idx="minor">
            <a:schemeClr val="tx1"/>
          </a:fontRef>
        </xdr:style>
      </xdr:cxnSp>
      <xdr:sp macro="" textlink="">
        <xdr:nvSpPr>
          <xdr:cNvPr id="55" name="Freeform: Shape 54">
            <a:extLst>
              <a:ext uri="{FF2B5EF4-FFF2-40B4-BE49-F238E27FC236}">
                <a16:creationId xmlns:a16="http://schemas.microsoft.com/office/drawing/2014/main" id="{7F063F3B-4916-76D7-A4E2-073EF60D6531}"/>
              </a:ext>
            </a:extLst>
          </xdr:cNvPr>
          <xdr:cNvSpPr/>
        </xdr:nvSpPr>
        <xdr:spPr>
          <a:xfrm>
            <a:off x="1028700" y="15954375"/>
            <a:ext cx="1519237" cy="261937"/>
          </a:xfrm>
          <a:custGeom>
            <a:avLst/>
            <a:gdLst>
              <a:gd name="connsiteX0" fmla="*/ 0 w 1519237"/>
              <a:gd name="connsiteY0" fmla="*/ 261937 h 261937"/>
              <a:gd name="connsiteX1" fmla="*/ 0 w 1519237"/>
              <a:gd name="connsiteY1" fmla="*/ 0 h 261937"/>
              <a:gd name="connsiteX2" fmla="*/ 1519237 w 1519237"/>
              <a:gd name="connsiteY2" fmla="*/ 0 h 261937"/>
              <a:gd name="connsiteX3" fmla="*/ 1519237 w 1519237"/>
              <a:gd name="connsiteY3" fmla="*/ 257175 h 261937"/>
            </a:gdLst>
            <a:ahLst/>
            <a:cxnLst>
              <a:cxn ang="0">
                <a:pos x="connsiteX0" y="connsiteY0"/>
              </a:cxn>
              <a:cxn ang="0">
                <a:pos x="connsiteX1" y="connsiteY1"/>
              </a:cxn>
              <a:cxn ang="0">
                <a:pos x="connsiteX2" y="connsiteY2"/>
              </a:cxn>
              <a:cxn ang="0">
                <a:pos x="connsiteX3" y="connsiteY3"/>
              </a:cxn>
            </a:cxnLst>
            <a:rect l="l" t="t" r="r" b="b"/>
            <a:pathLst>
              <a:path w="1519237" h="261937">
                <a:moveTo>
                  <a:pt x="0" y="261937"/>
                </a:moveTo>
                <a:lnTo>
                  <a:pt x="0" y="0"/>
                </a:lnTo>
                <a:lnTo>
                  <a:pt x="1519237" y="0"/>
                </a:lnTo>
                <a:lnTo>
                  <a:pt x="1519237" y="257175"/>
                </a:lnTo>
              </a:path>
            </a:pathLst>
          </a:cu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kern="1200"/>
          </a:p>
        </xdr:txBody>
      </xdr:sp>
      <xdr:sp macro="" textlink="">
        <xdr:nvSpPr>
          <xdr:cNvPr id="466" name="Freeform: Shape 465">
            <a:extLst>
              <a:ext uri="{FF2B5EF4-FFF2-40B4-BE49-F238E27FC236}">
                <a16:creationId xmlns:a16="http://schemas.microsoft.com/office/drawing/2014/main" id="{FC606EDE-0D8B-4C0F-B88F-C3DD31BE4153}"/>
              </a:ext>
            </a:extLst>
          </xdr:cNvPr>
          <xdr:cNvSpPr/>
        </xdr:nvSpPr>
        <xdr:spPr>
          <a:xfrm rot="5400000">
            <a:off x="1524000" y="16397287"/>
            <a:ext cx="1519237" cy="261937"/>
          </a:xfrm>
          <a:custGeom>
            <a:avLst/>
            <a:gdLst>
              <a:gd name="connsiteX0" fmla="*/ 0 w 1519237"/>
              <a:gd name="connsiteY0" fmla="*/ 261937 h 261937"/>
              <a:gd name="connsiteX1" fmla="*/ 0 w 1519237"/>
              <a:gd name="connsiteY1" fmla="*/ 0 h 261937"/>
              <a:gd name="connsiteX2" fmla="*/ 1519237 w 1519237"/>
              <a:gd name="connsiteY2" fmla="*/ 0 h 261937"/>
              <a:gd name="connsiteX3" fmla="*/ 1519237 w 1519237"/>
              <a:gd name="connsiteY3" fmla="*/ 257175 h 261937"/>
            </a:gdLst>
            <a:ahLst/>
            <a:cxnLst>
              <a:cxn ang="0">
                <a:pos x="connsiteX0" y="connsiteY0"/>
              </a:cxn>
              <a:cxn ang="0">
                <a:pos x="connsiteX1" y="connsiteY1"/>
              </a:cxn>
              <a:cxn ang="0">
                <a:pos x="connsiteX2" y="connsiteY2"/>
              </a:cxn>
              <a:cxn ang="0">
                <a:pos x="connsiteX3" y="connsiteY3"/>
              </a:cxn>
            </a:cxnLst>
            <a:rect l="l" t="t" r="r" b="b"/>
            <a:pathLst>
              <a:path w="1519237" h="261937">
                <a:moveTo>
                  <a:pt x="0" y="261937"/>
                </a:moveTo>
                <a:lnTo>
                  <a:pt x="0" y="0"/>
                </a:lnTo>
                <a:lnTo>
                  <a:pt x="1519237" y="0"/>
                </a:lnTo>
                <a:lnTo>
                  <a:pt x="1519237" y="257175"/>
                </a:lnTo>
              </a:path>
            </a:pathLst>
          </a:cu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kern="1200"/>
          </a:p>
        </xdr:txBody>
      </xdr:sp>
    </xdr:grpSp>
    <xdr:clientData/>
  </xdr:twoCellAnchor>
  <xdr:twoCellAnchor>
    <xdr:from>
      <xdr:col>73</xdr:col>
      <xdr:colOff>1</xdr:colOff>
      <xdr:row>92</xdr:row>
      <xdr:rowOff>119060</xdr:rowOff>
    </xdr:from>
    <xdr:to>
      <xdr:col>76</xdr:col>
      <xdr:colOff>28576</xdr:colOff>
      <xdr:row>97</xdr:row>
      <xdr:rowOff>4760</xdr:rowOff>
    </xdr:to>
    <xdr:grpSp>
      <xdr:nvGrpSpPr>
        <xdr:cNvPr id="1957" name="Group 1956">
          <a:extLst>
            <a:ext uri="{FF2B5EF4-FFF2-40B4-BE49-F238E27FC236}">
              <a16:creationId xmlns:a16="http://schemas.microsoft.com/office/drawing/2014/main" id="{80458522-5292-2216-F155-7F1B2C379A54}"/>
            </a:ext>
          </a:extLst>
        </xdr:cNvPr>
        <xdr:cNvGrpSpPr/>
      </xdr:nvGrpSpPr>
      <xdr:grpSpPr>
        <a:xfrm>
          <a:off x="11820526" y="13644560"/>
          <a:ext cx="514350" cy="600075"/>
          <a:chOff x="11820526" y="13644560"/>
          <a:chExt cx="514350" cy="600075"/>
        </a:xfrm>
      </xdr:grpSpPr>
      <xdr:cxnSp macro="">
        <xdr:nvCxnSpPr>
          <xdr:cNvPr id="1939" name="Straight Arrow Connector 1938">
            <a:extLst>
              <a:ext uri="{FF2B5EF4-FFF2-40B4-BE49-F238E27FC236}">
                <a16:creationId xmlns:a16="http://schemas.microsoft.com/office/drawing/2014/main" id="{05683EEB-014F-0677-A45A-357395CE773A}"/>
              </a:ext>
            </a:extLst>
          </xdr:cNvPr>
          <xdr:cNvCxnSpPr/>
        </xdr:nvCxnSpPr>
        <xdr:spPr>
          <a:xfrm flipV="1">
            <a:off x="11820527" y="13644560"/>
            <a:ext cx="0" cy="60007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951" name="Straight Arrow Connector 1950">
            <a:extLst>
              <a:ext uri="{FF2B5EF4-FFF2-40B4-BE49-F238E27FC236}">
                <a16:creationId xmlns:a16="http://schemas.microsoft.com/office/drawing/2014/main" id="{817FBC9E-DF12-EF50-B8DB-DA957673449A}"/>
              </a:ext>
            </a:extLst>
          </xdr:cNvPr>
          <xdr:cNvCxnSpPr/>
        </xdr:nvCxnSpPr>
        <xdr:spPr>
          <a:xfrm>
            <a:off x="11820526" y="14239872"/>
            <a:ext cx="51435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72</xdr:col>
      <xdr:colOff>1</xdr:colOff>
      <xdr:row>473</xdr:row>
      <xdr:rowOff>119060</xdr:rowOff>
    </xdr:from>
    <xdr:to>
      <xdr:col>75</xdr:col>
      <xdr:colOff>28576</xdr:colOff>
      <xdr:row>478</xdr:row>
      <xdr:rowOff>4760</xdr:rowOff>
    </xdr:to>
    <xdr:grpSp>
      <xdr:nvGrpSpPr>
        <xdr:cNvPr id="1960" name="Group 1959">
          <a:extLst>
            <a:ext uri="{FF2B5EF4-FFF2-40B4-BE49-F238E27FC236}">
              <a16:creationId xmlns:a16="http://schemas.microsoft.com/office/drawing/2014/main" id="{1B12B0BC-E092-4E9E-8E30-6B1C39D1A9E2}"/>
            </a:ext>
          </a:extLst>
        </xdr:cNvPr>
        <xdr:cNvGrpSpPr/>
      </xdr:nvGrpSpPr>
      <xdr:grpSpPr>
        <a:xfrm>
          <a:off x="11658601" y="68994335"/>
          <a:ext cx="514350" cy="600075"/>
          <a:chOff x="11820526" y="13644560"/>
          <a:chExt cx="514350" cy="600075"/>
        </a:xfrm>
      </xdr:grpSpPr>
      <xdr:cxnSp macro="">
        <xdr:nvCxnSpPr>
          <xdr:cNvPr id="1962" name="Straight Arrow Connector 1961">
            <a:extLst>
              <a:ext uri="{FF2B5EF4-FFF2-40B4-BE49-F238E27FC236}">
                <a16:creationId xmlns:a16="http://schemas.microsoft.com/office/drawing/2014/main" id="{C8808226-EC0A-D3B5-7307-9EF6D7B01EED}"/>
              </a:ext>
            </a:extLst>
          </xdr:cNvPr>
          <xdr:cNvCxnSpPr/>
        </xdr:nvCxnSpPr>
        <xdr:spPr>
          <a:xfrm flipV="1">
            <a:off x="11820527" y="13644560"/>
            <a:ext cx="0" cy="60007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965" name="Straight Arrow Connector 1964">
            <a:extLst>
              <a:ext uri="{FF2B5EF4-FFF2-40B4-BE49-F238E27FC236}">
                <a16:creationId xmlns:a16="http://schemas.microsoft.com/office/drawing/2014/main" id="{0A29CD3A-26C5-7022-D330-A792C7E5B261}"/>
              </a:ext>
            </a:extLst>
          </xdr:cNvPr>
          <xdr:cNvCxnSpPr/>
        </xdr:nvCxnSpPr>
        <xdr:spPr>
          <a:xfrm>
            <a:off x="11820526" y="14239872"/>
            <a:ext cx="51435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72</xdr:col>
      <xdr:colOff>1</xdr:colOff>
      <xdr:row>662</xdr:row>
      <xdr:rowOff>119060</xdr:rowOff>
    </xdr:from>
    <xdr:to>
      <xdr:col>75</xdr:col>
      <xdr:colOff>28576</xdr:colOff>
      <xdr:row>667</xdr:row>
      <xdr:rowOff>4760</xdr:rowOff>
    </xdr:to>
    <xdr:grpSp>
      <xdr:nvGrpSpPr>
        <xdr:cNvPr id="1968" name="Group 1967">
          <a:extLst>
            <a:ext uri="{FF2B5EF4-FFF2-40B4-BE49-F238E27FC236}">
              <a16:creationId xmlns:a16="http://schemas.microsoft.com/office/drawing/2014/main" id="{93BF6284-A830-4BC8-A819-00AAD88F2B16}"/>
            </a:ext>
          </a:extLst>
        </xdr:cNvPr>
        <xdr:cNvGrpSpPr/>
      </xdr:nvGrpSpPr>
      <xdr:grpSpPr>
        <a:xfrm>
          <a:off x="11658601" y="96445385"/>
          <a:ext cx="514350" cy="600075"/>
          <a:chOff x="11820526" y="13644560"/>
          <a:chExt cx="514350" cy="600075"/>
        </a:xfrm>
      </xdr:grpSpPr>
      <xdr:cxnSp macro="">
        <xdr:nvCxnSpPr>
          <xdr:cNvPr id="1972" name="Straight Arrow Connector 1971">
            <a:extLst>
              <a:ext uri="{FF2B5EF4-FFF2-40B4-BE49-F238E27FC236}">
                <a16:creationId xmlns:a16="http://schemas.microsoft.com/office/drawing/2014/main" id="{7C3AEEBB-7F85-C6C9-EC0B-E811F28F10EC}"/>
              </a:ext>
            </a:extLst>
          </xdr:cNvPr>
          <xdr:cNvCxnSpPr/>
        </xdr:nvCxnSpPr>
        <xdr:spPr>
          <a:xfrm flipV="1">
            <a:off x="11820527" y="13644560"/>
            <a:ext cx="0" cy="60007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973" name="Straight Arrow Connector 1972">
            <a:extLst>
              <a:ext uri="{FF2B5EF4-FFF2-40B4-BE49-F238E27FC236}">
                <a16:creationId xmlns:a16="http://schemas.microsoft.com/office/drawing/2014/main" id="{20D4AA25-8A95-1B72-7853-170DBD7C750B}"/>
              </a:ext>
            </a:extLst>
          </xdr:cNvPr>
          <xdr:cNvCxnSpPr/>
        </xdr:nvCxnSpPr>
        <xdr:spPr>
          <a:xfrm>
            <a:off x="11820526" y="14239872"/>
            <a:ext cx="51435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72</xdr:col>
      <xdr:colOff>1</xdr:colOff>
      <xdr:row>857</xdr:row>
      <xdr:rowOff>119060</xdr:rowOff>
    </xdr:from>
    <xdr:to>
      <xdr:col>75</xdr:col>
      <xdr:colOff>28576</xdr:colOff>
      <xdr:row>862</xdr:row>
      <xdr:rowOff>4760</xdr:rowOff>
    </xdr:to>
    <xdr:grpSp>
      <xdr:nvGrpSpPr>
        <xdr:cNvPr id="1979" name="Group 1978">
          <a:extLst>
            <a:ext uri="{FF2B5EF4-FFF2-40B4-BE49-F238E27FC236}">
              <a16:creationId xmlns:a16="http://schemas.microsoft.com/office/drawing/2014/main" id="{52AEE1EE-1F15-4008-9C38-477AA0C8E47E}"/>
            </a:ext>
          </a:extLst>
        </xdr:cNvPr>
        <xdr:cNvGrpSpPr/>
      </xdr:nvGrpSpPr>
      <xdr:grpSpPr>
        <a:xfrm>
          <a:off x="11658601" y="124744160"/>
          <a:ext cx="514350" cy="600075"/>
          <a:chOff x="11820526" y="13644560"/>
          <a:chExt cx="514350" cy="600075"/>
        </a:xfrm>
      </xdr:grpSpPr>
      <xdr:cxnSp macro="">
        <xdr:nvCxnSpPr>
          <xdr:cNvPr id="2019" name="Straight Arrow Connector 2018">
            <a:extLst>
              <a:ext uri="{FF2B5EF4-FFF2-40B4-BE49-F238E27FC236}">
                <a16:creationId xmlns:a16="http://schemas.microsoft.com/office/drawing/2014/main" id="{E6C4ED92-F971-F7EC-4917-05A692BB667D}"/>
              </a:ext>
            </a:extLst>
          </xdr:cNvPr>
          <xdr:cNvCxnSpPr/>
        </xdr:nvCxnSpPr>
        <xdr:spPr>
          <a:xfrm flipV="1">
            <a:off x="11820527" y="13644560"/>
            <a:ext cx="0" cy="60007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025" name="Straight Arrow Connector 2024">
            <a:extLst>
              <a:ext uri="{FF2B5EF4-FFF2-40B4-BE49-F238E27FC236}">
                <a16:creationId xmlns:a16="http://schemas.microsoft.com/office/drawing/2014/main" id="{AC4E6D89-8113-B6B2-C210-0986B5D5EADF}"/>
              </a:ext>
            </a:extLst>
          </xdr:cNvPr>
          <xdr:cNvCxnSpPr/>
        </xdr:nvCxnSpPr>
        <xdr:spPr>
          <a:xfrm>
            <a:off x="11820526" y="14239872"/>
            <a:ext cx="51435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53</xdr:col>
      <xdr:colOff>0</xdr:colOff>
      <xdr:row>30</xdr:row>
      <xdr:rowOff>0</xdr:rowOff>
    </xdr:from>
    <xdr:to>
      <xdr:col>73</xdr:col>
      <xdr:colOff>50801</xdr:colOff>
      <xdr:row>41</xdr:row>
      <xdr:rowOff>120650</xdr:rowOff>
    </xdr:to>
    <xdr:grpSp>
      <xdr:nvGrpSpPr>
        <xdr:cNvPr id="2037" name="Group 2036">
          <a:extLst>
            <a:ext uri="{FF2B5EF4-FFF2-40B4-BE49-F238E27FC236}">
              <a16:creationId xmlns:a16="http://schemas.microsoft.com/office/drawing/2014/main" id="{95762BFB-B05D-7BEE-2DAB-D6C162BBC670}"/>
            </a:ext>
          </a:extLst>
        </xdr:cNvPr>
        <xdr:cNvGrpSpPr/>
      </xdr:nvGrpSpPr>
      <xdr:grpSpPr>
        <a:xfrm>
          <a:off x="8582025" y="4667250"/>
          <a:ext cx="3289301" cy="1692275"/>
          <a:chOff x="8582025" y="4667250"/>
          <a:chExt cx="3289301" cy="1692275"/>
        </a:xfrm>
      </xdr:grpSpPr>
      <xdr:sp macro="" textlink="">
        <xdr:nvSpPr>
          <xdr:cNvPr id="2660" name="Rectangle 2659">
            <a:extLst>
              <a:ext uri="{FF2B5EF4-FFF2-40B4-BE49-F238E27FC236}">
                <a16:creationId xmlns:a16="http://schemas.microsoft.com/office/drawing/2014/main" id="{6D56911E-31FC-4B5C-4643-28563A3C1F54}"/>
              </a:ext>
            </a:extLst>
          </xdr:cNvPr>
          <xdr:cNvSpPr/>
        </xdr:nvSpPr>
        <xdr:spPr>
          <a:xfrm>
            <a:off x="8869363" y="5529264"/>
            <a:ext cx="1771650" cy="138112"/>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kern="1200"/>
          </a:p>
        </xdr:txBody>
      </xdr:sp>
      <xdr:sp macro="" textlink="">
        <xdr:nvSpPr>
          <xdr:cNvPr id="2661" name="Rectangle 2660">
            <a:extLst>
              <a:ext uri="{FF2B5EF4-FFF2-40B4-BE49-F238E27FC236}">
                <a16:creationId xmlns:a16="http://schemas.microsoft.com/office/drawing/2014/main" id="{850D067E-100D-7322-5DB0-43FB9E6ED334}"/>
              </a:ext>
            </a:extLst>
          </xdr:cNvPr>
          <xdr:cNvSpPr/>
        </xdr:nvSpPr>
        <xdr:spPr>
          <a:xfrm>
            <a:off x="9355138" y="4667251"/>
            <a:ext cx="800100" cy="428624"/>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cxnSp macro="">
        <xdr:nvCxnSpPr>
          <xdr:cNvPr id="2662" name="Straight Connector 2661">
            <a:extLst>
              <a:ext uri="{FF2B5EF4-FFF2-40B4-BE49-F238E27FC236}">
                <a16:creationId xmlns:a16="http://schemas.microsoft.com/office/drawing/2014/main" id="{AEE4546D-D80C-EEC4-76B0-9B9AB2E90380}"/>
              </a:ext>
            </a:extLst>
          </xdr:cNvPr>
          <xdr:cNvCxnSpPr/>
        </xdr:nvCxnSpPr>
        <xdr:spPr>
          <a:xfrm>
            <a:off x="9464679" y="4670425"/>
            <a:ext cx="0" cy="4254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663" name="Straight Connector 2662">
            <a:extLst>
              <a:ext uri="{FF2B5EF4-FFF2-40B4-BE49-F238E27FC236}">
                <a16:creationId xmlns:a16="http://schemas.microsoft.com/office/drawing/2014/main" id="{1F11BEF2-A8C2-7842-57C9-3E20BC59A18D}"/>
              </a:ext>
            </a:extLst>
          </xdr:cNvPr>
          <xdr:cNvCxnSpPr/>
        </xdr:nvCxnSpPr>
        <xdr:spPr>
          <a:xfrm>
            <a:off x="10050460" y="4667250"/>
            <a:ext cx="0" cy="43338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2664" name="Freeform: Shape 2663">
            <a:extLst>
              <a:ext uri="{FF2B5EF4-FFF2-40B4-BE49-F238E27FC236}">
                <a16:creationId xmlns:a16="http://schemas.microsoft.com/office/drawing/2014/main" id="{CCA9C091-A6FA-3E5C-43C8-F526EEF3060E}"/>
              </a:ext>
            </a:extLst>
          </xdr:cNvPr>
          <xdr:cNvSpPr/>
        </xdr:nvSpPr>
        <xdr:spPr>
          <a:xfrm>
            <a:off x="8993188" y="5095875"/>
            <a:ext cx="1633537" cy="433388"/>
          </a:xfrm>
          <a:custGeom>
            <a:avLst/>
            <a:gdLst>
              <a:gd name="connsiteX0" fmla="*/ 309562 w 1633537"/>
              <a:gd name="connsiteY0" fmla="*/ 0 h 433388"/>
              <a:gd name="connsiteX1" fmla="*/ 1223962 w 1633537"/>
              <a:gd name="connsiteY1" fmla="*/ 0 h 433388"/>
              <a:gd name="connsiteX2" fmla="*/ 1538287 w 1633537"/>
              <a:gd name="connsiteY2" fmla="*/ 147638 h 433388"/>
              <a:gd name="connsiteX3" fmla="*/ 1538287 w 1633537"/>
              <a:gd name="connsiteY3" fmla="*/ 433388 h 433388"/>
              <a:gd name="connsiteX4" fmla="*/ 1633537 w 1633537"/>
              <a:gd name="connsiteY4" fmla="*/ 433388 h 433388"/>
              <a:gd name="connsiteX5" fmla="*/ 0 w 1633537"/>
              <a:gd name="connsiteY5" fmla="*/ 433388 h 433388"/>
              <a:gd name="connsiteX6" fmla="*/ 0 w 1633537"/>
              <a:gd name="connsiteY6" fmla="*/ 142875 h 433388"/>
              <a:gd name="connsiteX7" fmla="*/ 309562 w 1633537"/>
              <a:gd name="connsiteY7" fmla="*/ 0 h 43338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1633537" h="433388">
                <a:moveTo>
                  <a:pt x="309562" y="0"/>
                </a:moveTo>
                <a:lnTo>
                  <a:pt x="1223962" y="0"/>
                </a:lnTo>
                <a:lnTo>
                  <a:pt x="1538287" y="147638"/>
                </a:lnTo>
                <a:lnTo>
                  <a:pt x="1538287" y="433388"/>
                </a:lnTo>
                <a:lnTo>
                  <a:pt x="1633537" y="433388"/>
                </a:lnTo>
                <a:lnTo>
                  <a:pt x="0" y="433388"/>
                </a:lnTo>
                <a:lnTo>
                  <a:pt x="0" y="142875"/>
                </a:lnTo>
                <a:lnTo>
                  <a:pt x="309562" y="0"/>
                </a:lnTo>
                <a:close/>
              </a:path>
            </a:pathLst>
          </a:cu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cxnSp macro="">
        <xdr:nvCxnSpPr>
          <xdr:cNvPr id="2665" name="Straight Connector 2664">
            <a:extLst>
              <a:ext uri="{FF2B5EF4-FFF2-40B4-BE49-F238E27FC236}">
                <a16:creationId xmlns:a16="http://schemas.microsoft.com/office/drawing/2014/main" id="{65F762B3-C543-7960-75AF-0B41478A7E3E}"/>
              </a:ext>
            </a:extLst>
          </xdr:cNvPr>
          <xdr:cNvCxnSpPr/>
        </xdr:nvCxnSpPr>
        <xdr:spPr>
          <a:xfrm>
            <a:off x="9464679" y="5100646"/>
            <a:ext cx="0" cy="423862"/>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2666" name="Straight Connector 2665">
            <a:extLst>
              <a:ext uri="{FF2B5EF4-FFF2-40B4-BE49-F238E27FC236}">
                <a16:creationId xmlns:a16="http://schemas.microsoft.com/office/drawing/2014/main" id="{E000FB7F-D5A5-97CD-F163-287848F6BFBC}"/>
              </a:ext>
            </a:extLst>
          </xdr:cNvPr>
          <xdr:cNvCxnSpPr/>
        </xdr:nvCxnSpPr>
        <xdr:spPr>
          <a:xfrm>
            <a:off x="10050460" y="5100647"/>
            <a:ext cx="0" cy="428624"/>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2667" name="Straight Connector 2666">
            <a:extLst>
              <a:ext uri="{FF2B5EF4-FFF2-40B4-BE49-F238E27FC236}">
                <a16:creationId xmlns:a16="http://schemas.microsoft.com/office/drawing/2014/main" id="{580AA97A-861A-7CD2-FED5-42B98F5DD309}"/>
              </a:ext>
            </a:extLst>
          </xdr:cNvPr>
          <xdr:cNvCxnSpPr/>
        </xdr:nvCxnSpPr>
        <xdr:spPr>
          <a:xfrm>
            <a:off x="9355142" y="5105408"/>
            <a:ext cx="0" cy="423862"/>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2668" name="Straight Connector 2667">
            <a:extLst>
              <a:ext uri="{FF2B5EF4-FFF2-40B4-BE49-F238E27FC236}">
                <a16:creationId xmlns:a16="http://schemas.microsoft.com/office/drawing/2014/main" id="{DCADEA85-39AD-5812-4316-2B9C837FA62A}"/>
              </a:ext>
            </a:extLst>
          </xdr:cNvPr>
          <xdr:cNvCxnSpPr/>
        </xdr:nvCxnSpPr>
        <xdr:spPr>
          <a:xfrm>
            <a:off x="10155241" y="5105413"/>
            <a:ext cx="0" cy="423862"/>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grpSp>
        <xdr:nvGrpSpPr>
          <xdr:cNvPr id="2669" name="Group 2668">
            <a:extLst>
              <a:ext uri="{FF2B5EF4-FFF2-40B4-BE49-F238E27FC236}">
                <a16:creationId xmlns:a16="http://schemas.microsoft.com/office/drawing/2014/main" id="{2DA4548C-B1DA-5F18-0706-B2E65ACA2436}"/>
              </a:ext>
            </a:extLst>
          </xdr:cNvPr>
          <xdr:cNvGrpSpPr/>
        </xdr:nvGrpSpPr>
        <xdr:grpSpPr>
          <a:xfrm>
            <a:off x="9559925" y="5597525"/>
            <a:ext cx="403225" cy="403225"/>
            <a:chOff x="2800350" y="110067725"/>
            <a:chExt cx="403225" cy="403225"/>
          </a:xfrm>
        </xdr:grpSpPr>
        <xdr:sp macro="" textlink="">
          <xdr:nvSpPr>
            <xdr:cNvPr id="2686" name="Arc 2685">
              <a:extLst>
                <a:ext uri="{FF2B5EF4-FFF2-40B4-BE49-F238E27FC236}">
                  <a16:creationId xmlns:a16="http://schemas.microsoft.com/office/drawing/2014/main" id="{AAD140E9-9B5A-AB4F-59C0-0EFBC200E442}"/>
                </a:ext>
              </a:extLst>
            </xdr:cNvPr>
            <xdr:cNvSpPr/>
          </xdr:nvSpPr>
          <xdr:spPr>
            <a:xfrm rot="5400000">
              <a:off x="3070225" y="110067725"/>
              <a:ext cx="133350" cy="133350"/>
            </a:xfrm>
            <a:prstGeom prst="arc">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tr-TR" sz="1100" kern="1200"/>
            </a:p>
          </xdr:txBody>
        </xdr:sp>
        <xdr:cxnSp macro="">
          <xdr:nvCxnSpPr>
            <xdr:cNvPr id="2687" name="Straight Connector 2686">
              <a:extLst>
                <a:ext uri="{FF2B5EF4-FFF2-40B4-BE49-F238E27FC236}">
                  <a16:creationId xmlns:a16="http://schemas.microsoft.com/office/drawing/2014/main" id="{0B8DCCE1-2037-671A-54F7-E490ACC1E438}"/>
                </a:ext>
              </a:extLst>
            </xdr:cNvPr>
            <xdr:cNvCxnSpPr/>
          </xdr:nvCxnSpPr>
          <xdr:spPr>
            <a:xfrm>
              <a:off x="2997200" y="110199488"/>
              <a:ext cx="14446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688" name="Straight Connector 2687">
              <a:extLst>
                <a:ext uri="{FF2B5EF4-FFF2-40B4-BE49-F238E27FC236}">
                  <a16:creationId xmlns:a16="http://schemas.microsoft.com/office/drawing/2014/main" id="{5D49FD60-55BD-4B5C-CF31-85C9B1D73F55}"/>
                </a:ext>
              </a:extLst>
            </xdr:cNvPr>
            <xdr:cNvCxnSpPr/>
          </xdr:nvCxnSpPr>
          <xdr:spPr>
            <a:xfrm rot="5400000">
              <a:off x="2701925" y="110305850"/>
              <a:ext cx="3302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689" name="Straight Connector 2688">
              <a:extLst>
                <a:ext uri="{FF2B5EF4-FFF2-40B4-BE49-F238E27FC236}">
                  <a16:creationId xmlns:a16="http://schemas.microsoft.com/office/drawing/2014/main" id="{6F728BA7-6C34-89E7-53DF-FCBE7D997676}"/>
                </a:ext>
              </a:extLst>
            </xdr:cNvPr>
            <xdr:cNvCxnSpPr/>
          </xdr:nvCxnSpPr>
          <xdr:spPr>
            <a:xfrm>
              <a:off x="2870200" y="110137575"/>
              <a:ext cx="3302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2690" name="Arc 2689">
              <a:extLst>
                <a:ext uri="{FF2B5EF4-FFF2-40B4-BE49-F238E27FC236}">
                  <a16:creationId xmlns:a16="http://schemas.microsoft.com/office/drawing/2014/main" id="{8BA5EE88-5904-B69B-7132-28C8D24B6FB2}"/>
                </a:ext>
              </a:extLst>
            </xdr:cNvPr>
            <xdr:cNvSpPr/>
          </xdr:nvSpPr>
          <xdr:spPr>
            <a:xfrm rot="5400000">
              <a:off x="2800350" y="110334425"/>
              <a:ext cx="133350" cy="133350"/>
            </a:xfrm>
            <a:prstGeom prst="arc">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tr-TR" sz="1100" kern="1200"/>
            </a:p>
          </xdr:txBody>
        </xdr:sp>
        <xdr:cxnSp macro="">
          <xdr:nvCxnSpPr>
            <xdr:cNvPr id="2691" name="Straight Connector 2690">
              <a:extLst>
                <a:ext uri="{FF2B5EF4-FFF2-40B4-BE49-F238E27FC236}">
                  <a16:creationId xmlns:a16="http://schemas.microsoft.com/office/drawing/2014/main" id="{CF5BBBFB-EDD0-CE0E-98DB-7B49523FD12B}"/>
                </a:ext>
              </a:extLst>
            </xdr:cNvPr>
            <xdr:cNvCxnSpPr/>
          </xdr:nvCxnSpPr>
          <xdr:spPr>
            <a:xfrm>
              <a:off x="2934494" y="110264575"/>
              <a:ext cx="0" cy="13731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2692" name="Arc 2691">
              <a:extLst>
                <a:ext uri="{FF2B5EF4-FFF2-40B4-BE49-F238E27FC236}">
                  <a16:creationId xmlns:a16="http://schemas.microsoft.com/office/drawing/2014/main" id="{50ED2FF5-085A-B54C-46F0-20DAE12FDFB9}"/>
                </a:ext>
              </a:extLst>
            </xdr:cNvPr>
            <xdr:cNvSpPr/>
          </xdr:nvSpPr>
          <xdr:spPr>
            <a:xfrm rot="16200000">
              <a:off x="2933700" y="110201075"/>
              <a:ext cx="133350" cy="133350"/>
            </a:xfrm>
            <a:prstGeom prst="arc">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tr-TR" sz="1100" kern="1200"/>
            </a:p>
          </xdr:txBody>
        </xdr:sp>
      </xdr:grpSp>
      <xdr:sp macro="" textlink="">
        <xdr:nvSpPr>
          <xdr:cNvPr id="2670" name="Freeform: Shape 2669">
            <a:extLst>
              <a:ext uri="{FF2B5EF4-FFF2-40B4-BE49-F238E27FC236}">
                <a16:creationId xmlns:a16="http://schemas.microsoft.com/office/drawing/2014/main" id="{07AB1DD8-971C-9DFF-E2E8-FECEBAB5ADFD}"/>
              </a:ext>
            </a:extLst>
          </xdr:cNvPr>
          <xdr:cNvSpPr/>
        </xdr:nvSpPr>
        <xdr:spPr>
          <a:xfrm>
            <a:off x="8582025" y="5810250"/>
            <a:ext cx="495300" cy="292100"/>
          </a:xfrm>
          <a:custGeom>
            <a:avLst/>
            <a:gdLst>
              <a:gd name="connsiteX0" fmla="*/ 0 w 495300"/>
              <a:gd name="connsiteY0" fmla="*/ 0 h 292100"/>
              <a:gd name="connsiteX1" fmla="*/ 495300 w 495300"/>
              <a:gd name="connsiteY1" fmla="*/ 0 h 292100"/>
              <a:gd name="connsiteX2" fmla="*/ 495300 w 495300"/>
              <a:gd name="connsiteY2" fmla="*/ 292100 h 292100"/>
            </a:gdLst>
            <a:ahLst/>
            <a:cxnLst>
              <a:cxn ang="0">
                <a:pos x="connsiteX0" y="connsiteY0"/>
              </a:cxn>
              <a:cxn ang="0">
                <a:pos x="connsiteX1" y="connsiteY1"/>
              </a:cxn>
              <a:cxn ang="0">
                <a:pos x="connsiteX2" y="connsiteY2"/>
              </a:cxn>
            </a:cxnLst>
            <a:rect l="l" t="t" r="r" b="b"/>
            <a:pathLst>
              <a:path w="495300" h="292100">
                <a:moveTo>
                  <a:pt x="0" y="0"/>
                </a:moveTo>
                <a:lnTo>
                  <a:pt x="495300" y="0"/>
                </a:lnTo>
                <a:lnTo>
                  <a:pt x="495300" y="292100"/>
                </a:lnTo>
              </a:path>
            </a:pathLst>
          </a:custGeom>
          <a:no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kern="1200"/>
          </a:p>
        </xdr:txBody>
      </xdr:sp>
      <xdr:sp macro="" textlink="">
        <xdr:nvSpPr>
          <xdr:cNvPr id="2671" name="Freeform: Shape 2670">
            <a:extLst>
              <a:ext uri="{FF2B5EF4-FFF2-40B4-BE49-F238E27FC236}">
                <a16:creationId xmlns:a16="http://schemas.microsoft.com/office/drawing/2014/main" id="{73BB9FD2-BA79-C6D0-2C78-0815761E3BDF}"/>
              </a:ext>
            </a:extLst>
          </xdr:cNvPr>
          <xdr:cNvSpPr/>
        </xdr:nvSpPr>
        <xdr:spPr>
          <a:xfrm>
            <a:off x="9255125" y="5810250"/>
            <a:ext cx="990600" cy="288925"/>
          </a:xfrm>
          <a:custGeom>
            <a:avLst/>
            <a:gdLst>
              <a:gd name="connsiteX0" fmla="*/ 0 w 990600"/>
              <a:gd name="connsiteY0" fmla="*/ 282575 h 288925"/>
              <a:gd name="connsiteX1" fmla="*/ 0 w 990600"/>
              <a:gd name="connsiteY1" fmla="*/ 0 h 288925"/>
              <a:gd name="connsiteX2" fmla="*/ 254000 w 990600"/>
              <a:gd name="connsiteY2" fmla="*/ 0 h 288925"/>
              <a:gd name="connsiteX3" fmla="*/ 254000 w 990600"/>
              <a:gd name="connsiteY3" fmla="*/ 282575 h 288925"/>
              <a:gd name="connsiteX4" fmla="*/ 825500 w 990600"/>
              <a:gd name="connsiteY4" fmla="*/ 282575 h 288925"/>
              <a:gd name="connsiteX5" fmla="*/ 825500 w 990600"/>
              <a:gd name="connsiteY5" fmla="*/ 0 h 288925"/>
              <a:gd name="connsiteX6" fmla="*/ 990600 w 990600"/>
              <a:gd name="connsiteY6" fmla="*/ 0 h 288925"/>
              <a:gd name="connsiteX7" fmla="*/ 990600 w 990600"/>
              <a:gd name="connsiteY7" fmla="*/ 288925 h 2889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990600" h="288925">
                <a:moveTo>
                  <a:pt x="0" y="282575"/>
                </a:moveTo>
                <a:lnTo>
                  <a:pt x="0" y="0"/>
                </a:lnTo>
                <a:lnTo>
                  <a:pt x="254000" y="0"/>
                </a:lnTo>
                <a:lnTo>
                  <a:pt x="254000" y="282575"/>
                </a:lnTo>
                <a:lnTo>
                  <a:pt x="825500" y="282575"/>
                </a:lnTo>
                <a:lnTo>
                  <a:pt x="825500" y="0"/>
                </a:lnTo>
                <a:lnTo>
                  <a:pt x="990600" y="0"/>
                </a:lnTo>
                <a:lnTo>
                  <a:pt x="990600" y="288925"/>
                </a:lnTo>
              </a:path>
            </a:pathLst>
          </a:custGeom>
          <a:no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kern="1200"/>
          </a:p>
        </xdr:txBody>
      </xdr:sp>
      <xdr:sp macro="" textlink="">
        <xdr:nvSpPr>
          <xdr:cNvPr id="2672" name="Freeform: Shape 2671">
            <a:extLst>
              <a:ext uri="{FF2B5EF4-FFF2-40B4-BE49-F238E27FC236}">
                <a16:creationId xmlns:a16="http://schemas.microsoft.com/office/drawing/2014/main" id="{02DFD0BC-6632-9808-5EAE-B45E18F3B5D1}"/>
              </a:ext>
            </a:extLst>
          </xdr:cNvPr>
          <xdr:cNvSpPr/>
        </xdr:nvSpPr>
        <xdr:spPr>
          <a:xfrm>
            <a:off x="10429875" y="5810250"/>
            <a:ext cx="498475" cy="288925"/>
          </a:xfrm>
          <a:custGeom>
            <a:avLst/>
            <a:gdLst>
              <a:gd name="connsiteX0" fmla="*/ 498475 w 498475"/>
              <a:gd name="connsiteY0" fmla="*/ 0 h 288925"/>
              <a:gd name="connsiteX1" fmla="*/ 0 w 498475"/>
              <a:gd name="connsiteY1" fmla="*/ 0 h 288925"/>
              <a:gd name="connsiteX2" fmla="*/ 0 w 498475"/>
              <a:gd name="connsiteY2" fmla="*/ 288925 h 288925"/>
            </a:gdLst>
            <a:ahLst/>
            <a:cxnLst>
              <a:cxn ang="0">
                <a:pos x="connsiteX0" y="connsiteY0"/>
              </a:cxn>
              <a:cxn ang="0">
                <a:pos x="connsiteX1" y="connsiteY1"/>
              </a:cxn>
              <a:cxn ang="0">
                <a:pos x="connsiteX2" y="connsiteY2"/>
              </a:cxn>
            </a:cxnLst>
            <a:rect l="l" t="t" r="r" b="b"/>
            <a:pathLst>
              <a:path w="498475" h="288925">
                <a:moveTo>
                  <a:pt x="498475" y="0"/>
                </a:moveTo>
                <a:lnTo>
                  <a:pt x="0" y="0"/>
                </a:lnTo>
                <a:lnTo>
                  <a:pt x="0" y="288925"/>
                </a:lnTo>
              </a:path>
            </a:pathLst>
          </a:custGeom>
          <a:no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kern="1200"/>
          </a:p>
        </xdr:txBody>
      </xdr:sp>
      <xdr:cxnSp macro="">
        <xdr:nvCxnSpPr>
          <xdr:cNvPr id="2673" name="Straight Connector 2672">
            <a:extLst>
              <a:ext uri="{FF2B5EF4-FFF2-40B4-BE49-F238E27FC236}">
                <a16:creationId xmlns:a16="http://schemas.microsoft.com/office/drawing/2014/main" id="{179A2DBF-AA1B-43A9-72BA-3020C75286C0}"/>
              </a:ext>
            </a:extLst>
          </xdr:cNvPr>
          <xdr:cNvCxnSpPr/>
        </xdr:nvCxnSpPr>
        <xdr:spPr>
          <a:xfrm flipH="1">
            <a:off x="8734425" y="5664995"/>
            <a:ext cx="138113" cy="145255"/>
          </a:xfrm>
          <a:prstGeom prst="line">
            <a:avLst/>
          </a:prstGeom>
          <a:no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2674" name="Straight Connector 2673">
            <a:extLst>
              <a:ext uri="{FF2B5EF4-FFF2-40B4-BE49-F238E27FC236}">
                <a16:creationId xmlns:a16="http://schemas.microsoft.com/office/drawing/2014/main" id="{EE6A35DF-10B1-AC50-6FD9-51B5FCD2166E}"/>
              </a:ext>
            </a:extLst>
          </xdr:cNvPr>
          <xdr:cNvCxnSpPr/>
        </xdr:nvCxnSpPr>
        <xdr:spPr>
          <a:xfrm flipH="1" flipV="1">
            <a:off x="10645775" y="5667375"/>
            <a:ext cx="133350" cy="142875"/>
          </a:xfrm>
          <a:prstGeom prst="line">
            <a:avLst/>
          </a:prstGeom>
          <a:no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cxnSp>
      <xdr:grpSp>
        <xdr:nvGrpSpPr>
          <xdr:cNvPr id="2675" name="Group 2674">
            <a:extLst>
              <a:ext uri="{FF2B5EF4-FFF2-40B4-BE49-F238E27FC236}">
                <a16:creationId xmlns:a16="http://schemas.microsoft.com/office/drawing/2014/main" id="{943D255E-FEF7-3AF0-5520-A16076554DB5}"/>
              </a:ext>
            </a:extLst>
          </xdr:cNvPr>
          <xdr:cNvGrpSpPr/>
        </xdr:nvGrpSpPr>
        <xdr:grpSpPr>
          <a:xfrm>
            <a:off x="9109075" y="5448300"/>
            <a:ext cx="117475" cy="673100"/>
            <a:chOff x="2355850" y="109918500"/>
            <a:chExt cx="117475" cy="673100"/>
          </a:xfrm>
        </xdr:grpSpPr>
        <xdr:cxnSp macro="">
          <xdr:nvCxnSpPr>
            <xdr:cNvPr id="2683" name="Straight Connector 2682">
              <a:extLst>
                <a:ext uri="{FF2B5EF4-FFF2-40B4-BE49-F238E27FC236}">
                  <a16:creationId xmlns:a16="http://schemas.microsoft.com/office/drawing/2014/main" id="{38DF0CE8-D759-D2FB-89CC-81160F241A15}"/>
                </a:ext>
              </a:extLst>
            </xdr:cNvPr>
            <xdr:cNvCxnSpPr/>
          </xdr:nvCxnSpPr>
          <xdr:spPr>
            <a:xfrm>
              <a:off x="2416175" y="109918500"/>
              <a:ext cx="0" cy="67310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2684" name="Straight Connector 2683">
              <a:extLst>
                <a:ext uri="{FF2B5EF4-FFF2-40B4-BE49-F238E27FC236}">
                  <a16:creationId xmlns:a16="http://schemas.microsoft.com/office/drawing/2014/main" id="{AFCDDB34-A101-C7CE-AC01-118AE8D10FD6}"/>
                </a:ext>
              </a:extLst>
            </xdr:cNvPr>
            <xdr:cNvCxnSpPr/>
          </xdr:nvCxnSpPr>
          <xdr:spPr>
            <a:xfrm flipH="1" flipV="1">
              <a:off x="2355850" y="109943900"/>
              <a:ext cx="57150" cy="5715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2685" name="Straight Connector 2684">
              <a:extLst>
                <a:ext uri="{FF2B5EF4-FFF2-40B4-BE49-F238E27FC236}">
                  <a16:creationId xmlns:a16="http://schemas.microsoft.com/office/drawing/2014/main" id="{6C624BAA-61B9-0DE2-1CE0-9B19B34E1970}"/>
                </a:ext>
              </a:extLst>
            </xdr:cNvPr>
            <xdr:cNvCxnSpPr/>
          </xdr:nvCxnSpPr>
          <xdr:spPr>
            <a:xfrm flipV="1">
              <a:off x="2416175" y="109943900"/>
              <a:ext cx="57150" cy="5715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grpSp>
      <xdr:grpSp>
        <xdr:nvGrpSpPr>
          <xdr:cNvPr id="2676" name="Group 2675">
            <a:extLst>
              <a:ext uri="{FF2B5EF4-FFF2-40B4-BE49-F238E27FC236}">
                <a16:creationId xmlns:a16="http://schemas.microsoft.com/office/drawing/2014/main" id="{12671F0B-6FFF-4220-D7C4-E25BEB107BA3}"/>
              </a:ext>
            </a:extLst>
          </xdr:cNvPr>
          <xdr:cNvGrpSpPr/>
        </xdr:nvGrpSpPr>
        <xdr:grpSpPr>
          <a:xfrm>
            <a:off x="10277475" y="5448300"/>
            <a:ext cx="117475" cy="673100"/>
            <a:chOff x="2355850" y="109918500"/>
            <a:chExt cx="117475" cy="673100"/>
          </a:xfrm>
        </xdr:grpSpPr>
        <xdr:cxnSp macro="">
          <xdr:nvCxnSpPr>
            <xdr:cNvPr id="2680" name="Straight Connector 2679">
              <a:extLst>
                <a:ext uri="{FF2B5EF4-FFF2-40B4-BE49-F238E27FC236}">
                  <a16:creationId xmlns:a16="http://schemas.microsoft.com/office/drawing/2014/main" id="{3E157C70-CE06-EE75-4C97-32D80C860F0C}"/>
                </a:ext>
              </a:extLst>
            </xdr:cNvPr>
            <xdr:cNvCxnSpPr/>
          </xdr:nvCxnSpPr>
          <xdr:spPr>
            <a:xfrm>
              <a:off x="2416175" y="109918500"/>
              <a:ext cx="0" cy="67310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2681" name="Straight Connector 2680">
              <a:extLst>
                <a:ext uri="{FF2B5EF4-FFF2-40B4-BE49-F238E27FC236}">
                  <a16:creationId xmlns:a16="http://schemas.microsoft.com/office/drawing/2014/main" id="{ACEBF25F-6E72-9A91-9B76-4A3356C1623A}"/>
                </a:ext>
              </a:extLst>
            </xdr:cNvPr>
            <xdr:cNvCxnSpPr/>
          </xdr:nvCxnSpPr>
          <xdr:spPr>
            <a:xfrm flipH="1" flipV="1">
              <a:off x="2355850" y="109943900"/>
              <a:ext cx="57150" cy="5715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2682" name="Straight Connector 2681">
              <a:extLst>
                <a:ext uri="{FF2B5EF4-FFF2-40B4-BE49-F238E27FC236}">
                  <a16:creationId xmlns:a16="http://schemas.microsoft.com/office/drawing/2014/main" id="{895891F0-CDF9-B736-50F3-4B8D25DF2071}"/>
                </a:ext>
              </a:extLst>
            </xdr:cNvPr>
            <xdr:cNvCxnSpPr/>
          </xdr:nvCxnSpPr>
          <xdr:spPr>
            <a:xfrm flipV="1">
              <a:off x="2416175" y="109943900"/>
              <a:ext cx="57150" cy="5715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grpSp>
      <xdr:cxnSp macro="">
        <xdr:nvCxnSpPr>
          <xdr:cNvPr id="2677" name="Straight Connector 2676">
            <a:extLst>
              <a:ext uri="{FF2B5EF4-FFF2-40B4-BE49-F238E27FC236}">
                <a16:creationId xmlns:a16="http://schemas.microsoft.com/office/drawing/2014/main" id="{D43DA4F1-1DA7-3ED0-FE2C-616B67DB8BE9}"/>
              </a:ext>
            </a:extLst>
          </xdr:cNvPr>
          <xdr:cNvCxnSpPr/>
        </xdr:nvCxnSpPr>
        <xdr:spPr>
          <a:xfrm>
            <a:off x="9696450" y="5857875"/>
            <a:ext cx="288925" cy="314325"/>
          </a:xfrm>
          <a:prstGeom prst="line">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78" name="TextBox 2677">
            <a:extLst>
              <a:ext uri="{FF2B5EF4-FFF2-40B4-BE49-F238E27FC236}">
                <a16:creationId xmlns:a16="http://schemas.microsoft.com/office/drawing/2014/main" id="{3C3170AB-AA85-997F-EBCB-777F39DB29FB}"/>
              </a:ext>
            </a:extLst>
          </xdr:cNvPr>
          <xdr:cNvSpPr txBox="1"/>
        </xdr:nvSpPr>
        <xdr:spPr>
          <a:xfrm>
            <a:off x="9626599" y="6061075"/>
            <a:ext cx="974726" cy="298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lang="tr-TR" sz="800" kern="1200">
                <a:latin typeface="Arial" panose="020B0604020202020204" pitchFamily="34" charset="0"/>
                <a:cs typeface="Arial" panose="020B0604020202020204" pitchFamily="34" charset="0"/>
              </a:rPr>
              <a:t>kayma kaması</a:t>
            </a:r>
          </a:p>
        </xdr:txBody>
      </xdr:sp>
      <xdr:cxnSp macro="">
        <xdr:nvCxnSpPr>
          <xdr:cNvPr id="2679" name="Straight Connector 2678">
            <a:extLst>
              <a:ext uri="{FF2B5EF4-FFF2-40B4-BE49-F238E27FC236}">
                <a16:creationId xmlns:a16="http://schemas.microsoft.com/office/drawing/2014/main" id="{D18B1113-5FF3-ED73-FCB2-1C4338AFED2D}"/>
              </a:ext>
            </a:extLst>
          </xdr:cNvPr>
          <xdr:cNvCxnSpPr/>
        </xdr:nvCxnSpPr>
        <xdr:spPr>
          <a:xfrm>
            <a:off x="9264650" y="4667250"/>
            <a:ext cx="996950" cy="0"/>
          </a:xfrm>
          <a:prstGeom prst="line">
            <a:avLst/>
          </a:prstGeom>
          <a:ln w="1270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1906" name="TextBox 1905">
            <a:extLst>
              <a:ext uri="{FF2B5EF4-FFF2-40B4-BE49-F238E27FC236}">
                <a16:creationId xmlns:a16="http://schemas.microsoft.com/office/drawing/2014/main" id="{9DDDC981-3F3C-4CE0-867C-0D6F6FB6F116}"/>
              </a:ext>
            </a:extLst>
          </xdr:cNvPr>
          <xdr:cNvSpPr txBox="1"/>
        </xdr:nvSpPr>
        <xdr:spPr>
          <a:xfrm>
            <a:off x="10506076" y="5248275"/>
            <a:ext cx="1365250" cy="298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lang="tr-TR" sz="800" kern="1200">
                <a:latin typeface="Arial" panose="020B0604020202020204" pitchFamily="34" charset="0"/>
                <a:cs typeface="Arial" panose="020B0604020202020204" pitchFamily="34" charset="0"/>
              </a:rPr>
              <a:t>kolon ayağı nervür </a:t>
            </a:r>
          </a:p>
        </xdr:txBody>
      </xdr:sp>
      <xdr:cxnSp macro="">
        <xdr:nvCxnSpPr>
          <xdr:cNvPr id="2028" name="Straight Connector 2027">
            <a:extLst>
              <a:ext uri="{FF2B5EF4-FFF2-40B4-BE49-F238E27FC236}">
                <a16:creationId xmlns:a16="http://schemas.microsoft.com/office/drawing/2014/main" id="{1A986734-1154-5F07-7361-527ECD227FD9}"/>
              </a:ext>
            </a:extLst>
          </xdr:cNvPr>
          <xdr:cNvCxnSpPr/>
        </xdr:nvCxnSpPr>
        <xdr:spPr>
          <a:xfrm>
            <a:off x="10334625" y="5334000"/>
            <a:ext cx="381000" cy="57150"/>
          </a:xfrm>
          <a:prstGeom prst="line">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51</xdr:col>
      <xdr:colOff>38100</xdr:colOff>
      <xdr:row>409</xdr:row>
      <xdr:rowOff>104775</xdr:rowOff>
    </xdr:from>
    <xdr:to>
      <xdr:col>71</xdr:col>
      <xdr:colOff>88901</xdr:colOff>
      <xdr:row>421</xdr:row>
      <xdr:rowOff>82550</xdr:rowOff>
    </xdr:to>
    <xdr:grpSp>
      <xdr:nvGrpSpPr>
        <xdr:cNvPr id="2043" name="Group 2042">
          <a:extLst>
            <a:ext uri="{FF2B5EF4-FFF2-40B4-BE49-F238E27FC236}">
              <a16:creationId xmlns:a16="http://schemas.microsoft.com/office/drawing/2014/main" id="{53FE44E3-98F8-436F-B093-3686F6B1FC5B}"/>
            </a:ext>
          </a:extLst>
        </xdr:cNvPr>
        <xdr:cNvGrpSpPr/>
      </xdr:nvGrpSpPr>
      <xdr:grpSpPr>
        <a:xfrm>
          <a:off x="8296275" y="59836050"/>
          <a:ext cx="3289301" cy="1692275"/>
          <a:chOff x="8582025" y="4667250"/>
          <a:chExt cx="3289301" cy="1692275"/>
        </a:xfrm>
      </xdr:grpSpPr>
      <xdr:sp macro="" textlink="">
        <xdr:nvSpPr>
          <xdr:cNvPr id="2049" name="Rectangle 2048">
            <a:extLst>
              <a:ext uri="{FF2B5EF4-FFF2-40B4-BE49-F238E27FC236}">
                <a16:creationId xmlns:a16="http://schemas.microsoft.com/office/drawing/2014/main" id="{3DD16B7E-9A1B-ABEF-9B46-CAF02B92AFEA}"/>
              </a:ext>
            </a:extLst>
          </xdr:cNvPr>
          <xdr:cNvSpPr/>
        </xdr:nvSpPr>
        <xdr:spPr>
          <a:xfrm>
            <a:off x="8869363" y="5529264"/>
            <a:ext cx="1771650" cy="138112"/>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kern="1200"/>
          </a:p>
        </xdr:txBody>
      </xdr:sp>
      <xdr:sp macro="" textlink="">
        <xdr:nvSpPr>
          <xdr:cNvPr id="2052" name="Rectangle 2051">
            <a:extLst>
              <a:ext uri="{FF2B5EF4-FFF2-40B4-BE49-F238E27FC236}">
                <a16:creationId xmlns:a16="http://schemas.microsoft.com/office/drawing/2014/main" id="{B270B50B-64A8-58C6-EDD3-3748D1ABCA64}"/>
              </a:ext>
            </a:extLst>
          </xdr:cNvPr>
          <xdr:cNvSpPr/>
        </xdr:nvSpPr>
        <xdr:spPr>
          <a:xfrm>
            <a:off x="9355138" y="4667251"/>
            <a:ext cx="800100" cy="428624"/>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cxnSp macro="">
        <xdr:nvCxnSpPr>
          <xdr:cNvPr id="2058" name="Straight Connector 2057">
            <a:extLst>
              <a:ext uri="{FF2B5EF4-FFF2-40B4-BE49-F238E27FC236}">
                <a16:creationId xmlns:a16="http://schemas.microsoft.com/office/drawing/2014/main" id="{651D3CD7-B520-AEB7-6BD7-E110368CD206}"/>
              </a:ext>
            </a:extLst>
          </xdr:cNvPr>
          <xdr:cNvCxnSpPr/>
        </xdr:nvCxnSpPr>
        <xdr:spPr>
          <a:xfrm>
            <a:off x="9464679" y="4670425"/>
            <a:ext cx="0" cy="4254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061" name="Straight Connector 2060">
            <a:extLst>
              <a:ext uri="{FF2B5EF4-FFF2-40B4-BE49-F238E27FC236}">
                <a16:creationId xmlns:a16="http://schemas.microsoft.com/office/drawing/2014/main" id="{000CB38F-C5B7-22B8-0851-FA3C515CE4D2}"/>
              </a:ext>
            </a:extLst>
          </xdr:cNvPr>
          <xdr:cNvCxnSpPr/>
        </xdr:nvCxnSpPr>
        <xdr:spPr>
          <a:xfrm>
            <a:off x="10050460" y="4667250"/>
            <a:ext cx="0" cy="43338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2112" name="Freeform: Shape 2111">
            <a:extLst>
              <a:ext uri="{FF2B5EF4-FFF2-40B4-BE49-F238E27FC236}">
                <a16:creationId xmlns:a16="http://schemas.microsoft.com/office/drawing/2014/main" id="{C76AEDC8-CCE0-73BA-91C5-47C7FBC4F138}"/>
              </a:ext>
            </a:extLst>
          </xdr:cNvPr>
          <xdr:cNvSpPr/>
        </xdr:nvSpPr>
        <xdr:spPr>
          <a:xfrm>
            <a:off x="8993188" y="5095875"/>
            <a:ext cx="1633537" cy="433388"/>
          </a:xfrm>
          <a:custGeom>
            <a:avLst/>
            <a:gdLst>
              <a:gd name="connsiteX0" fmla="*/ 309562 w 1633537"/>
              <a:gd name="connsiteY0" fmla="*/ 0 h 433388"/>
              <a:gd name="connsiteX1" fmla="*/ 1223962 w 1633537"/>
              <a:gd name="connsiteY1" fmla="*/ 0 h 433388"/>
              <a:gd name="connsiteX2" fmla="*/ 1538287 w 1633537"/>
              <a:gd name="connsiteY2" fmla="*/ 147638 h 433388"/>
              <a:gd name="connsiteX3" fmla="*/ 1538287 w 1633537"/>
              <a:gd name="connsiteY3" fmla="*/ 433388 h 433388"/>
              <a:gd name="connsiteX4" fmla="*/ 1633537 w 1633537"/>
              <a:gd name="connsiteY4" fmla="*/ 433388 h 433388"/>
              <a:gd name="connsiteX5" fmla="*/ 0 w 1633537"/>
              <a:gd name="connsiteY5" fmla="*/ 433388 h 433388"/>
              <a:gd name="connsiteX6" fmla="*/ 0 w 1633537"/>
              <a:gd name="connsiteY6" fmla="*/ 142875 h 433388"/>
              <a:gd name="connsiteX7" fmla="*/ 309562 w 1633537"/>
              <a:gd name="connsiteY7" fmla="*/ 0 h 43338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1633537" h="433388">
                <a:moveTo>
                  <a:pt x="309562" y="0"/>
                </a:moveTo>
                <a:lnTo>
                  <a:pt x="1223962" y="0"/>
                </a:lnTo>
                <a:lnTo>
                  <a:pt x="1538287" y="147638"/>
                </a:lnTo>
                <a:lnTo>
                  <a:pt x="1538287" y="433388"/>
                </a:lnTo>
                <a:lnTo>
                  <a:pt x="1633537" y="433388"/>
                </a:lnTo>
                <a:lnTo>
                  <a:pt x="0" y="433388"/>
                </a:lnTo>
                <a:lnTo>
                  <a:pt x="0" y="142875"/>
                </a:lnTo>
                <a:lnTo>
                  <a:pt x="309562" y="0"/>
                </a:lnTo>
                <a:close/>
              </a:path>
            </a:pathLst>
          </a:cu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cxnSp macro="">
        <xdr:nvCxnSpPr>
          <xdr:cNvPr id="2126" name="Straight Connector 2125">
            <a:extLst>
              <a:ext uri="{FF2B5EF4-FFF2-40B4-BE49-F238E27FC236}">
                <a16:creationId xmlns:a16="http://schemas.microsoft.com/office/drawing/2014/main" id="{E5824AD3-0FA7-4208-E913-AD1818666543}"/>
              </a:ext>
            </a:extLst>
          </xdr:cNvPr>
          <xdr:cNvCxnSpPr/>
        </xdr:nvCxnSpPr>
        <xdr:spPr>
          <a:xfrm>
            <a:off x="9464679" y="5100646"/>
            <a:ext cx="0" cy="423862"/>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2128" name="Straight Connector 2127">
            <a:extLst>
              <a:ext uri="{FF2B5EF4-FFF2-40B4-BE49-F238E27FC236}">
                <a16:creationId xmlns:a16="http://schemas.microsoft.com/office/drawing/2014/main" id="{7897121B-25A4-C0A4-424B-87F954865F02}"/>
              </a:ext>
            </a:extLst>
          </xdr:cNvPr>
          <xdr:cNvCxnSpPr/>
        </xdr:nvCxnSpPr>
        <xdr:spPr>
          <a:xfrm>
            <a:off x="10050460" y="5100647"/>
            <a:ext cx="0" cy="428624"/>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2129" name="Straight Connector 2128">
            <a:extLst>
              <a:ext uri="{FF2B5EF4-FFF2-40B4-BE49-F238E27FC236}">
                <a16:creationId xmlns:a16="http://schemas.microsoft.com/office/drawing/2014/main" id="{EF67ADA7-27F5-40E0-9F26-B3DE1516D062}"/>
              </a:ext>
            </a:extLst>
          </xdr:cNvPr>
          <xdr:cNvCxnSpPr/>
        </xdr:nvCxnSpPr>
        <xdr:spPr>
          <a:xfrm>
            <a:off x="9355142" y="5105408"/>
            <a:ext cx="0" cy="423862"/>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2132" name="Straight Connector 2131">
            <a:extLst>
              <a:ext uri="{FF2B5EF4-FFF2-40B4-BE49-F238E27FC236}">
                <a16:creationId xmlns:a16="http://schemas.microsoft.com/office/drawing/2014/main" id="{14C51232-09B2-0315-0C47-EA70FB3A0DAF}"/>
              </a:ext>
            </a:extLst>
          </xdr:cNvPr>
          <xdr:cNvCxnSpPr/>
        </xdr:nvCxnSpPr>
        <xdr:spPr>
          <a:xfrm>
            <a:off x="10155241" y="5105413"/>
            <a:ext cx="0" cy="423862"/>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grpSp>
        <xdr:nvGrpSpPr>
          <xdr:cNvPr id="2693" name="Group 2692">
            <a:extLst>
              <a:ext uri="{FF2B5EF4-FFF2-40B4-BE49-F238E27FC236}">
                <a16:creationId xmlns:a16="http://schemas.microsoft.com/office/drawing/2014/main" id="{6550A862-F8C0-B00D-243A-8DD69C991B1A}"/>
              </a:ext>
            </a:extLst>
          </xdr:cNvPr>
          <xdr:cNvGrpSpPr/>
        </xdr:nvGrpSpPr>
        <xdr:grpSpPr>
          <a:xfrm>
            <a:off x="9559925" y="5597525"/>
            <a:ext cx="403225" cy="403225"/>
            <a:chOff x="2800350" y="110067725"/>
            <a:chExt cx="403225" cy="403225"/>
          </a:xfrm>
        </xdr:grpSpPr>
        <xdr:sp macro="" textlink="">
          <xdr:nvSpPr>
            <xdr:cNvPr id="2712" name="Arc 2711">
              <a:extLst>
                <a:ext uri="{FF2B5EF4-FFF2-40B4-BE49-F238E27FC236}">
                  <a16:creationId xmlns:a16="http://schemas.microsoft.com/office/drawing/2014/main" id="{4903194C-B663-A738-E44B-14AE1D1B416A}"/>
                </a:ext>
              </a:extLst>
            </xdr:cNvPr>
            <xdr:cNvSpPr/>
          </xdr:nvSpPr>
          <xdr:spPr>
            <a:xfrm rot="5400000">
              <a:off x="3070225" y="110067725"/>
              <a:ext cx="133350" cy="133350"/>
            </a:xfrm>
            <a:prstGeom prst="arc">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tr-TR" sz="1100" kern="1200"/>
            </a:p>
          </xdr:txBody>
        </xdr:sp>
        <xdr:cxnSp macro="">
          <xdr:nvCxnSpPr>
            <xdr:cNvPr id="2713" name="Straight Connector 2712">
              <a:extLst>
                <a:ext uri="{FF2B5EF4-FFF2-40B4-BE49-F238E27FC236}">
                  <a16:creationId xmlns:a16="http://schemas.microsoft.com/office/drawing/2014/main" id="{B3AAA17D-7B15-0A61-A383-113CC1A8433C}"/>
                </a:ext>
              </a:extLst>
            </xdr:cNvPr>
            <xdr:cNvCxnSpPr/>
          </xdr:nvCxnSpPr>
          <xdr:spPr>
            <a:xfrm>
              <a:off x="2997200" y="110199488"/>
              <a:ext cx="14446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714" name="Straight Connector 2713">
              <a:extLst>
                <a:ext uri="{FF2B5EF4-FFF2-40B4-BE49-F238E27FC236}">
                  <a16:creationId xmlns:a16="http://schemas.microsoft.com/office/drawing/2014/main" id="{F98FEB70-BE30-5041-732A-8857D464283F}"/>
                </a:ext>
              </a:extLst>
            </xdr:cNvPr>
            <xdr:cNvCxnSpPr/>
          </xdr:nvCxnSpPr>
          <xdr:spPr>
            <a:xfrm rot="5400000">
              <a:off x="2701925" y="110305850"/>
              <a:ext cx="3302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715" name="Straight Connector 2714">
              <a:extLst>
                <a:ext uri="{FF2B5EF4-FFF2-40B4-BE49-F238E27FC236}">
                  <a16:creationId xmlns:a16="http://schemas.microsoft.com/office/drawing/2014/main" id="{D88D43F4-F381-FA2F-7B91-68D3EFF01482}"/>
                </a:ext>
              </a:extLst>
            </xdr:cNvPr>
            <xdr:cNvCxnSpPr/>
          </xdr:nvCxnSpPr>
          <xdr:spPr>
            <a:xfrm>
              <a:off x="2870200" y="110137575"/>
              <a:ext cx="3302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2716" name="Arc 2715">
              <a:extLst>
                <a:ext uri="{FF2B5EF4-FFF2-40B4-BE49-F238E27FC236}">
                  <a16:creationId xmlns:a16="http://schemas.microsoft.com/office/drawing/2014/main" id="{E575F523-1C71-A3D8-B8B4-B9F52517FB32}"/>
                </a:ext>
              </a:extLst>
            </xdr:cNvPr>
            <xdr:cNvSpPr/>
          </xdr:nvSpPr>
          <xdr:spPr>
            <a:xfrm rot="5400000">
              <a:off x="2800350" y="110334425"/>
              <a:ext cx="133350" cy="133350"/>
            </a:xfrm>
            <a:prstGeom prst="arc">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tr-TR" sz="1100" kern="1200"/>
            </a:p>
          </xdr:txBody>
        </xdr:sp>
        <xdr:cxnSp macro="">
          <xdr:nvCxnSpPr>
            <xdr:cNvPr id="2717" name="Straight Connector 2716">
              <a:extLst>
                <a:ext uri="{FF2B5EF4-FFF2-40B4-BE49-F238E27FC236}">
                  <a16:creationId xmlns:a16="http://schemas.microsoft.com/office/drawing/2014/main" id="{65290E5B-DD55-9724-2458-4C212D2253DF}"/>
                </a:ext>
              </a:extLst>
            </xdr:cNvPr>
            <xdr:cNvCxnSpPr/>
          </xdr:nvCxnSpPr>
          <xdr:spPr>
            <a:xfrm>
              <a:off x="2934494" y="110264575"/>
              <a:ext cx="0" cy="13731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2718" name="Arc 2717">
              <a:extLst>
                <a:ext uri="{FF2B5EF4-FFF2-40B4-BE49-F238E27FC236}">
                  <a16:creationId xmlns:a16="http://schemas.microsoft.com/office/drawing/2014/main" id="{09D61936-2903-BA0F-31E8-4BC5F239558F}"/>
                </a:ext>
              </a:extLst>
            </xdr:cNvPr>
            <xdr:cNvSpPr/>
          </xdr:nvSpPr>
          <xdr:spPr>
            <a:xfrm rot="16200000">
              <a:off x="2933700" y="110201075"/>
              <a:ext cx="133350" cy="133350"/>
            </a:xfrm>
            <a:prstGeom prst="arc">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tr-TR" sz="1100" kern="1200"/>
            </a:p>
          </xdr:txBody>
        </xdr:sp>
      </xdr:grpSp>
      <xdr:sp macro="" textlink="">
        <xdr:nvSpPr>
          <xdr:cNvPr id="2694" name="Freeform: Shape 2693">
            <a:extLst>
              <a:ext uri="{FF2B5EF4-FFF2-40B4-BE49-F238E27FC236}">
                <a16:creationId xmlns:a16="http://schemas.microsoft.com/office/drawing/2014/main" id="{F86E6D21-E33E-CE69-752A-B621144338A8}"/>
              </a:ext>
            </a:extLst>
          </xdr:cNvPr>
          <xdr:cNvSpPr/>
        </xdr:nvSpPr>
        <xdr:spPr>
          <a:xfrm>
            <a:off x="8582025" y="5810250"/>
            <a:ext cx="495300" cy="292100"/>
          </a:xfrm>
          <a:custGeom>
            <a:avLst/>
            <a:gdLst>
              <a:gd name="connsiteX0" fmla="*/ 0 w 495300"/>
              <a:gd name="connsiteY0" fmla="*/ 0 h 292100"/>
              <a:gd name="connsiteX1" fmla="*/ 495300 w 495300"/>
              <a:gd name="connsiteY1" fmla="*/ 0 h 292100"/>
              <a:gd name="connsiteX2" fmla="*/ 495300 w 495300"/>
              <a:gd name="connsiteY2" fmla="*/ 292100 h 292100"/>
            </a:gdLst>
            <a:ahLst/>
            <a:cxnLst>
              <a:cxn ang="0">
                <a:pos x="connsiteX0" y="connsiteY0"/>
              </a:cxn>
              <a:cxn ang="0">
                <a:pos x="connsiteX1" y="connsiteY1"/>
              </a:cxn>
              <a:cxn ang="0">
                <a:pos x="connsiteX2" y="connsiteY2"/>
              </a:cxn>
            </a:cxnLst>
            <a:rect l="l" t="t" r="r" b="b"/>
            <a:pathLst>
              <a:path w="495300" h="292100">
                <a:moveTo>
                  <a:pt x="0" y="0"/>
                </a:moveTo>
                <a:lnTo>
                  <a:pt x="495300" y="0"/>
                </a:lnTo>
                <a:lnTo>
                  <a:pt x="495300" y="292100"/>
                </a:lnTo>
              </a:path>
            </a:pathLst>
          </a:custGeom>
          <a:no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kern="1200"/>
          </a:p>
        </xdr:txBody>
      </xdr:sp>
      <xdr:sp macro="" textlink="">
        <xdr:nvSpPr>
          <xdr:cNvPr id="2695" name="Freeform: Shape 2694">
            <a:extLst>
              <a:ext uri="{FF2B5EF4-FFF2-40B4-BE49-F238E27FC236}">
                <a16:creationId xmlns:a16="http://schemas.microsoft.com/office/drawing/2014/main" id="{D0E337DA-048F-C84F-36DC-B537F5F6DD74}"/>
              </a:ext>
            </a:extLst>
          </xdr:cNvPr>
          <xdr:cNvSpPr/>
        </xdr:nvSpPr>
        <xdr:spPr>
          <a:xfrm>
            <a:off x="9255125" y="5810250"/>
            <a:ext cx="990600" cy="288925"/>
          </a:xfrm>
          <a:custGeom>
            <a:avLst/>
            <a:gdLst>
              <a:gd name="connsiteX0" fmla="*/ 0 w 990600"/>
              <a:gd name="connsiteY0" fmla="*/ 282575 h 288925"/>
              <a:gd name="connsiteX1" fmla="*/ 0 w 990600"/>
              <a:gd name="connsiteY1" fmla="*/ 0 h 288925"/>
              <a:gd name="connsiteX2" fmla="*/ 254000 w 990600"/>
              <a:gd name="connsiteY2" fmla="*/ 0 h 288925"/>
              <a:gd name="connsiteX3" fmla="*/ 254000 w 990600"/>
              <a:gd name="connsiteY3" fmla="*/ 282575 h 288925"/>
              <a:gd name="connsiteX4" fmla="*/ 825500 w 990600"/>
              <a:gd name="connsiteY4" fmla="*/ 282575 h 288925"/>
              <a:gd name="connsiteX5" fmla="*/ 825500 w 990600"/>
              <a:gd name="connsiteY5" fmla="*/ 0 h 288925"/>
              <a:gd name="connsiteX6" fmla="*/ 990600 w 990600"/>
              <a:gd name="connsiteY6" fmla="*/ 0 h 288925"/>
              <a:gd name="connsiteX7" fmla="*/ 990600 w 990600"/>
              <a:gd name="connsiteY7" fmla="*/ 288925 h 2889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990600" h="288925">
                <a:moveTo>
                  <a:pt x="0" y="282575"/>
                </a:moveTo>
                <a:lnTo>
                  <a:pt x="0" y="0"/>
                </a:lnTo>
                <a:lnTo>
                  <a:pt x="254000" y="0"/>
                </a:lnTo>
                <a:lnTo>
                  <a:pt x="254000" y="282575"/>
                </a:lnTo>
                <a:lnTo>
                  <a:pt x="825500" y="282575"/>
                </a:lnTo>
                <a:lnTo>
                  <a:pt x="825500" y="0"/>
                </a:lnTo>
                <a:lnTo>
                  <a:pt x="990600" y="0"/>
                </a:lnTo>
                <a:lnTo>
                  <a:pt x="990600" y="288925"/>
                </a:lnTo>
              </a:path>
            </a:pathLst>
          </a:custGeom>
          <a:no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kern="1200"/>
          </a:p>
        </xdr:txBody>
      </xdr:sp>
      <xdr:sp macro="" textlink="">
        <xdr:nvSpPr>
          <xdr:cNvPr id="2696" name="Freeform: Shape 2695">
            <a:extLst>
              <a:ext uri="{FF2B5EF4-FFF2-40B4-BE49-F238E27FC236}">
                <a16:creationId xmlns:a16="http://schemas.microsoft.com/office/drawing/2014/main" id="{2082C67F-0DC7-A7B1-83ED-2B02B6981032}"/>
              </a:ext>
            </a:extLst>
          </xdr:cNvPr>
          <xdr:cNvSpPr/>
        </xdr:nvSpPr>
        <xdr:spPr>
          <a:xfrm>
            <a:off x="10429875" y="5810250"/>
            <a:ext cx="498475" cy="288925"/>
          </a:xfrm>
          <a:custGeom>
            <a:avLst/>
            <a:gdLst>
              <a:gd name="connsiteX0" fmla="*/ 498475 w 498475"/>
              <a:gd name="connsiteY0" fmla="*/ 0 h 288925"/>
              <a:gd name="connsiteX1" fmla="*/ 0 w 498475"/>
              <a:gd name="connsiteY1" fmla="*/ 0 h 288925"/>
              <a:gd name="connsiteX2" fmla="*/ 0 w 498475"/>
              <a:gd name="connsiteY2" fmla="*/ 288925 h 288925"/>
            </a:gdLst>
            <a:ahLst/>
            <a:cxnLst>
              <a:cxn ang="0">
                <a:pos x="connsiteX0" y="connsiteY0"/>
              </a:cxn>
              <a:cxn ang="0">
                <a:pos x="connsiteX1" y="connsiteY1"/>
              </a:cxn>
              <a:cxn ang="0">
                <a:pos x="connsiteX2" y="connsiteY2"/>
              </a:cxn>
            </a:cxnLst>
            <a:rect l="l" t="t" r="r" b="b"/>
            <a:pathLst>
              <a:path w="498475" h="288925">
                <a:moveTo>
                  <a:pt x="498475" y="0"/>
                </a:moveTo>
                <a:lnTo>
                  <a:pt x="0" y="0"/>
                </a:lnTo>
                <a:lnTo>
                  <a:pt x="0" y="288925"/>
                </a:lnTo>
              </a:path>
            </a:pathLst>
          </a:custGeom>
          <a:no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kern="1200"/>
          </a:p>
        </xdr:txBody>
      </xdr:sp>
      <xdr:cxnSp macro="">
        <xdr:nvCxnSpPr>
          <xdr:cNvPr id="2697" name="Straight Connector 2696">
            <a:extLst>
              <a:ext uri="{FF2B5EF4-FFF2-40B4-BE49-F238E27FC236}">
                <a16:creationId xmlns:a16="http://schemas.microsoft.com/office/drawing/2014/main" id="{51B2B969-E6C7-11F2-9B9D-77BF0F916178}"/>
              </a:ext>
            </a:extLst>
          </xdr:cNvPr>
          <xdr:cNvCxnSpPr/>
        </xdr:nvCxnSpPr>
        <xdr:spPr>
          <a:xfrm flipH="1">
            <a:off x="8734425" y="5664995"/>
            <a:ext cx="138113" cy="145255"/>
          </a:xfrm>
          <a:prstGeom prst="line">
            <a:avLst/>
          </a:prstGeom>
          <a:no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2698" name="Straight Connector 2697">
            <a:extLst>
              <a:ext uri="{FF2B5EF4-FFF2-40B4-BE49-F238E27FC236}">
                <a16:creationId xmlns:a16="http://schemas.microsoft.com/office/drawing/2014/main" id="{5E22D715-9AAB-29F2-5274-7FBDCD81DE07}"/>
              </a:ext>
            </a:extLst>
          </xdr:cNvPr>
          <xdr:cNvCxnSpPr/>
        </xdr:nvCxnSpPr>
        <xdr:spPr>
          <a:xfrm flipH="1" flipV="1">
            <a:off x="10645775" y="5667375"/>
            <a:ext cx="133350" cy="142875"/>
          </a:xfrm>
          <a:prstGeom prst="line">
            <a:avLst/>
          </a:prstGeom>
          <a:no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cxnSp>
      <xdr:grpSp>
        <xdr:nvGrpSpPr>
          <xdr:cNvPr id="2699" name="Group 2698">
            <a:extLst>
              <a:ext uri="{FF2B5EF4-FFF2-40B4-BE49-F238E27FC236}">
                <a16:creationId xmlns:a16="http://schemas.microsoft.com/office/drawing/2014/main" id="{2E670798-DFBC-B95E-89D4-8E8876072C61}"/>
              </a:ext>
            </a:extLst>
          </xdr:cNvPr>
          <xdr:cNvGrpSpPr/>
        </xdr:nvGrpSpPr>
        <xdr:grpSpPr>
          <a:xfrm>
            <a:off x="9109075" y="5448300"/>
            <a:ext cx="117475" cy="673100"/>
            <a:chOff x="2355850" y="109918500"/>
            <a:chExt cx="117475" cy="673100"/>
          </a:xfrm>
        </xdr:grpSpPr>
        <xdr:cxnSp macro="">
          <xdr:nvCxnSpPr>
            <xdr:cNvPr id="2709" name="Straight Connector 2708">
              <a:extLst>
                <a:ext uri="{FF2B5EF4-FFF2-40B4-BE49-F238E27FC236}">
                  <a16:creationId xmlns:a16="http://schemas.microsoft.com/office/drawing/2014/main" id="{4AC34F5A-B999-2029-A23C-A10C1D14F627}"/>
                </a:ext>
              </a:extLst>
            </xdr:cNvPr>
            <xdr:cNvCxnSpPr/>
          </xdr:nvCxnSpPr>
          <xdr:spPr>
            <a:xfrm>
              <a:off x="2416175" y="109918500"/>
              <a:ext cx="0" cy="67310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2710" name="Straight Connector 2709">
              <a:extLst>
                <a:ext uri="{FF2B5EF4-FFF2-40B4-BE49-F238E27FC236}">
                  <a16:creationId xmlns:a16="http://schemas.microsoft.com/office/drawing/2014/main" id="{6B1F3C33-880F-4029-0610-A132F87E2630}"/>
                </a:ext>
              </a:extLst>
            </xdr:cNvPr>
            <xdr:cNvCxnSpPr/>
          </xdr:nvCxnSpPr>
          <xdr:spPr>
            <a:xfrm flipH="1" flipV="1">
              <a:off x="2355850" y="109943900"/>
              <a:ext cx="57150" cy="5715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2711" name="Straight Connector 2710">
              <a:extLst>
                <a:ext uri="{FF2B5EF4-FFF2-40B4-BE49-F238E27FC236}">
                  <a16:creationId xmlns:a16="http://schemas.microsoft.com/office/drawing/2014/main" id="{8EA51C63-EE80-19B5-EBBA-22A8206829B2}"/>
                </a:ext>
              </a:extLst>
            </xdr:cNvPr>
            <xdr:cNvCxnSpPr/>
          </xdr:nvCxnSpPr>
          <xdr:spPr>
            <a:xfrm flipV="1">
              <a:off x="2416175" y="109943900"/>
              <a:ext cx="57150" cy="5715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grpSp>
      <xdr:grpSp>
        <xdr:nvGrpSpPr>
          <xdr:cNvPr id="2700" name="Group 2699">
            <a:extLst>
              <a:ext uri="{FF2B5EF4-FFF2-40B4-BE49-F238E27FC236}">
                <a16:creationId xmlns:a16="http://schemas.microsoft.com/office/drawing/2014/main" id="{7A0FA71E-BFAB-2E06-CEFF-D9CE796DEF43}"/>
              </a:ext>
            </a:extLst>
          </xdr:cNvPr>
          <xdr:cNvGrpSpPr/>
        </xdr:nvGrpSpPr>
        <xdr:grpSpPr>
          <a:xfrm>
            <a:off x="10277475" y="5448300"/>
            <a:ext cx="117475" cy="673100"/>
            <a:chOff x="2355850" y="109918500"/>
            <a:chExt cx="117475" cy="673100"/>
          </a:xfrm>
        </xdr:grpSpPr>
        <xdr:cxnSp macro="">
          <xdr:nvCxnSpPr>
            <xdr:cNvPr id="2706" name="Straight Connector 2705">
              <a:extLst>
                <a:ext uri="{FF2B5EF4-FFF2-40B4-BE49-F238E27FC236}">
                  <a16:creationId xmlns:a16="http://schemas.microsoft.com/office/drawing/2014/main" id="{8C72CEAA-CEB8-82F7-4B1E-A342E15D0A35}"/>
                </a:ext>
              </a:extLst>
            </xdr:cNvPr>
            <xdr:cNvCxnSpPr/>
          </xdr:nvCxnSpPr>
          <xdr:spPr>
            <a:xfrm>
              <a:off x="2416175" y="109918500"/>
              <a:ext cx="0" cy="67310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2707" name="Straight Connector 2706">
              <a:extLst>
                <a:ext uri="{FF2B5EF4-FFF2-40B4-BE49-F238E27FC236}">
                  <a16:creationId xmlns:a16="http://schemas.microsoft.com/office/drawing/2014/main" id="{9A0AAB51-5A2F-CBCC-CB17-B922DA832738}"/>
                </a:ext>
              </a:extLst>
            </xdr:cNvPr>
            <xdr:cNvCxnSpPr/>
          </xdr:nvCxnSpPr>
          <xdr:spPr>
            <a:xfrm flipH="1" flipV="1">
              <a:off x="2355850" y="109943900"/>
              <a:ext cx="57150" cy="5715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2708" name="Straight Connector 2707">
              <a:extLst>
                <a:ext uri="{FF2B5EF4-FFF2-40B4-BE49-F238E27FC236}">
                  <a16:creationId xmlns:a16="http://schemas.microsoft.com/office/drawing/2014/main" id="{B38AECBD-2354-B316-BCEC-10517F8610CD}"/>
                </a:ext>
              </a:extLst>
            </xdr:cNvPr>
            <xdr:cNvCxnSpPr/>
          </xdr:nvCxnSpPr>
          <xdr:spPr>
            <a:xfrm flipV="1">
              <a:off x="2416175" y="109943900"/>
              <a:ext cx="57150" cy="5715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grpSp>
      <xdr:cxnSp macro="">
        <xdr:nvCxnSpPr>
          <xdr:cNvPr id="2701" name="Straight Connector 2700">
            <a:extLst>
              <a:ext uri="{FF2B5EF4-FFF2-40B4-BE49-F238E27FC236}">
                <a16:creationId xmlns:a16="http://schemas.microsoft.com/office/drawing/2014/main" id="{DFC9CB16-DB68-A37A-EB7F-97FE36838543}"/>
              </a:ext>
            </a:extLst>
          </xdr:cNvPr>
          <xdr:cNvCxnSpPr/>
        </xdr:nvCxnSpPr>
        <xdr:spPr>
          <a:xfrm>
            <a:off x="9696450" y="5857875"/>
            <a:ext cx="288925" cy="314325"/>
          </a:xfrm>
          <a:prstGeom prst="line">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702" name="TextBox 2701">
            <a:extLst>
              <a:ext uri="{FF2B5EF4-FFF2-40B4-BE49-F238E27FC236}">
                <a16:creationId xmlns:a16="http://schemas.microsoft.com/office/drawing/2014/main" id="{0AEB9767-721F-06F7-7CD0-E5221F3AA539}"/>
              </a:ext>
            </a:extLst>
          </xdr:cNvPr>
          <xdr:cNvSpPr txBox="1"/>
        </xdr:nvSpPr>
        <xdr:spPr>
          <a:xfrm>
            <a:off x="9626599" y="6061075"/>
            <a:ext cx="974726" cy="298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lang="tr-TR" sz="800" kern="1200">
                <a:latin typeface="Arial" panose="020B0604020202020204" pitchFamily="34" charset="0"/>
                <a:cs typeface="Arial" panose="020B0604020202020204" pitchFamily="34" charset="0"/>
              </a:rPr>
              <a:t>kayma kaması</a:t>
            </a:r>
          </a:p>
        </xdr:txBody>
      </xdr:sp>
      <xdr:cxnSp macro="">
        <xdr:nvCxnSpPr>
          <xdr:cNvPr id="2703" name="Straight Connector 2702">
            <a:extLst>
              <a:ext uri="{FF2B5EF4-FFF2-40B4-BE49-F238E27FC236}">
                <a16:creationId xmlns:a16="http://schemas.microsoft.com/office/drawing/2014/main" id="{68457443-613D-DDE7-0CF7-C8D59293DA0F}"/>
              </a:ext>
            </a:extLst>
          </xdr:cNvPr>
          <xdr:cNvCxnSpPr/>
        </xdr:nvCxnSpPr>
        <xdr:spPr>
          <a:xfrm>
            <a:off x="9264650" y="4667250"/>
            <a:ext cx="996950" cy="0"/>
          </a:xfrm>
          <a:prstGeom prst="line">
            <a:avLst/>
          </a:prstGeom>
          <a:ln w="1270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2704" name="TextBox 2703">
            <a:extLst>
              <a:ext uri="{FF2B5EF4-FFF2-40B4-BE49-F238E27FC236}">
                <a16:creationId xmlns:a16="http://schemas.microsoft.com/office/drawing/2014/main" id="{39EB5717-700C-BBE6-8930-8CF44232FCF9}"/>
              </a:ext>
            </a:extLst>
          </xdr:cNvPr>
          <xdr:cNvSpPr txBox="1"/>
        </xdr:nvSpPr>
        <xdr:spPr>
          <a:xfrm>
            <a:off x="10506076" y="5248275"/>
            <a:ext cx="1365250" cy="298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lang="tr-TR" sz="800" kern="1200">
                <a:latin typeface="Arial" panose="020B0604020202020204" pitchFamily="34" charset="0"/>
                <a:cs typeface="Arial" panose="020B0604020202020204" pitchFamily="34" charset="0"/>
              </a:rPr>
              <a:t>kolon ayağı nervür </a:t>
            </a:r>
          </a:p>
        </xdr:txBody>
      </xdr:sp>
      <xdr:cxnSp macro="">
        <xdr:nvCxnSpPr>
          <xdr:cNvPr id="2705" name="Straight Connector 2704">
            <a:extLst>
              <a:ext uri="{FF2B5EF4-FFF2-40B4-BE49-F238E27FC236}">
                <a16:creationId xmlns:a16="http://schemas.microsoft.com/office/drawing/2014/main" id="{A502F176-7EA6-690D-864C-B9346BECEFC1}"/>
              </a:ext>
            </a:extLst>
          </xdr:cNvPr>
          <xdr:cNvCxnSpPr/>
        </xdr:nvCxnSpPr>
        <xdr:spPr>
          <a:xfrm>
            <a:off x="10334625" y="5334000"/>
            <a:ext cx="381000" cy="57150"/>
          </a:xfrm>
          <a:prstGeom prst="line">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49</xdr:col>
      <xdr:colOff>152400</xdr:colOff>
      <xdr:row>597</xdr:row>
      <xdr:rowOff>38100</xdr:rowOff>
    </xdr:from>
    <xdr:to>
      <xdr:col>70</xdr:col>
      <xdr:colOff>41276</xdr:colOff>
      <xdr:row>609</xdr:row>
      <xdr:rowOff>15875</xdr:rowOff>
    </xdr:to>
    <xdr:grpSp>
      <xdr:nvGrpSpPr>
        <xdr:cNvPr id="2719" name="Group 2718">
          <a:extLst>
            <a:ext uri="{FF2B5EF4-FFF2-40B4-BE49-F238E27FC236}">
              <a16:creationId xmlns:a16="http://schemas.microsoft.com/office/drawing/2014/main" id="{E36E5F9D-651C-4F00-9162-43BD02C82A61}"/>
            </a:ext>
          </a:extLst>
        </xdr:cNvPr>
        <xdr:cNvGrpSpPr/>
      </xdr:nvGrpSpPr>
      <xdr:grpSpPr>
        <a:xfrm>
          <a:off x="8086725" y="87077550"/>
          <a:ext cx="3289301" cy="1692275"/>
          <a:chOff x="8582025" y="4667250"/>
          <a:chExt cx="3289301" cy="1692275"/>
        </a:xfrm>
      </xdr:grpSpPr>
      <xdr:sp macro="" textlink="">
        <xdr:nvSpPr>
          <xdr:cNvPr id="2720" name="Rectangle 2719">
            <a:extLst>
              <a:ext uri="{FF2B5EF4-FFF2-40B4-BE49-F238E27FC236}">
                <a16:creationId xmlns:a16="http://schemas.microsoft.com/office/drawing/2014/main" id="{96E5902F-066D-3AF3-EDE3-28F09F34017A}"/>
              </a:ext>
            </a:extLst>
          </xdr:cNvPr>
          <xdr:cNvSpPr/>
        </xdr:nvSpPr>
        <xdr:spPr>
          <a:xfrm>
            <a:off x="8869363" y="5529264"/>
            <a:ext cx="1771650" cy="138112"/>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kern="1200"/>
          </a:p>
        </xdr:txBody>
      </xdr:sp>
      <xdr:sp macro="" textlink="">
        <xdr:nvSpPr>
          <xdr:cNvPr id="2721" name="Rectangle 2720">
            <a:extLst>
              <a:ext uri="{FF2B5EF4-FFF2-40B4-BE49-F238E27FC236}">
                <a16:creationId xmlns:a16="http://schemas.microsoft.com/office/drawing/2014/main" id="{7CF31B93-9D72-DEAF-D487-96B2305361A0}"/>
              </a:ext>
            </a:extLst>
          </xdr:cNvPr>
          <xdr:cNvSpPr/>
        </xdr:nvSpPr>
        <xdr:spPr>
          <a:xfrm>
            <a:off x="9355138" y="4667251"/>
            <a:ext cx="800100" cy="428624"/>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cxnSp macro="">
        <xdr:nvCxnSpPr>
          <xdr:cNvPr id="2722" name="Straight Connector 2721">
            <a:extLst>
              <a:ext uri="{FF2B5EF4-FFF2-40B4-BE49-F238E27FC236}">
                <a16:creationId xmlns:a16="http://schemas.microsoft.com/office/drawing/2014/main" id="{610AC35C-09AB-BEEB-C23B-11A48F32D4B7}"/>
              </a:ext>
            </a:extLst>
          </xdr:cNvPr>
          <xdr:cNvCxnSpPr/>
        </xdr:nvCxnSpPr>
        <xdr:spPr>
          <a:xfrm>
            <a:off x="9464679" y="4670425"/>
            <a:ext cx="0" cy="4254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723" name="Straight Connector 2722">
            <a:extLst>
              <a:ext uri="{FF2B5EF4-FFF2-40B4-BE49-F238E27FC236}">
                <a16:creationId xmlns:a16="http://schemas.microsoft.com/office/drawing/2014/main" id="{37192878-38DA-4D7D-7683-21276888A19C}"/>
              </a:ext>
            </a:extLst>
          </xdr:cNvPr>
          <xdr:cNvCxnSpPr/>
        </xdr:nvCxnSpPr>
        <xdr:spPr>
          <a:xfrm>
            <a:off x="10050460" y="4667250"/>
            <a:ext cx="0" cy="43338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2724" name="Freeform: Shape 2723">
            <a:extLst>
              <a:ext uri="{FF2B5EF4-FFF2-40B4-BE49-F238E27FC236}">
                <a16:creationId xmlns:a16="http://schemas.microsoft.com/office/drawing/2014/main" id="{ED66043D-3FAF-63D1-05AE-A648304EE5C7}"/>
              </a:ext>
            </a:extLst>
          </xdr:cNvPr>
          <xdr:cNvSpPr/>
        </xdr:nvSpPr>
        <xdr:spPr>
          <a:xfrm>
            <a:off x="8993188" y="5095875"/>
            <a:ext cx="1633537" cy="433388"/>
          </a:xfrm>
          <a:custGeom>
            <a:avLst/>
            <a:gdLst>
              <a:gd name="connsiteX0" fmla="*/ 309562 w 1633537"/>
              <a:gd name="connsiteY0" fmla="*/ 0 h 433388"/>
              <a:gd name="connsiteX1" fmla="*/ 1223962 w 1633537"/>
              <a:gd name="connsiteY1" fmla="*/ 0 h 433388"/>
              <a:gd name="connsiteX2" fmla="*/ 1538287 w 1633537"/>
              <a:gd name="connsiteY2" fmla="*/ 147638 h 433388"/>
              <a:gd name="connsiteX3" fmla="*/ 1538287 w 1633537"/>
              <a:gd name="connsiteY3" fmla="*/ 433388 h 433388"/>
              <a:gd name="connsiteX4" fmla="*/ 1633537 w 1633537"/>
              <a:gd name="connsiteY4" fmla="*/ 433388 h 433388"/>
              <a:gd name="connsiteX5" fmla="*/ 0 w 1633537"/>
              <a:gd name="connsiteY5" fmla="*/ 433388 h 433388"/>
              <a:gd name="connsiteX6" fmla="*/ 0 w 1633537"/>
              <a:gd name="connsiteY6" fmla="*/ 142875 h 433388"/>
              <a:gd name="connsiteX7" fmla="*/ 309562 w 1633537"/>
              <a:gd name="connsiteY7" fmla="*/ 0 h 43338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1633537" h="433388">
                <a:moveTo>
                  <a:pt x="309562" y="0"/>
                </a:moveTo>
                <a:lnTo>
                  <a:pt x="1223962" y="0"/>
                </a:lnTo>
                <a:lnTo>
                  <a:pt x="1538287" y="147638"/>
                </a:lnTo>
                <a:lnTo>
                  <a:pt x="1538287" y="433388"/>
                </a:lnTo>
                <a:lnTo>
                  <a:pt x="1633537" y="433388"/>
                </a:lnTo>
                <a:lnTo>
                  <a:pt x="0" y="433388"/>
                </a:lnTo>
                <a:lnTo>
                  <a:pt x="0" y="142875"/>
                </a:lnTo>
                <a:lnTo>
                  <a:pt x="309562" y="0"/>
                </a:lnTo>
                <a:close/>
              </a:path>
            </a:pathLst>
          </a:cu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cxnSp macro="">
        <xdr:nvCxnSpPr>
          <xdr:cNvPr id="2725" name="Straight Connector 2724">
            <a:extLst>
              <a:ext uri="{FF2B5EF4-FFF2-40B4-BE49-F238E27FC236}">
                <a16:creationId xmlns:a16="http://schemas.microsoft.com/office/drawing/2014/main" id="{4D46E5DC-60FF-7762-A5C7-F5C2F4925D4A}"/>
              </a:ext>
            </a:extLst>
          </xdr:cNvPr>
          <xdr:cNvCxnSpPr/>
        </xdr:nvCxnSpPr>
        <xdr:spPr>
          <a:xfrm>
            <a:off x="9464679" y="5100646"/>
            <a:ext cx="0" cy="423862"/>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2726" name="Straight Connector 2725">
            <a:extLst>
              <a:ext uri="{FF2B5EF4-FFF2-40B4-BE49-F238E27FC236}">
                <a16:creationId xmlns:a16="http://schemas.microsoft.com/office/drawing/2014/main" id="{2BC5CA01-17B5-C71B-EDB3-00DC3F2E2512}"/>
              </a:ext>
            </a:extLst>
          </xdr:cNvPr>
          <xdr:cNvCxnSpPr/>
        </xdr:nvCxnSpPr>
        <xdr:spPr>
          <a:xfrm>
            <a:off x="10050460" y="5100647"/>
            <a:ext cx="0" cy="428624"/>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2727" name="Straight Connector 2726">
            <a:extLst>
              <a:ext uri="{FF2B5EF4-FFF2-40B4-BE49-F238E27FC236}">
                <a16:creationId xmlns:a16="http://schemas.microsoft.com/office/drawing/2014/main" id="{2080E5EF-1BB6-2DF7-85AD-07E882903896}"/>
              </a:ext>
            </a:extLst>
          </xdr:cNvPr>
          <xdr:cNvCxnSpPr/>
        </xdr:nvCxnSpPr>
        <xdr:spPr>
          <a:xfrm>
            <a:off x="9355142" y="5105408"/>
            <a:ext cx="0" cy="423862"/>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2728" name="Straight Connector 2727">
            <a:extLst>
              <a:ext uri="{FF2B5EF4-FFF2-40B4-BE49-F238E27FC236}">
                <a16:creationId xmlns:a16="http://schemas.microsoft.com/office/drawing/2014/main" id="{0D035C11-7BFF-80B1-9B48-53F79255F104}"/>
              </a:ext>
            </a:extLst>
          </xdr:cNvPr>
          <xdr:cNvCxnSpPr/>
        </xdr:nvCxnSpPr>
        <xdr:spPr>
          <a:xfrm>
            <a:off x="10155241" y="5105413"/>
            <a:ext cx="0" cy="423862"/>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grpSp>
        <xdr:nvGrpSpPr>
          <xdr:cNvPr id="2729" name="Group 2728">
            <a:extLst>
              <a:ext uri="{FF2B5EF4-FFF2-40B4-BE49-F238E27FC236}">
                <a16:creationId xmlns:a16="http://schemas.microsoft.com/office/drawing/2014/main" id="{4335AC1D-55A6-D852-8A09-7B95BBAE6AAD}"/>
              </a:ext>
            </a:extLst>
          </xdr:cNvPr>
          <xdr:cNvGrpSpPr/>
        </xdr:nvGrpSpPr>
        <xdr:grpSpPr>
          <a:xfrm>
            <a:off x="9559925" y="5597525"/>
            <a:ext cx="403225" cy="403225"/>
            <a:chOff x="2800350" y="110067725"/>
            <a:chExt cx="403225" cy="403225"/>
          </a:xfrm>
        </xdr:grpSpPr>
        <xdr:sp macro="" textlink="">
          <xdr:nvSpPr>
            <xdr:cNvPr id="2748" name="Arc 2747">
              <a:extLst>
                <a:ext uri="{FF2B5EF4-FFF2-40B4-BE49-F238E27FC236}">
                  <a16:creationId xmlns:a16="http://schemas.microsoft.com/office/drawing/2014/main" id="{DC8FF8AD-2BDA-96C2-A198-D00DBEBD90D2}"/>
                </a:ext>
              </a:extLst>
            </xdr:cNvPr>
            <xdr:cNvSpPr/>
          </xdr:nvSpPr>
          <xdr:spPr>
            <a:xfrm rot="5400000">
              <a:off x="3070225" y="110067725"/>
              <a:ext cx="133350" cy="133350"/>
            </a:xfrm>
            <a:prstGeom prst="arc">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tr-TR" sz="1100" kern="1200"/>
            </a:p>
          </xdr:txBody>
        </xdr:sp>
        <xdr:cxnSp macro="">
          <xdr:nvCxnSpPr>
            <xdr:cNvPr id="2749" name="Straight Connector 2748">
              <a:extLst>
                <a:ext uri="{FF2B5EF4-FFF2-40B4-BE49-F238E27FC236}">
                  <a16:creationId xmlns:a16="http://schemas.microsoft.com/office/drawing/2014/main" id="{B57FE44B-29DC-CD18-31FE-125A11F41A1B}"/>
                </a:ext>
              </a:extLst>
            </xdr:cNvPr>
            <xdr:cNvCxnSpPr/>
          </xdr:nvCxnSpPr>
          <xdr:spPr>
            <a:xfrm>
              <a:off x="2997200" y="110199488"/>
              <a:ext cx="14446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750" name="Straight Connector 2749">
              <a:extLst>
                <a:ext uri="{FF2B5EF4-FFF2-40B4-BE49-F238E27FC236}">
                  <a16:creationId xmlns:a16="http://schemas.microsoft.com/office/drawing/2014/main" id="{404F8BFA-9929-539F-DD75-CC72A394398E}"/>
                </a:ext>
              </a:extLst>
            </xdr:cNvPr>
            <xdr:cNvCxnSpPr/>
          </xdr:nvCxnSpPr>
          <xdr:spPr>
            <a:xfrm rot="5400000">
              <a:off x="2701925" y="110305850"/>
              <a:ext cx="3302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751" name="Straight Connector 2750">
              <a:extLst>
                <a:ext uri="{FF2B5EF4-FFF2-40B4-BE49-F238E27FC236}">
                  <a16:creationId xmlns:a16="http://schemas.microsoft.com/office/drawing/2014/main" id="{7D2262F6-04B4-FBF6-A75A-304DB609957C}"/>
                </a:ext>
              </a:extLst>
            </xdr:cNvPr>
            <xdr:cNvCxnSpPr/>
          </xdr:nvCxnSpPr>
          <xdr:spPr>
            <a:xfrm>
              <a:off x="2870200" y="110137575"/>
              <a:ext cx="3302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2752" name="Arc 2751">
              <a:extLst>
                <a:ext uri="{FF2B5EF4-FFF2-40B4-BE49-F238E27FC236}">
                  <a16:creationId xmlns:a16="http://schemas.microsoft.com/office/drawing/2014/main" id="{822535E8-8936-50C9-5056-BB2149790BBD}"/>
                </a:ext>
              </a:extLst>
            </xdr:cNvPr>
            <xdr:cNvSpPr/>
          </xdr:nvSpPr>
          <xdr:spPr>
            <a:xfrm rot="5400000">
              <a:off x="2800350" y="110334425"/>
              <a:ext cx="133350" cy="133350"/>
            </a:xfrm>
            <a:prstGeom prst="arc">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tr-TR" sz="1100" kern="1200"/>
            </a:p>
          </xdr:txBody>
        </xdr:sp>
        <xdr:cxnSp macro="">
          <xdr:nvCxnSpPr>
            <xdr:cNvPr id="2753" name="Straight Connector 2752">
              <a:extLst>
                <a:ext uri="{FF2B5EF4-FFF2-40B4-BE49-F238E27FC236}">
                  <a16:creationId xmlns:a16="http://schemas.microsoft.com/office/drawing/2014/main" id="{18C5E7E2-CAF9-5789-4B2C-A51228A8DAF5}"/>
                </a:ext>
              </a:extLst>
            </xdr:cNvPr>
            <xdr:cNvCxnSpPr/>
          </xdr:nvCxnSpPr>
          <xdr:spPr>
            <a:xfrm>
              <a:off x="2934494" y="110264575"/>
              <a:ext cx="0" cy="13731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2754" name="Arc 2753">
              <a:extLst>
                <a:ext uri="{FF2B5EF4-FFF2-40B4-BE49-F238E27FC236}">
                  <a16:creationId xmlns:a16="http://schemas.microsoft.com/office/drawing/2014/main" id="{047C3977-495A-1FC2-9A6F-20B8A461497E}"/>
                </a:ext>
              </a:extLst>
            </xdr:cNvPr>
            <xdr:cNvSpPr/>
          </xdr:nvSpPr>
          <xdr:spPr>
            <a:xfrm rot="16200000">
              <a:off x="2933700" y="110201075"/>
              <a:ext cx="133350" cy="133350"/>
            </a:xfrm>
            <a:prstGeom prst="arc">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tr-TR" sz="1100" kern="1200"/>
            </a:p>
          </xdr:txBody>
        </xdr:sp>
      </xdr:grpSp>
      <xdr:sp macro="" textlink="">
        <xdr:nvSpPr>
          <xdr:cNvPr id="2730" name="Freeform: Shape 2729">
            <a:extLst>
              <a:ext uri="{FF2B5EF4-FFF2-40B4-BE49-F238E27FC236}">
                <a16:creationId xmlns:a16="http://schemas.microsoft.com/office/drawing/2014/main" id="{C7356E5C-7CF3-B040-B953-0ADA155AE88D}"/>
              </a:ext>
            </a:extLst>
          </xdr:cNvPr>
          <xdr:cNvSpPr/>
        </xdr:nvSpPr>
        <xdr:spPr>
          <a:xfrm>
            <a:off x="8582025" y="5810250"/>
            <a:ext cx="495300" cy="292100"/>
          </a:xfrm>
          <a:custGeom>
            <a:avLst/>
            <a:gdLst>
              <a:gd name="connsiteX0" fmla="*/ 0 w 495300"/>
              <a:gd name="connsiteY0" fmla="*/ 0 h 292100"/>
              <a:gd name="connsiteX1" fmla="*/ 495300 w 495300"/>
              <a:gd name="connsiteY1" fmla="*/ 0 h 292100"/>
              <a:gd name="connsiteX2" fmla="*/ 495300 w 495300"/>
              <a:gd name="connsiteY2" fmla="*/ 292100 h 292100"/>
            </a:gdLst>
            <a:ahLst/>
            <a:cxnLst>
              <a:cxn ang="0">
                <a:pos x="connsiteX0" y="connsiteY0"/>
              </a:cxn>
              <a:cxn ang="0">
                <a:pos x="connsiteX1" y="connsiteY1"/>
              </a:cxn>
              <a:cxn ang="0">
                <a:pos x="connsiteX2" y="connsiteY2"/>
              </a:cxn>
            </a:cxnLst>
            <a:rect l="l" t="t" r="r" b="b"/>
            <a:pathLst>
              <a:path w="495300" h="292100">
                <a:moveTo>
                  <a:pt x="0" y="0"/>
                </a:moveTo>
                <a:lnTo>
                  <a:pt x="495300" y="0"/>
                </a:lnTo>
                <a:lnTo>
                  <a:pt x="495300" y="292100"/>
                </a:lnTo>
              </a:path>
            </a:pathLst>
          </a:custGeom>
          <a:no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kern="1200"/>
          </a:p>
        </xdr:txBody>
      </xdr:sp>
      <xdr:sp macro="" textlink="">
        <xdr:nvSpPr>
          <xdr:cNvPr id="2731" name="Freeform: Shape 2730">
            <a:extLst>
              <a:ext uri="{FF2B5EF4-FFF2-40B4-BE49-F238E27FC236}">
                <a16:creationId xmlns:a16="http://schemas.microsoft.com/office/drawing/2014/main" id="{A8ED1CF1-1E99-D98F-39A2-7B4B96CB265A}"/>
              </a:ext>
            </a:extLst>
          </xdr:cNvPr>
          <xdr:cNvSpPr/>
        </xdr:nvSpPr>
        <xdr:spPr>
          <a:xfrm>
            <a:off x="9255125" y="5810250"/>
            <a:ext cx="990600" cy="288925"/>
          </a:xfrm>
          <a:custGeom>
            <a:avLst/>
            <a:gdLst>
              <a:gd name="connsiteX0" fmla="*/ 0 w 990600"/>
              <a:gd name="connsiteY0" fmla="*/ 282575 h 288925"/>
              <a:gd name="connsiteX1" fmla="*/ 0 w 990600"/>
              <a:gd name="connsiteY1" fmla="*/ 0 h 288925"/>
              <a:gd name="connsiteX2" fmla="*/ 254000 w 990600"/>
              <a:gd name="connsiteY2" fmla="*/ 0 h 288925"/>
              <a:gd name="connsiteX3" fmla="*/ 254000 w 990600"/>
              <a:gd name="connsiteY3" fmla="*/ 282575 h 288925"/>
              <a:gd name="connsiteX4" fmla="*/ 825500 w 990600"/>
              <a:gd name="connsiteY4" fmla="*/ 282575 h 288925"/>
              <a:gd name="connsiteX5" fmla="*/ 825500 w 990600"/>
              <a:gd name="connsiteY5" fmla="*/ 0 h 288925"/>
              <a:gd name="connsiteX6" fmla="*/ 990600 w 990600"/>
              <a:gd name="connsiteY6" fmla="*/ 0 h 288925"/>
              <a:gd name="connsiteX7" fmla="*/ 990600 w 990600"/>
              <a:gd name="connsiteY7" fmla="*/ 288925 h 2889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990600" h="288925">
                <a:moveTo>
                  <a:pt x="0" y="282575"/>
                </a:moveTo>
                <a:lnTo>
                  <a:pt x="0" y="0"/>
                </a:lnTo>
                <a:lnTo>
                  <a:pt x="254000" y="0"/>
                </a:lnTo>
                <a:lnTo>
                  <a:pt x="254000" y="282575"/>
                </a:lnTo>
                <a:lnTo>
                  <a:pt x="825500" y="282575"/>
                </a:lnTo>
                <a:lnTo>
                  <a:pt x="825500" y="0"/>
                </a:lnTo>
                <a:lnTo>
                  <a:pt x="990600" y="0"/>
                </a:lnTo>
                <a:lnTo>
                  <a:pt x="990600" y="288925"/>
                </a:lnTo>
              </a:path>
            </a:pathLst>
          </a:custGeom>
          <a:no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kern="1200"/>
          </a:p>
        </xdr:txBody>
      </xdr:sp>
      <xdr:sp macro="" textlink="">
        <xdr:nvSpPr>
          <xdr:cNvPr id="2732" name="Freeform: Shape 2731">
            <a:extLst>
              <a:ext uri="{FF2B5EF4-FFF2-40B4-BE49-F238E27FC236}">
                <a16:creationId xmlns:a16="http://schemas.microsoft.com/office/drawing/2014/main" id="{3427BCF5-1DB7-A7ED-2BF7-CEEBD9F07FFD}"/>
              </a:ext>
            </a:extLst>
          </xdr:cNvPr>
          <xdr:cNvSpPr/>
        </xdr:nvSpPr>
        <xdr:spPr>
          <a:xfrm>
            <a:off x="10429875" y="5810250"/>
            <a:ext cx="498475" cy="288925"/>
          </a:xfrm>
          <a:custGeom>
            <a:avLst/>
            <a:gdLst>
              <a:gd name="connsiteX0" fmla="*/ 498475 w 498475"/>
              <a:gd name="connsiteY0" fmla="*/ 0 h 288925"/>
              <a:gd name="connsiteX1" fmla="*/ 0 w 498475"/>
              <a:gd name="connsiteY1" fmla="*/ 0 h 288925"/>
              <a:gd name="connsiteX2" fmla="*/ 0 w 498475"/>
              <a:gd name="connsiteY2" fmla="*/ 288925 h 288925"/>
            </a:gdLst>
            <a:ahLst/>
            <a:cxnLst>
              <a:cxn ang="0">
                <a:pos x="connsiteX0" y="connsiteY0"/>
              </a:cxn>
              <a:cxn ang="0">
                <a:pos x="connsiteX1" y="connsiteY1"/>
              </a:cxn>
              <a:cxn ang="0">
                <a:pos x="connsiteX2" y="connsiteY2"/>
              </a:cxn>
            </a:cxnLst>
            <a:rect l="l" t="t" r="r" b="b"/>
            <a:pathLst>
              <a:path w="498475" h="288925">
                <a:moveTo>
                  <a:pt x="498475" y="0"/>
                </a:moveTo>
                <a:lnTo>
                  <a:pt x="0" y="0"/>
                </a:lnTo>
                <a:lnTo>
                  <a:pt x="0" y="288925"/>
                </a:lnTo>
              </a:path>
            </a:pathLst>
          </a:custGeom>
          <a:no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kern="1200"/>
          </a:p>
        </xdr:txBody>
      </xdr:sp>
      <xdr:cxnSp macro="">
        <xdr:nvCxnSpPr>
          <xdr:cNvPr id="2733" name="Straight Connector 2732">
            <a:extLst>
              <a:ext uri="{FF2B5EF4-FFF2-40B4-BE49-F238E27FC236}">
                <a16:creationId xmlns:a16="http://schemas.microsoft.com/office/drawing/2014/main" id="{FEF1CB41-874B-9784-464F-8CF81A586DE2}"/>
              </a:ext>
            </a:extLst>
          </xdr:cNvPr>
          <xdr:cNvCxnSpPr/>
        </xdr:nvCxnSpPr>
        <xdr:spPr>
          <a:xfrm flipH="1">
            <a:off x="8734425" y="5664995"/>
            <a:ext cx="138113" cy="145255"/>
          </a:xfrm>
          <a:prstGeom prst="line">
            <a:avLst/>
          </a:prstGeom>
          <a:no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2734" name="Straight Connector 2733">
            <a:extLst>
              <a:ext uri="{FF2B5EF4-FFF2-40B4-BE49-F238E27FC236}">
                <a16:creationId xmlns:a16="http://schemas.microsoft.com/office/drawing/2014/main" id="{876A51A4-CEF2-1F7B-1B74-0DC379DB3B21}"/>
              </a:ext>
            </a:extLst>
          </xdr:cNvPr>
          <xdr:cNvCxnSpPr/>
        </xdr:nvCxnSpPr>
        <xdr:spPr>
          <a:xfrm flipH="1" flipV="1">
            <a:off x="10645775" y="5667375"/>
            <a:ext cx="133350" cy="142875"/>
          </a:xfrm>
          <a:prstGeom prst="line">
            <a:avLst/>
          </a:prstGeom>
          <a:no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cxnSp>
      <xdr:grpSp>
        <xdr:nvGrpSpPr>
          <xdr:cNvPr id="2735" name="Group 2734">
            <a:extLst>
              <a:ext uri="{FF2B5EF4-FFF2-40B4-BE49-F238E27FC236}">
                <a16:creationId xmlns:a16="http://schemas.microsoft.com/office/drawing/2014/main" id="{03D7FF4B-7DCE-118A-1D17-5151A5FDC901}"/>
              </a:ext>
            </a:extLst>
          </xdr:cNvPr>
          <xdr:cNvGrpSpPr/>
        </xdr:nvGrpSpPr>
        <xdr:grpSpPr>
          <a:xfrm>
            <a:off x="9109075" y="5448300"/>
            <a:ext cx="117475" cy="673100"/>
            <a:chOff x="2355850" y="109918500"/>
            <a:chExt cx="117475" cy="673100"/>
          </a:xfrm>
        </xdr:grpSpPr>
        <xdr:cxnSp macro="">
          <xdr:nvCxnSpPr>
            <xdr:cNvPr id="2745" name="Straight Connector 2744">
              <a:extLst>
                <a:ext uri="{FF2B5EF4-FFF2-40B4-BE49-F238E27FC236}">
                  <a16:creationId xmlns:a16="http://schemas.microsoft.com/office/drawing/2014/main" id="{7E8AEE95-E13A-F196-1170-4FA8A6F8F3D4}"/>
                </a:ext>
              </a:extLst>
            </xdr:cNvPr>
            <xdr:cNvCxnSpPr/>
          </xdr:nvCxnSpPr>
          <xdr:spPr>
            <a:xfrm>
              <a:off x="2416175" y="109918500"/>
              <a:ext cx="0" cy="67310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2746" name="Straight Connector 2745">
              <a:extLst>
                <a:ext uri="{FF2B5EF4-FFF2-40B4-BE49-F238E27FC236}">
                  <a16:creationId xmlns:a16="http://schemas.microsoft.com/office/drawing/2014/main" id="{BDF75B48-17B6-A0E7-EC42-1E865783C9A4}"/>
                </a:ext>
              </a:extLst>
            </xdr:cNvPr>
            <xdr:cNvCxnSpPr/>
          </xdr:nvCxnSpPr>
          <xdr:spPr>
            <a:xfrm flipH="1" flipV="1">
              <a:off x="2355850" y="109943900"/>
              <a:ext cx="57150" cy="5715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2747" name="Straight Connector 2746">
              <a:extLst>
                <a:ext uri="{FF2B5EF4-FFF2-40B4-BE49-F238E27FC236}">
                  <a16:creationId xmlns:a16="http://schemas.microsoft.com/office/drawing/2014/main" id="{E2781543-8DF8-D1A0-7776-E993EEBA0D29}"/>
                </a:ext>
              </a:extLst>
            </xdr:cNvPr>
            <xdr:cNvCxnSpPr/>
          </xdr:nvCxnSpPr>
          <xdr:spPr>
            <a:xfrm flipV="1">
              <a:off x="2416175" y="109943900"/>
              <a:ext cx="57150" cy="5715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grpSp>
      <xdr:grpSp>
        <xdr:nvGrpSpPr>
          <xdr:cNvPr id="2736" name="Group 2735">
            <a:extLst>
              <a:ext uri="{FF2B5EF4-FFF2-40B4-BE49-F238E27FC236}">
                <a16:creationId xmlns:a16="http://schemas.microsoft.com/office/drawing/2014/main" id="{3C03E4D4-1CE4-D67A-95CB-46A5BE5484D1}"/>
              </a:ext>
            </a:extLst>
          </xdr:cNvPr>
          <xdr:cNvGrpSpPr/>
        </xdr:nvGrpSpPr>
        <xdr:grpSpPr>
          <a:xfrm>
            <a:off x="10277475" y="5448300"/>
            <a:ext cx="117475" cy="673100"/>
            <a:chOff x="2355850" y="109918500"/>
            <a:chExt cx="117475" cy="673100"/>
          </a:xfrm>
        </xdr:grpSpPr>
        <xdr:cxnSp macro="">
          <xdr:nvCxnSpPr>
            <xdr:cNvPr id="2742" name="Straight Connector 2741">
              <a:extLst>
                <a:ext uri="{FF2B5EF4-FFF2-40B4-BE49-F238E27FC236}">
                  <a16:creationId xmlns:a16="http://schemas.microsoft.com/office/drawing/2014/main" id="{756CCC6C-BC08-0017-4496-64C13804D363}"/>
                </a:ext>
              </a:extLst>
            </xdr:cNvPr>
            <xdr:cNvCxnSpPr/>
          </xdr:nvCxnSpPr>
          <xdr:spPr>
            <a:xfrm>
              <a:off x="2416175" y="109918500"/>
              <a:ext cx="0" cy="67310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2743" name="Straight Connector 2742">
              <a:extLst>
                <a:ext uri="{FF2B5EF4-FFF2-40B4-BE49-F238E27FC236}">
                  <a16:creationId xmlns:a16="http://schemas.microsoft.com/office/drawing/2014/main" id="{ADDC1BB6-DE60-674B-C78B-07937F7FB36C}"/>
                </a:ext>
              </a:extLst>
            </xdr:cNvPr>
            <xdr:cNvCxnSpPr/>
          </xdr:nvCxnSpPr>
          <xdr:spPr>
            <a:xfrm flipH="1" flipV="1">
              <a:off x="2355850" y="109943900"/>
              <a:ext cx="57150" cy="5715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2744" name="Straight Connector 2743">
              <a:extLst>
                <a:ext uri="{FF2B5EF4-FFF2-40B4-BE49-F238E27FC236}">
                  <a16:creationId xmlns:a16="http://schemas.microsoft.com/office/drawing/2014/main" id="{95FCA383-CC0B-3629-5583-45B5307C5281}"/>
                </a:ext>
              </a:extLst>
            </xdr:cNvPr>
            <xdr:cNvCxnSpPr/>
          </xdr:nvCxnSpPr>
          <xdr:spPr>
            <a:xfrm flipV="1">
              <a:off x="2416175" y="109943900"/>
              <a:ext cx="57150" cy="5715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grpSp>
      <xdr:cxnSp macro="">
        <xdr:nvCxnSpPr>
          <xdr:cNvPr id="2737" name="Straight Connector 2736">
            <a:extLst>
              <a:ext uri="{FF2B5EF4-FFF2-40B4-BE49-F238E27FC236}">
                <a16:creationId xmlns:a16="http://schemas.microsoft.com/office/drawing/2014/main" id="{60012EF7-5E41-AC56-A231-CAB0F12480CF}"/>
              </a:ext>
            </a:extLst>
          </xdr:cNvPr>
          <xdr:cNvCxnSpPr/>
        </xdr:nvCxnSpPr>
        <xdr:spPr>
          <a:xfrm>
            <a:off x="9696450" y="5857875"/>
            <a:ext cx="288925" cy="314325"/>
          </a:xfrm>
          <a:prstGeom prst="line">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738" name="TextBox 2737">
            <a:extLst>
              <a:ext uri="{FF2B5EF4-FFF2-40B4-BE49-F238E27FC236}">
                <a16:creationId xmlns:a16="http://schemas.microsoft.com/office/drawing/2014/main" id="{47CB8F8D-DD3A-9D30-21D3-372BDFCFB28D}"/>
              </a:ext>
            </a:extLst>
          </xdr:cNvPr>
          <xdr:cNvSpPr txBox="1"/>
        </xdr:nvSpPr>
        <xdr:spPr>
          <a:xfrm>
            <a:off x="9626599" y="6061075"/>
            <a:ext cx="974726" cy="298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lang="tr-TR" sz="800" kern="1200">
                <a:latin typeface="Arial" panose="020B0604020202020204" pitchFamily="34" charset="0"/>
                <a:cs typeface="Arial" panose="020B0604020202020204" pitchFamily="34" charset="0"/>
              </a:rPr>
              <a:t>kayma kaması</a:t>
            </a:r>
          </a:p>
        </xdr:txBody>
      </xdr:sp>
      <xdr:cxnSp macro="">
        <xdr:nvCxnSpPr>
          <xdr:cNvPr id="2739" name="Straight Connector 2738">
            <a:extLst>
              <a:ext uri="{FF2B5EF4-FFF2-40B4-BE49-F238E27FC236}">
                <a16:creationId xmlns:a16="http://schemas.microsoft.com/office/drawing/2014/main" id="{11AFF920-1450-7BD9-90FE-E37E437DE878}"/>
              </a:ext>
            </a:extLst>
          </xdr:cNvPr>
          <xdr:cNvCxnSpPr/>
        </xdr:nvCxnSpPr>
        <xdr:spPr>
          <a:xfrm>
            <a:off x="9264650" y="4667250"/>
            <a:ext cx="996950" cy="0"/>
          </a:xfrm>
          <a:prstGeom prst="line">
            <a:avLst/>
          </a:prstGeom>
          <a:ln w="1270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2740" name="TextBox 2739">
            <a:extLst>
              <a:ext uri="{FF2B5EF4-FFF2-40B4-BE49-F238E27FC236}">
                <a16:creationId xmlns:a16="http://schemas.microsoft.com/office/drawing/2014/main" id="{5DE8DA90-697A-FD16-E2A5-F65591D0825B}"/>
              </a:ext>
            </a:extLst>
          </xdr:cNvPr>
          <xdr:cNvSpPr txBox="1"/>
        </xdr:nvSpPr>
        <xdr:spPr>
          <a:xfrm>
            <a:off x="10506076" y="5248275"/>
            <a:ext cx="1365250" cy="298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lang="tr-TR" sz="800" kern="1200">
                <a:latin typeface="Arial" panose="020B0604020202020204" pitchFamily="34" charset="0"/>
                <a:cs typeface="Arial" panose="020B0604020202020204" pitchFamily="34" charset="0"/>
              </a:rPr>
              <a:t>kolon ayağı nervür </a:t>
            </a:r>
          </a:p>
        </xdr:txBody>
      </xdr:sp>
      <xdr:cxnSp macro="">
        <xdr:nvCxnSpPr>
          <xdr:cNvPr id="2741" name="Straight Connector 2740">
            <a:extLst>
              <a:ext uri="{FF2B5EF4-FFF2-40B4-BE49-F238E27FC236}">
                <a16:creationId xmlns:a16="http://schemas.microsoft.com/office/drawing/2014/main" id="{F19B4735-8BDF-01CB-5794-925936250A97}"/>
              </a:ext>
            </a:extLst>
          </xdr:cNvPr>
          <xdr:cNvCxnSpPr/>
        </xdr:nvCxnSpPr>
        <xdr:spPr>
          <a:xfrm>
            <a:off x="10334625" y="5334000"/>
            <a:ext cx="381000" cy="57150"/>
          </a:xfrm>
          <a:prstGeom prst="line">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51</xdr:col>
      <xdr:colOff>85725</xdr:colOff>
      <xdr:row>792</xdr:row>
      <xdr:rowOff>47625</xdr:rowOff>
    </xdr:from>
    <xdr:to>
      <xdr:col>71</xdr:col>
      <xdr:colOff>136526</xdr:colOff>
      <xdr:row>804</xdr:row>
      <xdr:rowOff>25400</xdr:rowOff>
    </xdr:to>
    <xdr:grpSp>
      <xdr:nvGrpSpPr>
        <xdr:cNvPr id="2755" name="Group 2754">
          <a:extLst>
            <a:ext uri="{FF2B5EF4-FFF2-40B4-BE49-F238E27FC236}">
              <a16:creationId xmlns:a16="http://schemas.microsoft.com/office/drawing/2014/main" id="{BD5E4AD5-320A-464D-B2B7-A69CE021BA58}"/>
            </a:ext>
          </a:extLst>
        </xdr:cNvPr>
        <xdr:cNvGrpSpPr/>
      </xdr:nvGrpSpPr>
      <xdr:grpSpPr>
        <a:xfrm>
          <a:off x="8343900" y="115385850"/>
          <a:ext cx="3289301" cy="1692275"/>
          <a:chOff x="8582025" y="4667250"/>
          <a:chExt cx="3289301" cy="1692275"/>
        </a:xfrm>
      </xdr:grpSpPr>
      <xdr:sp macro="" textlink="">
        <xdr:nvSpPr>
          <xdr:cNvPr id="2756" name="Rectangle 2755">
            <a:extLst>
              <a:ext uri="{FF2B5EF4-FFF2-40B4-BE49-F238E27FC236}">
                <a16:creationId xmlns:a16="http://schemas.microsoft.com/office/drawing/2014/main" id="{38580232-599F-EEEA-6B50-57208051EC28}"/>
              </a:ext>
            </a:extLst>
          </xdr:cNvPr>
          <xdr:cNvSpPr/>
        </xdr:nvSpPr>
        <xdr:spPr>
          <a:xfrm>
            <a:off x="8869363" y="5529264"/>
            <a:ext cx="1771650" cy="138112"/>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kern="1200"/>
          </a:p>
        </xdr:txBody>
      </xdr:sp>
      <xdr:sp macro="" textlink="">
        <xdr:nvSpPr>
          <xdr:cNvPr id="2757" name="Rectangle 2756">
            <a:extLst>
              <a:ext uri="{FF2B5EF4-FFF2-40B4-BE49-F238E27FC236}">
                <a16:creationId xmlns:a16="http://schemas.microsoft.com/office/drawing/2014/main" id="{2D2A381F-FA69-1493-9A93-2FB8D5324F3B}"/>
              </a:ext>
            </a:extLst>
          </xdr:cNvPr>
          <xdr:cNvSpPr/>
        </xdr:nvSpPr>
        <xdr:spPr>
          <a:xfrm>
            <a:off x="9355138" y="4667251"/>
            <a:ext cx="800100" cy="428624"/>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cxnSp macro="">
        <xdr:nvCxnSpPr>
          <xdr:cNvPr id="2758" name="Straight Connector 2757">
            <a:extLst>
              <a:ext uri="{FF2B5EF4-FFF2-40B4-BE49-F238E27FC236}">
                <a16:creationId xmlns:a16="http://schemas.microsoft.com/office/drawing/2014/main" id="{57D2A0CD-C380-7A5B-6F04-587F7AE57EFC}"/>
              </a:ext>
            </a:extLst>
          </xdr:cNvPr>
          <xdr:cNvCxnSpPr/>
        </xdr:nvCxnSpPr>
        <xdr:spPr>
          <a:xfrm>
            <a:off x="9464679" y="4670425"/>
            <a:ext cx="0" cy="4254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759" name="Straight Connector 2758">
            <a:extLst>
              <a:ext uri="{FF2B5EF4-FFF2-40B4-BE49-F238E27FC236}">
                <a16:creationId xmlns:a16="http://schemas.microsoft.com/office/drawing/2014/main" id="{D6DCD506-68F3-8189-6153-09BAFED8B56E}"/>
              </a:ext>
            </a:extLst>
          </xdr:cNvPr>
          <xdr:cNvCxnSpPr/>
        </xdr:nvCxnSpPr>
        <xdr:spPr>
          <a:xfrm>
            <a:off x="10050460" y="4667250"/>
            <a:ext cx="0" cy="43338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2760" name="Freeform: Shape 2759">
            <a:extLst>
              <a:ext uri="{FF2B5EF4-FFF2-40B4-BE49-F238E27FC236}">
                <a16:creationId xmlns:a16="http://schemas.microsoft.com/office/drawing/2014/main" id="{8E8403B1-4368-BAAA-83B9-2753AAD970CD}"/>
              </a:ext>
            </a:extLst>
          </xdr:cNvPr>
          <xdr:cNvSpPr/>
        </xdr:nvSpPr>
        <xdr:spPr>
          <a:xfrm>
            <a:off x="8993188" y="5095875"/>
            <a:ext cx="1633537" cy="433388"/>
          </a:xfrm>
          <a:custGeom>
            <a:avLst/>
            <a:gdLst>
              <a:gd name="connsiteX0" fmla="*/ 309562 w 1633537"/>
              <a:gd name="connsiteY0" fmla="*/ 0 h 433388"/>
              <a:gd name="connsiteX1" fmla="*/ 1223962 w 1633537"/>
              <a:gd name="connsiteY1" fmla="*/ 0 h 433388"/>
              <a:gd name="connsiteX2" fmla="*/ 1538287 w 1633537"/>
              <a:gd name="connsiteY2" fmla="*/ 147638 h 433388"/>
              <a:gd name="connsiteX3" fmla="*/ 1538287 w 1633537"/>
              <a:gd name="connsiteY3" fmla="*/ 433388 h 433388"/>
              <a:gd name="connsiteX4" fmla="*/ 1633537 w 1633537"/>
              <a:gd name="connsiteY4" fmla="*/ 433388 h 433388"/>
              <a:gd name="connsiteX5" fmla="*/ 0 w 1633537"/>
              <a:gd name="connsiteY5" fmla="*/ 433388 h 433388"/>
              <a:gd name="connsiteX6" fmla="*/ 0 w 1633537"/>
              <a:gd name="connsiteY6" fmla="*/ 142875 h 433388"/>
              <a:gd name="connsiteX7" fmla="*/ 309562 w 1633537"/>
              <a:gd name="connsiteY7" fmla="*/ 0 h 43338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1633537" h="433388">
                <a:moveTo>
                  <a:pt x="309562" y="0"/>
                </a:moveTo>
                <a:lnTo>
                  <a:pt x="1223962" y="0"/>
                </a:lnTo>
                <a:lnTo>
                  <a:pt x="1538287" y="147638"/>
                </a:lnTo>
                <a:lnTo>
                  <a:pt x="1538287" y="433388"/>
                </a:lnTo>
                <a:lnTo>
                  <a:pt x="1633537" y="433388"/>
                </a:lnTo>
                <a:lnTo>
                  <a:pt x="0" y="433388"/>
                </a:lnTo>
                <a:lnTo>
                  <a:pt x="0" y="142875"/>
                </a:lnTo>
                <a:lnTo>
                  <a:pt x="309562" y="0"/>
                </a:lnTo>
                <a:close/>
              </a:path>
            </a:pathLst>
          </a:cu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cxnSp macro="">
        <xdr:nvCxnSpPr>
          <xdr:cNvPr id="2761" name="Straight Connector 2760">
            <a:extLst>
              <a:ext uri="{FF2B5EF4-FFF2-40B4-BE49-F238E27FC236}">
                <a16:creationId xmlns:a16="http://schemas.microsoft.com/office/drawing/2014/main" id="{2FE7B6AF-E21F-736F-ACCC-910AB511CC5A}"/>
              </a:ext>
            </a:extLst>
          </xdr:cNvPr>
          <xdr:cNvCxnSpPr/>
        </xdr:nvCxnSpPr>
        <xdr:spPr>
          <a:xfrm>
            <a:off x="9464679" y="5100646"/>
            <a:ext cx="0" cy="423862"/>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2762" name="Straight Connector 2761">
            <a:extLst>
              <a:ext uri="{FF2B5EF4-FFF2-40B4-BE49-F238E27FC236}">
                <a16:creationId xmlns:a16="http://schemas.microsoft.com/office/drawing/2014/main" id="{1158090B-F6FD-87BD-137F-5EDFAAD8D8C8}"/>
              </a:ext>
            </a:extLst>
          </xdr:cNvPr>
          <xdr:cNvCxnSpPr/>
        </xdr:nvCxnSpPr>
        <xdr:spPr>
          <a:xfrm>
            <a:off x="10050460" y="5100647"/>
            <a:ext cx="0" cy="428624"/>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2763" name="Straight Connector 2762">
            <a:extLst>
              <a:ext uri="{FF2B5EF4-FFF2-40B4-BE49-F238E27FC236}">
                <a16:creationId xmlns:a16="http://schemas.microsoft.com/office/drawing/2014/main" id="{594FDBDC-5DFA-6DFB-A649-8F902AC690C5}"/>
              </a:ext>
            </a:extLst>
          </xdr:cNvPr>
          <xdr:cNvCxnSpPr/>
        </xdr:nvCxnSpPr>
        <xdr:spPr>
          <a:xfrm>
            <a:off x="9355142" y="5105408"/>
            <a:ext cx="0" cy="423862"/>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2764" name="Straight Connector 2763">
            <a:extLst>
              <a:ext uri="{FF2B5EF4-FFF2-40B4-BE49-F238E27FC236}">
                <a16:creationId xmlns:a16="http://schemas.microsoft.com/office/drawing/2014/main" id="{B5B11769-222A-6234-39C2-A36AEAAC3228}"/>
              </a:ext>
            </a:extLst>
          </xdr:cNvPr>
          <xdr:cNvCxnSpPr/>
        </xdr:nvCxnSpPr>
        <xdr:spPr>
          <a:xfrm>
            <a:off x="10155241" y="5105413"/>
            <a:ext cx="0" cy="423862"/>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grpSp>
        <xdr:nvGrpSpPr>
          <xdr:cNvPr id="2765" name="Group 2764">
            <a:extLst>
              <a:ext uri="{FF2B5EF4-FFF2-40B4-BE49-F238E27FC236}">
                <a16:creationId xmlns:a16="http://schemas.microsoft.com/office/drawing/2014/main" id="{ED301AB4-D90F-C0F0-4EEE-A9B373670DEF}"/>
              </a:ext>
            </a:extLst>
          </xdr:cNvPr>
          <xdr:cNvGrpSpPr/>
        </xdr:nvGrpSpPr>
        <xdr:grpSpPr>
          <a:xfrm>
            <a:off x="9559925" y="5597525"/>
            <a:ext cx="403225" cy="403225"/>
            <a:chOff x="2800350" y="110067725"/>
            <a:chExt cx="403225" cy="403225"/>
          </a:xfrm>
        </xdr:grpSpPr>
        <xdr:sp macro="" textlink="">
          <xdr:nvSpPr>
            <xdr:cNvPr id="2784" name="Arc 2783">
              <a:extLst>
                <a:ext uri="{FF2B5EF4-FFF2-40B4-BE49-F238E27FC236}">
                  <a16:creationId xmlns:a16="http://schemas.microsoft.com/office/drawing/2014/main" id="{41233E32-2B16-B32E-51C6-3D4B1AA2325E}"/>
                </a:ext>
              </a:extLst>
            </xdr:cNvPr>
            <xdr:cNvSpPr/>
          </xdr:nvSpPr>
          <xdr:spPr>
            <a:xfrm rot="5400000">
              <a:off x="3070225" y="110067725"/>
              <a:ext cx="133350" cy="133350"/>
            </a:xfrm>
            <a:prstGeom prst="arc">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tr-TR" sz="1100" kern="1200"/>
            </a:p>
          </xdr:txBody>
        </xdr:sp>
        <xdr:cxnSp macro="">
          <xdr:nvCxnSpPr>
            <xdr:cNvPr id="2785" name="Straight Connector 2784">
              <a:extLst>
                <a:ext uri="{FF2B5EF4-FFF2-40B4-BE49-F238E27FC236}">
                  <a16:creationId xmlns:a16="http://schemas.microsoft.com/office/drawing/2014/main" id="{D40502D1-8C09-56FD-7648-E7048F2A9D54}"/>
                </a:ext>
              </a:extLst>
            </xdr:cNvPr>
            <xdr:cNvCxnSpPr/>
          </xdr:nvCxnSpPr>
          <xdr:spPr>
            <a:xfrm>
              <a:off x="2997200" y="110199488"/>
              <a:ext cx="14446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786" name="Straight Connector 2785">
              <a:extLst>
                <a:ext uri="{FF2B5EF4-FFF2-40B4-BE49-F238E27FC236}">
                  <a16:creationId xmlns:a16="http://schemas.microsoft.com/office/drawing/2014/main" id="{FC7A863B-B578-D955-6394-484F7586BB4C}"/>
                </a:ext>
              </a:extLst>
            </xdr:cNvPr>
            <xdr:cNvCxnSpPr/>
          </xdr:nvCxnSpPr>
          <xdr:spPr>
            <a:xfrm rot="5400000">
              <a:off x="2701925" y="110305850"/>
              <a:ext cx="3302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787" name="Straight Connector 2786">
              <a:extLst>
                <a:ext uri="{FF2B5EF4-FFF2-40B4-BE49-F238E27FC236}">
                  <a16:creationId xmlns:a16="http://schemas.microsoft.com/office/drawing/2014/main" id="{381B731E-038D-8B98-9A56-1EDB52B8AF4B}"/>
                </a:ext>
              </a:extLst>
            </xdr:cNvPr>
            <xdr:cNvCxnSpPr/>
          </xdr:nvCxnSpPr>
          <xdr:spPr>
            <a:xfrm>
              <a:off x="2870200" y="110137575"/>
              <a:ext cx="3302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2788" name="Arc 2787">
              <a:extLst>
                <a:ext uri="{FF2B5EF4-FFF2-40B4-BE49-F238E27FC236}">
                  <a16:creationId xmlns:a16="http://schemas.microsoft.com/office/drawing/2014/main" id="{B7208E3D-A603-2C4A-CD08-7CBCF3A6ABD4}"/>
                </a:ext>
              </a:extLst>
            </xdr:cNvPr>
            <xdr:cNvSpPr/>
          </xdr:nvSpPr>
          <xdr:spPr>
            <a:xfrm rot="5400000">
              <a:off x="2800350" y="110334425"/>
              <a:ext cx="133350" cy="133350"/>
            </a:xfrm>
            <a:prstGeom prst="arc">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tr-TR" sz="1100" kern="1200"/>
            </a:p>
          </xdr:txBody>
        </xdr:sp>
        <xdr:cxnSp macro="">
          <xdr:nvCxnSpPr>
            <xdr:cNvPr id="2789" name="Straight Connector 2788">
              <a:extLst>
                <a:ext uri="{FF2B5EF4-FFF2-40B4-BE49-F238E27FC236}">
                  <a16:creationId xmlns:a16="http://schemas.microsoft.com/office/drawing/2014/main" id="{E4C76E65-80FA-3DE7-AAC2-493CC7382625}"/>
                </a:ext>
              </a:extLst>
            </xdr:cNvPr>
            <xdr:cNvCxnSpPr/>
          </xdr:nvCxnSpPr>
          <xdr:spPr>
            <a:xfrm>
              <a:off x="2934494" y="110264575"/>
              <a:ext cx="0" cy="13731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2790" name="Arc 2789">
              <a:extLst>
                <a:ext uri="{FF2B5EF4-FFF2-40B4-BE49-F238E27FC236}">
                  <a16:creationId xmlns:a16="http://schemas.microsoft.com/office/drawing/2014/main" id="{B536259D-1EE0-A1B1-2F3B-B67FFD4E992A}"/>
                </a:ext>
              </a:extLst>
            </xdr:cNvPr>
            <xdr:cNvSpPr/>
          </xdr:nvSpPr>
          <xdr:spPr>
            <a:xfrm rot="16200000">
              <a:off x="2933700" y="110201075"/>
              <a:ext cx="133350" cy="133350"/>
            </a:xfrm>
            <a:prstGeom prst="arc">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tr-TR" sz="1100" kern="1200"/>
            </a:p>
          </xdr:txBody>
        </xdr:sp>
      </xdr:grpSp>
      <xdr:sp macro="" textlink="">
        <xdr:nvSpPr>
          <xdr:cNvPr id="2766" name="Freeform: Shape 2765">
            <a:extLst>
              <a:ext uri="{FF2B5EF4-FFF2-40B4-BE49-F238E27FC236}">
                <a16:creationId xmlns:a16="http://schemas.microsoft.com/office/drawing/2014/main" id="{F7AFB2CB-05E2-F889-60A5-3CA61720C54D}"/>
              </a:ext>
            </a:extLst>
          </xdr:cNvPr>
          <xdr:cNvSpPr/>
        </xdr:nvSpPr>
        <xdr:spPr>
          <a:xfrm>
            <a:off x="8582025" y="5810250"/>
            <a:ext cx="495300" cy="292100"/>
          </a:xfrm>
          <a:custGeom>
            <a:avLst/>
            <a:gdLst>
              <a:gd name="connsiteX0" fmla="*/ 0 w 495300"/>
              <a:gd name="connsiteY0" fmla="*/ 0 h 292100"/>
              <a:gd name="connsiteX1" fmla="*/ 495300 w 495300"/>
              <a:gd name="connsiteY1" fmla="*/ 0 h 292100"/>
              <a:gd name="connsiteX2" fmla="*/ 495300 w 495300"/>
              <a:gd name="connsiteY2" fmla="*/ 292100 h 292100"/>
            </a:gdLst>
            <a:ahLst/>
            <a:cxnLst>
              <a:cxn ang="0">
                <a:pos x="connsiteX0" y="connsiteY0"/>
              </a:cxn>
              <a:cxn ang="0">
                <a:pos x="connsiteX1" y="connsiteY1"/>
              </a:cxn>
              <a:cxn ang="0">
                <a:pos x="connsiteX2" y="connsiteY2"/>
              </a:cxn>
            </a:cxnLst>
            <a:rect l="l" t="t" r="r" b="b"/>
            <a:pathLst>
              <a:path w="495300" h="292100">
                <a:moveTo>
                  <a:pt x="0" y="0"/>
                </a:moveTo>
                <a:lnTo>
                  <a:pt x="495300" y="0"/>
                </a:lnTo>
                <a:lnTo>
                  <a:pt x="495300" y="292100"/>
                </a:lnTo>
              </a:path>
            </a:pathLst>
          </a:custGeom>
          <a:no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kern="1200"/>
          </a:p>
        </xdr:txBody>
      </xdr:sp>
      <xdr:sp macro="" textlink="">
        <xdr:nvSpPr>
          <xdr:cNvPr id="2767" name="Freeform: Shape 2766">
            <a:extLst>
              <a:ext uri="{FF2B5EF4-FFF2-40B4-BE49-F238E27FC236}">
                <a16:creationId xmlns:a16="http://schemas.microsoft.com/office/drawing/2014/main" id="{866FD465-1075-7812-EF2B-C6FB44ED94D1}"/>
              </a:ext>
            </a:extLst>
          </xdr:cNvPr>
          <xdr:cNvSpPr/>
        </xdr:nvSpPr>
        <xdr:spPr>
          <a:xfrm>
            <a:off x="9255125" y="5810250"/>
            <a:ext cx="990600" cy="288925"/>
          </a:xfrm>
          <a:custGeom>
            <a:avLst/>
            <a:gdLst>
              <a:gd name="connsiteX0" fmla="*/ 0 w 990600"/>
              <a:gd name="connsiteY0" fmla="*/ 282575 h 288925"/>
              <a:gd name="connsiteX1" fmla="*/ 0 w 990600"/>
              <a:gd name="connsiteY1" fmla="*/ 0 h 288925"/>
              <a:gd name="connsiteX2" fmla="*/ 254000 w 990600"/>
              <a:gd name="connsiteY2" fmla="*/ 0 h 288925"/>
              <a:gd name="connsiteX3" fmla="*/ 254000 w 990600"/>
              <a:gd name="connsiteY3" fmla="*/ 282575 h 288925"/>
              <a:gd name="connsiteX4" fmla="*/ 825500 w 990600"/>
              <a:gd name="connsiteY4" fmla="*/ 282575 h 288925"/>
              <a:gd name="connsiteX5" fmla="*/ 825500 w 990600"/>
              <a:gd name="connsiteY5" fmla="*/ 0 h 288925"/>
              <a:gd name="connsiteX6" fmla="*/ 990600 w 990600"/>
              <a:gd name="connsiteY6" fmla="*/ 0 h 288925"/>
              <a:gd name="connsiteX7" fmla="*/ 990600 w 990600"/>
              <a:gd name="connsiteY7" fmla="*/ 288925 h 2889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990600" h="288925">
                <a:moveTo>
                  <a:pt x="0" y="282575"/>
                </a:moveTo>
                <a:lnTo>
                  <a:pt x="0" y="0"/>
                </a:lnTo>
                <a:lnTo>
                  <a:pt x="254000" y="0"/>
                </a:lnTo>
                <a:lnTo>
                  <a:pt x="254000" y="282575"/>
                </a:lnTo>
                <a:lnTo>
                  <a:pt x="825500" y="282575"/>
                </a:lnTo>
                <a:lnTo>
                  <a:pt x="825500" y="0"/>
                </a:lnTo>
                <a:lnTo>
                  <a:pt x="990600" y="0"/>
                </a:lnTo>
                <a:lnTo>
                  <a:pt x="990600" y="288925"/>
                </a:lnTo>
              </a:path>
            </a:pathLst>
          </a:custGeom>
          <a:no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kern="1200"/>
          </a:p>
        </xdr:txBody>
      </xdr:sp>
      <xdr:sp macro="" textlink="">
        <xdr:nvSpPr>
          <xdr:cNvPr id="2768" name="Freeform: Shape 2767">
            <a:extLst>
              <a:ext uri="{FF2B5EF4-FFF2-40B4-BE49-F238E27FC236}">
                <a16:creationId xmlns:a16="http://schemas.microsoft.com/office/drawing/2014/main" id="{641892EB-EE4C-2BD6-3B01-7F238CD46495}"/>
              </a:ext>
            </a:extLst>
          </xdr:cNvPr>
          <xdr:cNvSpPr/>
        </xdr:nvSpPr>
        <xdr:spPr>
          <a:xfrm>
            <a:off x="10429875" y="5810250"/>
            <a:ext cx="498475" cy="288925"/>
          </a:xfrm>
          <a:custGeom>
            <a:avLst/>
            <a:gdLst>
              <a:gd name="connsiteX0" fmla="*/ 498475 w 498475"/>
              <a:gd name="connsiteY0" fmla="*/ 0 h 288925"/>
              <a:gd name="connsiteX1" fmla="*/ 0 w 498475"/>
              <a:gd name="connsiteY1" fmla="*/ 0 h 288925"/>
              <a:gd name="connsiteX2" fmla="*/ 0 w 498475"/>
              <a:gd name="connsiteY2" fmla="*/ 288925 h 288925"/>
            </a:gdLst>
            <a:ahLst/>
            <a:cxnLst>
              <a:cxn ang="0">
                <a:pos x="connsiteX0" y="connsiteY0"/>
              </a:cxn>
              <a:cxn ang="0">
                <a:pos x="connsiteX1" y="connsiteY1"/>
              </a:cxn>
              <a:cxn ang="0">
                <a:pos x="connsiteX2" y="connsiteY2"/>
              </a:cxn>
            </a:cxnLst>
            <a:rect l="l" t="t" r="r" b="b"/>
            <a:pathLst>
              <a:path w="498475" h="288925">
                <a:moveTo>
                  <a:pt x="498475" y="0"/>
                </a:moveTo>
                <a:lnTo>
                  <a:pt x="0" y="0"/>
                </a:lnTo>
                <a:lnTo>
                  <a:pt x="0" y="288925"/>
                </a:lnTo>
              </a:path>
            </a:pathLst>
          </a:custGeom>
          <a:no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kern="1200"/>
          </a:p>
        </xdr:txBody>
      </xdr:sp>
      <xdr:cxnSp macro="">
        <xdr:nvCxnSpPr>
          <xdr:cNvPr id="2769" name="Straight Connector 2768">
            <a:extLst>
              <a:ext uri="{FF2B5EF4-FFF2-40B4-BE49-F238E27FC236}">
                <a16:creationId xmlns:a16="http://schemas.microsoft.com/office/drawing/2014/main" id="{DEE801B2-5A23-7CB4-66E7-36602E1615CD}"/>
              </a:ext>
            </a:extLst>
          </xdr:cNvPr>
          <xdr:cNvCxnSpPr/>
        </xdr:nvCxnSpPr>
        <xdr:spPr>
          <a:xfrm flipH="1">
            <a:off x="8734425" y="5664995"/>
            <a:ext cx="138113" cy="145255"/>
          </a:xfrm>
          <a:prstGeom prst="line">
            <a:avLst/>
          </a:prstGeom>
          <a:no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2770" name="Straight Connector 2769">
            <a:extLst>
              <a:ext uri="{FF2B5EF4-FFF2-40B4-BE49-F238E27FC236}">
                <a16:creationId xmlns:a16="http://schemas.microsoft.com/office/drawing/2014/main" id="{590F37BB-F93A-D185-4CF0-62176414BE75}"/>
              </a:ext>
            </a:extLst>
          </xdr:cNvPr>
          <xdr:cNvCxnSpPr/>
        </xdr:nvCxnSpPr>
        <xdr:spPr>
          <a:xfrm flipH="1" flipV="1">
            <a:off x="10645775" y="5667375"/>
            <a:ext cx="133350" cy="142875"/>
          </a:xfrm>
          <a:prstGeom prst="line">
            <a:avLst/>
          </a:prstGeom>
          <a:no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cxnSp>
      <xdr:grpSp>
        <xdr:nvGrpSpPr>
          <xdr:cNvPr id="2771" name="Group 2770">
            <a:extLst>
              <a:ext uri="{FF2B5EF4-FFF2-40B4-BE49-F238E27FC236}">
                <a16:creationId xmlns:a16="http://schemas.microsoft.com/office/drawing/2014/main" id="{82F9D92C-E761-4647-D595-B7D33288C563}"/>
              </a:ext>
            </a:extLst>
          </xdr:cNvPr>
          <xdr:cNvGrpSpPr/>
        </xdr:nvGrpSpPr>
        <xdr:grpSpPr>
          <a:xfrm>
            <a:off x="9109075" y="5448300"/>
            <a:ext cx="117475" cy="673100"/>
            <a:chOff x="2355850" y="109918500"/>
            <a:chExt cx="117475" cy="673100"/>
          </a:xfrm>
        </xdr:grpSpPr>
        <xdr:cxnSp macro="">
          <xdr:nvCxnSpPr>
            <xdr:cNvPr id="2781" name="Straight Connector 2780">
              <a:extLst>
                <a:ext uri="{FF2B5EF4-FFF2-40B4-BE49-F238E27FC236}">
                  <a16:creationId xmlns:a16="http://schemas.microsoft.com/office/drawing/2014/main" id="{0031C84D-E678-E2C9-299B-F8C8B7BA8D6D}"/>
                </a:ext>
              </a:extLst>
            </xdr:cNvPr>
            <xdr:cNvCxnSpPr/>
          </xdr:nvCxnSpPr>
          <xdr:spPr>
            <a:xfrm>
              <a:off x="2416175" y="109918500"/>
              <a:ext cx="0" cy="67310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2782" name="Straight Connector 2781">
              <a:extLst>
                <a:ext uri="{FF2B5EF4-FFF2-40B4-BE49-F238E27FC236}">
                  <a16:creationId xmlns:a16="http://schemas.microsoft.com/office/drawing/2014/main" id="{8C506ED2-BD45-9B6E-C5C7-44253B6D96E0}"/>
                </a:ext>
              </a:extLst>
            </xdr:cNvPr>
            <xdr:cNvCxnSpPr/>
          </xdr:nvCxnSpPr>
          <xdr:spPr>
            <a:xfrm flipH="1" flipV="1">
              <a:off x="2355850" y="109943900"/>
              <a:ext cx="57150" cy="5715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2783" name="Straight Connector 2782">
              <a:extLst>
                <a:ext uri="{FF2B5EF4-FFF2-40B4-BE49-F238E27FC236}">
                  <a16:creationId xmlns:a16="http://schemas.microsoft.com/office/drawing/2014/main" id="{30038B16-6D38-9751-4F08-2E0199F9A7B0}"/>
                </a:ext>
              </a:extLst>
            </xdr:cNvPr>
            <xdr:cNvCxnSpPr/>
          </xdr:nvCxnSpPr>
          <xdr:spPr>
            <a:xfrm flipV="1">
              <a:off x="2416175" y="109943900"/>
              <a:ext cx="57150" cy="5715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grpSp>
      <xdr:grpSp>
        <xdr:nvGrpSpPr>
          <xdr:cNvPr id="2772" name="Group 2771">
            <a:extLst>
              <a:ext uri="{FF2B5EF4-FFF2-40B4-BE49-F238E27FC236}">
                <a16:creationId xmlns:a16="http://schemas.microsoft.com/office/drawing/2014/main" id="{777B9D1E-EF24-2D6B-D6BA-3B936E50E376}"/>
              </a:ext>
            </a:extLst>
          </xdr:cNvPr>
          <xdr:cNvGrpSpPr/>
        </xdr:nvGrpSpPr>
        <xdr:grpSpPr>
          <a:xfrm>
            <a:off x="10277475" y="5448300"/>
            <a:ext cx="117475" cy="673100"/>
            <a:chOff x="2355850" y="109918500"/>
            <a:chExt cx="117475" cy="673100"/>
          </a:xfrm>
        </xdr:grpSpPr>
        <xdr:cxnSp macro="">
          <xdr:nvCxnSpPr>
            <xdr:cNvPr id="2778" name="Straight Connector 2777">
              <a:extLst>
                <a:ext uri="{FF2B5EF4-FFF2-40B4-BE49-F238E27FC236}">
                  <a16:creationId xmlns:a16="http://schemas.microsoft.com/office/drawing/2014/main" id="{D1386A64-55B3-0339-F064-50AE75D82B1D}"/>
                </a:ext>
              </a:extLst>
            </xdr:cNvPr>
            <xdr:cNvCxnSpPr/>
          </xdr:nvCxnSpPr>
          <xdr:spPr>
            <a:xfrm>
              <a:off x="2416175" y="109918500"/>
              <a:ext cx="0" cy="67310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2779" name="Straight Connector 2778">
              <a:extLst>
                <a:ext uri="{FF2B5EF4-FFF2-40B4-BE49-F238E27FC236}">
                  <a16:creationId xmlns:a16="http://schemas.microsoft.com/office/drawing/2014/main" id="{E8D29E79-BB01-57DF-C5F3-7B8F913D4EF8}"/>
                </a:ext>
              </a:extLst>
            </xdr:cNvPr>
            <xdr:cNvCxnSpPr/>
          </xdr:nvCxnSpPr>
          <xdr:spPr>
            <a:xfrm flipH="1" flipV="1">
              <a:off x="2355850" y="109943900"/>
              <a:ext cx="57150" cy="5715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2780" name="Straight Connector 2779">
              <a:extLst>
                <a:ext uri="{FF2B5EF4-FFF2-40B4-BE49-F238E27FC236}">
                  <a16:creationId xmlns:a16="http://schemas.microsoft.com/office/drawing/2014/main" id="{019FDFF3-900A-77E3-0B6E-07259C1EA17C}"/>
                </a:ext>
              </a:extLst>
            </xdr:cNvPr>
            <xdr:cNvCxnSpPr/>
          </xdr:nvCxnSpPr>
          <xdr:spPr>
            <a:xfrm flipV="1">
              <a:off x="2416175" y="109943900"/>
              <a:ext cx="57150" cy="5715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grpSp>
      <xdr:cxnSp macro="">
        <xdr:nvCxnSpPr>
          <xdr:cNvPr id="2773" name="Straight Connector 2772">
            <a:extLst>
              <a:ext uri="{FF2B5EF4-FFF2-40B4-BE49-F238E27FC236}">
                <a16:creationId xmlns:a16="http://schemas.microsoft.com/office/drawing/2014/main" id="{AA9F82EE-894E-DA55-0A9E-FD9E69099544}"/>
              </a:ext>
            </a:extLst>
          </xdr:cNvPr>
          <xdr:cNvCxnSpPr/>
        </xdr:nvCxnSpPr>
        <xdr:spPr>
          <a:xfrm>
            <a:off x="9696450" y="5857875"/>
            <a:ext cx="288925" cy="314325"/>
          </a:xfrm>
          <a:prstGeom prst="line">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774" name="TextBox 2773">
            <a:extLst>
              <a:ext uri="{FF2B5EF4-FFF2-40B4-BE49-F238E27FC236}">
                <a16:creationId xmlns:a16="http://schemas.microsoft.com/office/drawing/2014/main" id="{079CC11A-3149-B164-4209-1BF954292F29}"/>
              </a:ext>
            </a:extLst>
          </xdr:cNvPr>
          <xdr:cNvSpPr txBox="1"/>
        </xdr:nvSpPr>
        <xdr:spPr>
          <a:xfrm>
            <a:off x="9626599" y="6061075"/>
            <a:ext cx="974726" cy="298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lang="tr-TR" sz="800" kern="1200">
                <a:latin typeface="Arial" panose="020B0604020202020204" pitchFamily="34" charset="0"/>
                <a:cs typeface="Arial" panose="020B0604020202020204" pitchFamily="34" charset="0"/>
              </a:rPr>
              <a:t>kayma kaması</a:t>
            </a:r>
          </a:p>
        </xdr:txBody>
      </xdr:sp>
      <xdr:cxnSp macro="">
        <xdr:nvCxnSpPr>
          <xdr:cNvPr id="2775" name="Straight Connector 2774">
            <a:extLst>
              <a:ext uri="{FF2B5EF4-FFF2-40B4-BE49-F238E27FC236}">
                <a16:creationId xmlns:a16="http://schemas.microsoft.com/office/drawing/2014/main" id="{8D11DF33-1E56-CBBA-697B-C04403A50E5C}"/>
              </a:ext>
            </a:extLst>
          </xdr:cNvPr>
          <xdr:cNvCxnSpPr/>
        </xdr:nvCxnSpPr>
        <xdr:spPr>
          <a:xfrm>
            <a:off x="9264650" y="4667250"/>
            <a:ext cx="996950" cy="0"/>
          </a:xfrm>
          <a:prstGeom prst="line">
            <a:avLst/>
          </a:prstGeom>
          <a:ln w="1270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2776" name="TextBox 2775">
            <a:extLst>
              <a:ext uri="{FF2B5EF4-FFF2-40B4-BE49-F238E27FC236}">
                <a16:creationId xmlns:a16="http://schemas.microsoft.com/office/drawing/2014/main" id="{DDA49919-96F0-F9DA-9294-F9DC03A7827D}"/>
              </a:ext>
            </a:extLst>
          </xdr:cNvPr>
          <xdr:cNvSpPr txBox="1"/>
        </xdr:nvSpPr>
        <xdr:spPr>
          <a:xfrm>
            <a:off x="10506076" y="5248275"/>
            <a:ext cx="1365250" cy="298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lang="tr-TR" sz="800" kern="1200">
                <a:latin typeface="Arial" panose="020B0604020202020204" pitchFamily="34" charset="0"/>
                <a:cs typeface="Arial" panose="020B0604020202020204" pitchFamily="34" charset="0"/>
              </a:rPr>
              <a:t>kolon ayağı nervür </a:t>
            </a:r>
          </a:p>
        </xdr:txBody>
      </xdr:sp>
      <xdr:cxnSp macro="">
        <xdr:nvCxnSpPr>
          <xdr:cNvPr id="2777" name="Straight Connector 2776">
            <a:extLst>
              <a:ext uri="{FF2B5EF4-FFF2-40B4-BE49-F238E27FC236}">
                <a16:creationId xmlns:a16="http://schemas.microsoft.com/office/drawing/2014/main" id="{2E627E8E-0E20-0845-B87A-8BB053C63EF5}"/>
              </a:ext>
            </a:extLst>
          </xdr:cNvPr>
          <xdr:cNvCxnSpPr/>
        </xdr:nvCxnSpPr>
        <xdr:spPr>
          <a:xfrm>
            <a:off x="10334625" y="5334000"/>
            <a:ext cx="381000" cy="57150"/>
          </a:xfrm>
          <a:prstGeom prst="line">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xdr:col>
      <xdr:colOff>95250</xdr:colOff>
      <xdr:row>192</xdr:row>
      <xdr:rowOff>76201</xdr:rowOff>
    </xdr:from>
    <xdr:to>
      <xdr:col>32</xdr:col>
      <xdr:colOff>0</xdr:colOff>
      <xdr:row>209</xdr:row>
      <xdr:rowOff>61913</xdr:rowOff>
    </xdr:to>
    <xdr:grpSp>
      <xdr:nvGrpSpPr>
        <xdr:cNvPr id="2791" name="Group 2790">
          <a:extLst>
            <a:ext uri="{FF2B5EF4-FFF2-40B4-BE49-F238E27FC236}">
              <a16:creationId xmlns:a16="http://schemas.microsoft.com/office/drawing/2014/main" id="{9E3A1104-36BC-4DD9-85A3-F725FB743837}"/>
            </a:ext>
          </a:extLst>
        </xdr:cNvPr>
        <xdr:cNvGrpSpPr/>
      </xdr:nvGrpSpPr>
      <xdr:grpSpPr>
        <a:xfrm>
          <a:off x="419100" y="28365451"/>
          <a:ext cx="4762500" cy="2414587"/>
          <a:chOff x="419100" y="1028701"/>
          <a:chExt cx="4762500" cy="2414587"/>
        </a:xfrm>
      </xdr:grpSpPr>
      <xdr:sp macro="" textlink="">
        <xdr:nvSpPr>
          <xdr:cNvPr id="2792" name="Rectangle 2791">
            <a:extLst>
              <a:ext uri="{FF2B5EF4-FFF2-40B4-BE49-F238E27FC236}">
                <a16:creationId xmlns:a16="http://schemas.microsoft.com/office/drawing/2014/main" id="{CF8C82CE-2B60-B03F-51A4-A43431C4B890}"/>
              </a:ext>
            </a:extLst>
          </xdr:cNvPr>
          <xdr:cNvSpPr/>
        </xdr:nvSpPr>
        <xdr:spPr>
          <a:xfrm>
            <a:off x="971551" y="2819401"/>
            <a:ext cx="323849" cy="95250"/>
          </a:xfrm>
          <a:prstGeom prst="rect">
            <a:avLst/>
          </a:prstGeom>
          <a:pattFill prst="ltUpDiag">
            <a:fgClr>
              <a:schemeClr val="tx1"/>
            </a:fgClr>
            <a:bgClr>
              <a:schemeClr val="bg1"/>
            </a:bgClr>
          </a:patt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kern="1200"/>
          </a:p>
        </xdr:txBody>
      </xdr:sp>
      <xdr:sp macro="" textlink="">
        <xdr:nvSpPr>
          <xdr:cNvPr id="2793" name="Freeform: Shape 2792">
            <a:extLst>
              <a:ext uri="{FF2B5EF4-FFF2-40B4-BE49-F238E27FC236}">
                <a16:creationId xmlns:a16="http://schemas.microsoft.com/office/drawing/2014/main" id="{2D469B7F-7D28-8FA8-E4E8-572539692372}"/>
              </a:ext>
            </a:extLst>
          </xdr:cNvPr>
          <xdr:cNvSpPr/>
        </xdr:nvSpPr>
        <xdr:spPr>
          <a:xfrm>
            <a:off x="1133475" y="1095375"/>
            <a:ext cx="3890963" cy="1724025"/>
          </a:xfrm>
          <a:custGeom>
            <a:avLst/>
            <a:gdLst>
              <a:gd name="connsiteX0" fmla="*/ 0 w 3890963"/>
              <a:gd name="connsiteY0" fmla="*/ 1709738 h 1724025"/>
              <a:gd name="connsiteX1" fmla="*/ 0 w 3890963"/>
              <a:gd name="connsiteY1" fmla="*/ 571500 h 1724025"/>
              <a:gd name="connsiteX2" fmla="*/ 1947863 w 3890963"/>
              <a:gd name="connsiteY2" fmla="*/ 0 h 1724025"/>
              <a:gd name="connsiteX3" fmla="*/ 3890963 w 3890963"/>
              <a:gd name="connsiteY3" fmla="*/ 576263 h 1724025"/>
              <a:gd name="connsiteX4" fmla="*/ 3890963 w 3890963"/>
              <a:gd name="connsiteY4" fmla="*/ 1724025 h 172402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890963" h="1724025">
                <a:moveTo>
                  <a:pt x="0" y="1709738"/>
                </a:moveTo>
                <a:lnTo>
                  <a:pt x="0" y="571500"/>
                </a:lnTo>
                <a:lnTo>
                  <a:pt x="1947863" y="0"/>
                </a:lnTo>
                <a:lnTo>
                  <a:pt x="3890963" y="576263"/>
                </a:lnTo>
                <a:lnTo>
                  <a:pt x="3890963" y="1724025"/>
                </a:lnTo>
              </a:path>
            </a:pathLst>
          </a:custGeom>
          <a:no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kern="1200"/>
          </a:p>
        </xdr:txBody>
      </xdr:sp>
      <xdr:cxnSp macro="">
        <xdr:nvCxnSpPr>
          <xdr:cNvPr id="2794" name="Straight Connector 2793">
            <a:extLst>
              <a:ext uri="{FF2B5EF4-FFF2-40B4-BE49-F238E27FC236}">
                <a16:creationId xmlns:a16="http://schemas.microsoft.com/office/drawing/2014/main" id="{A4773A5B-81E5-B28B-72BA-78A434777438}"/>
              </a:ext>
            </a:extLst>
          </xdr:cNvPr>
          <xdr:cNvCxnSpPr/>
        </xdr:nvCxnSpPr>
        <xdr:spPr>
          <a:xfrm>
            <a:off x="966788" y="2809875"/>
            <a:ext cx="328612"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2795" name="Rectangle 2794">
            <a:extLst>
              <a:ext uri="{FF2B5EF4-FFF2-40B4-BE49-F238E27FC236}">
                <a16:creationId xmlns:a16="http://schemas.microsoft.com/office/drawing/2014/main" id="{4105FAB4-B9D9-9BF2-492E-6860C77E046B}"/>
              </a:ext>
            </a:extLst>
          </xdr:cNvPr>
          <xdr:cNvSpPr/>
        </xdr:nvSpPr>
        <xdr:spPr>
          <a:xfrm>
            <a:off x="4857751" y="2819401"/>
            <a:ext cx="323849" cy="95250"/>
          </a:xfrm>
          <a:prstGeom prst="rect">
            <a:avLst/>
          </a:prstGeom>
          <a:pattFill prst="ltUpDiag">
            <a:fgClr>
              <a:schemeClr val="tx1"/>
            </a:fgClr>
            <a:bgClr>
              <a:schemeClr val="bg1"/>
            </a:bgClr>
          </a:patt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kern="1200"/>
          </a:p>
        </xdr:txBody>
      </xdr:sp>
      <xdr:cxnSp macro="">
        <xdr:nvCxnSpPr>
          <xdr:cNvPr id="2796" name="Straight Connector 2795">
            <a:extLst>
              <a:ext uri="{FF2B5EF4-FFF2-40B4-BE49-F238E27FC236}">
                <a16:creationId xmlns:a16="http://schemas.microsoft.com/office/drawing/2014/main" id="{7C18BC6A-2D69-355D-8D3D-A89072EF0B98}"/>
              </a:ext>
            </a:extLst>
          </xdr:cNvPr>
          <xdr:cNvCxnSpPr/>
        </xdr:nvCxnSpPr>
        <xdr:spPr>
          <a:xfrm>
            <a:off x="4852988" y="2809875"/>
            <a:ext cx="328612"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797" name="Straight Connector 2796">
            <a:extLst>
              <a:ext uri="{FF2B5EF4-FFF2-40B4-BE49-F238E27FC236}">
                <a16:creationId xmlns:a16="http://schemas.microsoft.com/office/drawing/2014/main" id="{323ED9E6-2E7C-5772-CA79-12192B751812}"/>
              </a:ext>
            </a:extLst>
          </xdr:cNvPr>
          <xdr:cNvCxnSpPr/>
        </xdr:nvCxnSpPr>
        <xdr:spPr>
          <a:xfrm flipH="1">
            <a:off x="419101" y="2809875"/>
            <a:ext cx="495300"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798" name="Straight Connector 2797">
            <a:extLst>
              <a:ext uri="{FF2B5EF4-FFF2-40B4-BE49-F238E27FC236}">
                <a16:creationId xmlns:a16="http://schemas.microsoft.com/office/drawing/2014/main" id="{9BC989E6-D3BB-890B-0EB7-C873C8217CC6}"/>
              </a:ext>
            </a:extLst>
          </xdr:cNvPr>
          <xdr:cNvCxnSpPr/>
        </xdr:nvCxnSpPr>
        <xdr:spPr>
          <a:xfrm flipV="1">
            <a:off x="809625" y="1028701"/>
            <a:ext cx="0" cy="183356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799" name="Straight Connector 2798">
            <a:extLst>
              <a:ext uri="{FF2B5EF4-FFF2-40B4-BE49-F238E27FC236}">
                <a16:creationId xmlns:a16="http://schemas.microsoft.com/office/drawing/2014/main" id="{C485379F-3D19-41B0-5DB6-3D765DBF6D32}"/>
              </a:ext>
            </a:extLst>
          </xdr:cNvPr>
          <xdr:cNvCxnSpPr/>
        </xdr:nvCxnSpPr>
        <xdr:spPr>
          <a:xfrm>
            <a:off x="419100" y="1095375"/>
            <a:ext cx="2533652"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800" name="Straight Connector 2799">
            <a:extLst>
              <a:ext uri="{FF2B5EF4-FFF2-40B4-BE49-F238E27FC236}">
                <a16:creationId xmlns:a16="http://schemas.microsoft.com/office/drawing/2014/main" id="{CD3E0C54-815E-8648-C522-7EDA19D5135E}"/>
              </a:ext>
            </a:extLst>
          </xdr:cNvPr>
          <xdr:cNvCxnSpPr/>
        </xdr:nvCxnSpPr>
        <xdr:spPr>
          <a:xfrm flipH="1">
            <a:off x="776288" y="1062036"/>
            <a:ext cx="66675" cy="666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801" name="Straight Connector 2800">
            <a:extLst>
              <a:ext uri="{FF2B5EF4-FFF2-40B4-BE49-F238E27FC236}">
                <a16:creationId xmlns:a16="http://schemas.microsoft.com/office/drawing/2014/main" id="{4079520B-EE3C-7070-B31E-A06320D5BEF1}"/>
              </a:ext>
            </a:extLst>
          </xdr:cNvPr>
          <xdr:cNvCxnSpPr/>
        </xdr:nvCxnSpPr>
        <xdr:spPr>
          <a:xfrm flipH="1">
            <a:off x="776289" y="2776541"/>
            <a:ext cx="66675" cy="666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802" name="Straight Connector 2801">
            <a:extLst>
              <a:ext uri="{FF2B5EF4-FFF2-40B4-BE49-F238E27FC236}">
                <a16:creationId xmlns:a16="http://schemas.microsoft.com/office/drawing/2014/main" id="{5FF9B9C0-EEEB-D7A7-78AE-72FB96F81902}"/>
              </a:ext>
            </a:extLst>
          </xdr:cNvPr>
          <xdr:cNvCxnSpPr/>
        </xdr:nvCxnSpPr>
        <xdr:spPr>
          <a:xfrm>
            <a:off x="742951" y="1666876"/>
            <a:ext cx="328613"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803" name="Straight Connector 2802">
            <a:extLst>
              <a:ext uri="{FF2B5EF4-FFF2-40B4-BE49-F238E27FC236}">
                <a16:creationId xmlns:a16="http://schemas.microsoft.com/office/drawing/2014/main" id="{018CBC0D-2419-3F46-2CDF-0F6CD56F6707}"/>
              </a:ext>
            </a:extLst>
          </xdr:cNvPr>
          <xdr:cNvCxnSpPr/>
        </xdr:nvCxnSpPr>
        <xdr:spPr>
          <a:xfrm flipH="1">
            <a:off x="776288" y="1633536"/>
            <a:ext cx="66675" cy="666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804" name="Straight Connector 2803">
            <a:extLst>
              <a:ext uri="{FF2B5EF4-FFF2-40B4-BE49-F238E27FC236}">
                <a16:creationId xmlns:a16="http://schemas.microsoft.com/office/drawing/2014/main" id="{95BD7E38-9099-CDD4-D855-954D119536E3}"/>
              </a:ext>
            </a:extLst>
          </xdr:cNvPr>
          <xdr:cNvCxnSpPr/>
        </xdr:nvCxnSpPr>
        <xdr:spPr>
          <a:xfrm flipV="1">
            <a:off x="485771" y="1028702"/>
            <a:ext cx="0" cy="183356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805" name="Straight Connector 2804">
            <a:extLst>
              <a:ext uri="{FF2B5EF4-FFF2-40B4-BE49-F238E27FC236}">
                <a16:creationId xmlns:a16="http://schemas.microsoft.com/office/drawing/2014/main" id="{E9F64F29-BB6A-6E9D-36F2-307641509EDF}"/>
              </a:ext>
            </a:extLst>
          </xdr:cNvPr>
          <xdr:cNvCxnSpPr/>
        </xdr:nvCxnSpPr>
        <xdr:spPr>
          <a:xfrm flipH="1">
            <a:off x="452434" y="1062037"/>
            <a:ext cx="66675" cy="666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806" name="Straight Connector 2805">
            <a:extLst>
              <a:ext uri="{FF2B5EF4-FFF2-40B4-BE49-F238E27FC236}">
                <a16:creationId xmlns:a16="http://schemas.microsoft.com/office/drawing/2014/main" id="{DD2BE4EC-5CD6-0511-9616-71E4101C0972}"/>
              </a:ext>
            </a:extLst>
          </xdr:cNvPr>
          <xdr:cNvCxnSpPr/>
        </xdr:nvCxnSpPr>
        <xdr:spPr>
          <a:xfrm flipH="1">
            <a:off x="452435" y="2776542"/>
            <a:ext cx="66675" cy="666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807" name="Straight Connector 2806">
            <a:extLst>
              <a:ext uri="{FF2B5EF4-FFF2-40B4-BE49-F238E27FC236}">
                <a16:creationId xmlns:a16="http://schemas.microsoft.com/office/drawing/2014/main" id="{C2136063-ED6E-5BD4-6D7C-B2E733780E47}"/>
              </a:ext>
            </a:extLst>
          </xdr:cNvPr>
          <xdr:cNvCxnSpPr/>
        </xdr:nvCxnSpPr>
        <xdr:spPr>
          <a:xfrm>
            <a:off x="1133476" y="2971800"/>
            <a:ext cx="0" cy="47148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808" name="Straight Connector 2807">
            <a:extLst>
              <a:ext uri="{FF2B5EF4-FFF2-40B4-BE49-F238E27FC236}">
                <a16:creationId xmlns:a16="http://schemas.microsoft.com/office/drawing/2014/main" id="{3C0B251A-029A-E26C-5BAB-5276CE957838}"/>
              </a:ext>
            </a:extLst>
          </xdr:cNvPr>
          <xdr:cNvCxnSpPr/>
        </xdr:nvCxnSpPr>
        <xdr:spPr>
          <a:xfrm>
            <a:off x="1066803" y="3095625"/>
            <a:ext cx="4010022"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809" name="Straight Connector 2808">
            <a:extLst>
              <a:ext uri="{FF2B5EF4-FFF2-40B4-BE49-F238E27FC236}">
                <a16:creationId xmlns:a16="http://schemas.microsoft.com/office/drawing/2014/main" id="{728D04A1-B66A-B73B-952C-A7CF36E5BC12}"/>
              </a:ext>
            </a:extLst>
          </xdr:cNvPr>
          <xdr:cNvCxnSpPr/>
        </xdr:nvCxnSpPr>
        <xdr:spPr>
          <a:xfrm flipH="1">
            <a:off x="1100133" y="3062289"/>
            <a:ext cx="66675" cy="666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810" name="Straight Connector 2809">
            <a:extLst>
              <a:ext uri="{FF2B5EF4-FFF2-40B4-BE49-F238E27FC236}">
                <a16:creationId xmlns:a16="http://schemas.microsoft.com/office/drawing/2014/main" id="{58C2A853-6B34-6876-7CB0-34C7BE4BF82D}"/>
              </a:ext>
            </a:extLst>
          </xdr:cNvPr>
          <xdr:cNvCxnSpPr/>
        </xdr:nvCxnSpPr>
        <xdr:spPr>
          <a:xfrm>
            <a:off x="1066803" y="3381375"/>
            <a:ext cx="4000497"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811" name="Straight Connector 2810">
            <a:extLst>
              <a:ext uri="{FF2B5EF4-FFF2-40B4-BE49-F238E27FC236}">
                <a16:creationId xmlns:a16="http://schemas.microsoft.com/office/drawing/2014/main" id="{39613E97-5EB5-7AA8-42F2-FC5E3D42123D}"/>
              </a:ext>
            </a:extLst>
          </xdr:cNvPr>
          <xdr:cNvCxnSpPr/>
        </xdr:nvCxnSpPr>
        <xdr:spPr>
          <a:xfrm flipH="1">
            <a:off x="1100133" y="3348039"/>
            <a:ext cx="66675" cy="666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812" name="Straight Connector 2811">
            <a:extLst>
              <a:ext uri="{FF2B5EF4-FFF2-40B4-BE49-F238E27FC236}">
                <a16:creationId xmlns:a16="http://schemas.microsoft.com/office/drawing/2014/main" id="{F3515934-CC81-C7AE-5F11-4AB4113F04EC}"/>
              </a:ext>
            </a:extLst>
          </xdr:cNvPr>
          <xdr:cNvCxnSpPr/>
        </xdr:nvCxnSpPr>
        <xdr:spPr>
          <a:xfrm>
            <a:off x="5019676" y="2971800"/>
            <a:ext cx="0" cy="47148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813" name="Straight Connector 2812">
            <a:extLst>
              <a:ext uri="{FF2B5EF4-FFF2-40B4-BE49-F238E27FC236}">
                <a16:creationId xmlns:a16="http://schemas.microsoft.com/office/drawing/2014/main" id="{A26A5ED4-09BF-D7E6-92E7-A58FA4257CE1}"/>
              </a:ext>
            </a:extLst>
          </xdr:cNvPr>
          <xdr:cNvCxnSpPr/>
        </xdr:nvCxnSpPr>
        <xdr:spPr>
          <a:xfrm flipH="1">
            <a:off x="4986333" y="3062289"/>
            <a:ext cx="66675" cy="666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814" name="Straight Connector 2813">
            <a:extLst>
              <a:ext uri="{FF2B5EF4-FFF2-40B4-BE49-F238E27FC236}">
                <a16:creationId xmlns:a16="http://schemas.microsoft.com/office/drawing/2014/main" id="{61C742E0-B8D0-6C8B-0284-207B1B83D4A4}"/>
              </a:ext>
            </a:extLst>
          </xdr:cNvPr>
          <xdr:cNvCxnSpPr/>
        </xdr:nvCxnSpPr>
        <xdr:spPr>
          <a:xfrm flipH="1">
            <a:off x="4986333" y="3348039"/>
            <a:ext cx="66675" cy="666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815" name="Straight Connector 2814">
            <a:extLst>
              <a:ext uri="{FF2B5EF4-FFF2-40B4-BE49-F238E27FC236}">
                <a16:creationId xmlns:a16="http://schemas.microsoft.com/office/drawing/2014/main" id="{84AC9C41-458E-AD71-4D59-307B67C9BF20}"/>
              </a:ext>
            </a:extLst>
          </xdr:cNvPr>
          <xdr:cNvCxnSpPr/>
        </xdr:nvCxnSpPr>
        <xdr:spPr>
          <a:xfrm>
            <a:off x="3076586" y="2686047"/>
            <a:ext cx="0" cy="47148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902" name="Straight Connector 1901">
            <a:extLst>
              <a:ext uri="{FF2B5EF4-FFF2-40B4-BE49-F238E27FC236}">
                <a16:creationId xmlns:a16="http://schemas.microsoft.com/office/drawing/2014/main" id="{E450FF2C-A992-374F-8300-FC7CCEC4257F}"/>
              </a:ext>
            </a:extLst>
          </xdr:cNvPr>
          <xdr:cNvCxnSpPr/>
        </xdr:nvCxnSpPr>
        <xdr:spPr>
          <a:xfrm flipH="1">
            <a:off x="3043243" y="3062286"/>
            <a:ext cx="66675" cy="666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903" name="Straight Connector 1902">
            <a:extLst>
              <a:ext uri="{FF2B5EF4-FFF2-40B4-BE49-F238E27FC236}">
                <a16:creationId xmlns:a16="http://schemas.microsoft.com/office/drawing/2014/main" id="{9EB4632A-F738-F483-89FE-1B4BE7B92C76}"/>
              </a:ext>
            </a:extLst>
          </xdr:cNvPr>
          <xdr:cNvCxnSpPr/>
        </xdr:nvCxnSpPr>
        <xdr:spPr>
          <a:xfrm flipV="1">
            <a:off x="1166813" y="1357315"/>
            <a:ext cx="2043118" cy="59944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935" name="Straight Connector 1934">
            <a:extLst>
              <a:ext uri="{FF2B5EF4-FFF2-40B4-BE49-F238E27FC236}">
                <a16:creationId xmlns:a16="http://schemas.microsoft.com/office/drawing/2014/main" id="{8389C293-AAE8-B730-168A-AAEBF5F19634}"/>
              </a:ext>
            </a:extLst>
          </xdr:cNvPr>
          <xdr:cNvCxnSpPr/>
        </xdr:nvCxnSpPr>
        <xdr:spPr>
          <a:xfrm flipH="1" flipV="1">
            <a:off x="3084899" y="1126295"/>
            <a:ext cx="88049" cy="30706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946" name="Straight Connector 1945">
            <a:extLst>
              <a:ext uri="{FF2B5EF4-FFF2-40B4-BE49-F238E27FC236}">
                <a16:creationId xmlns:a16="http://schemas.microsoft.com/office/drawing/2014/main" id="{F1542CEE-F16F-9B24-61C9-858430B5DDAE}"/>
              </a:ext>
            </a:extLst>
          </xdr:cNvPr>
          <xdr:cNvCxnSpPr/>
        </xdr:nvCxnSpPr>
        <xdr:spPr>
          <a:xfrm flipH="1">
            <a:off x="3138485" y="1338259"/>
            <a:ext cx="38102" cy="7620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947" name="Straight Connector 1946">
            <a:extLst>
              <a:ext uri="{FF2B5EF4-FFF2-40B4-BE49-F238E27FC236}">
                <a16:creationId xmlns:a16="http://schemas.microsoft.com/office/drawing/2014/main" id="{DDD09615-3277-A416-34F9-A614289F6A23}"/>
              </a:ext>
            </a:extLst>
          </xdr:cNvPr>
          <xdr:cNvCxnSpPr/>
        </xdr:nvCxnSpPr>
        <xdr:spPr>
          <a:xfrm flipH="1" flipV="1">
            <a:off x="1151324" y="1693035"/>
            <a:ext cx="88049" cy="30706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949" name="Straight Connector 1948">
            <a:extLst>
              <a:ext uri="{FF2B5EF4-FFF2-40B4-BE49-F238E27FC236}">
                <a16:creationId xmlns:a16="http://schemas.microsoft.com/office/drawing/2014/main" id="{79822113-68A5-DC23-7487-BC6326A284CE}"/>
              </a:ext>
            </a:extLst>
          </xdr:cNvPr>
          <xdr:cNvCxnSpPr/>
        </xdr:nvCxnSpPr>
        <xdr:spPr>
          <a:xfrm flipH="1">
            <a:off x="1204910" y="1904999"/>
            <a:ext cx="38102" cy="7620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952" name="Straight Connector 1951">
            <a:extLst>
              <a:ext uri="{FF2B5EF4-FFF2-40B4-BE49-F238E27FC236}">
                <a16:creationId xmlns:a16="http://schemas.microsoft.com/office/drawing/2014/main" id="{627C1433-D301-5493-2AEE-70E8F17E2D23}"/>
              </a:ext>
            </a:extLst>
          </xdr:cNvPr>
          <xdr:cNvCxnSpPr/>
        </xdr:nvCxnSpPr>
        <xdr:spPr>
          <a:xfrm>
            <a:off x="4681539" y="1666876"/>
            <a:ext cx="280988" cy="0"/>
          </a:xfrm>
          <a:prstGeom prst="line">
            <a:avLst/>
          </a:prstGeom>
        </xdr:spPr>
        <xdr:style>
          <a:lnRef idx="1">
            <a:schemeClr val="accent1"/>
          </a:lnRef>
          <a:fillRef idx="0">
            <a:schemeClr val="accent1"/>
          </a:fillRef>
          <a:effectRef idx="0">
            <a:schemeClr val="accent1"/>
          </a:effectRef>
          <a:fontRef idx="minor">
            <a:schemeClr val="tx1"/>
          </a:fontRef>
        </xdr:style>
      </xdr:cxnSp>
      <xdr:sp macro="" textlink="">
        <xdr:nvSpPr>
          <xdr:cNvPr id="1954" name="Arc 1953">
            <a:extLst>
              <a:ext uri="{FF2B5EF4-FFF2-40B4-BE49-F238E27FC236}">
                <a16:creationId xmlns:a16="http://schemas.microsoft.com/office/drawing/2014/main" id="{946567A2-8C95-F465-AFF6-222CCE962AB9}"/>
              </a:ext>
            </a:extLst>
          </xdr:cNvPr>
          <xdr:cNvSpPr/>
        </xdr:nvSpPr>
        <xdr:spPr>
          <a:xfrm rot="13320143">
            <a:off x="4724399" y="1547812"/>
            <a:ext cx="161926" cy="161926"/>
          </a:xfrm>
          <a:prstGeom prst="arc">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tr-TR" sz="1100" kern="1200"/>
          </a:p>
        </xdr:txBody>
      </xdr:sp>
    </xdr:grpSp>
    <xdr:clientData/>
  </xdr:twoCellAnchor>
  <xdr:twoCellAnchor>
    <xdr:from>
      <xdr:col>2</xdr:col>
      <xdr:colOff>95250</xdr:colOff>
      <xdr:row>252</xdr:row>
      <xdr:rowOff>123825</xdr:rowOff>
    </xdr:from>
    <xdr:to>
      <xdr:col>34</xdr:col>
      <xdr:colOff>57148</xdr:colOff>
      <xdr:row>271</xdr:row>
      <xdr:rowOff>69850</xdr:rowOff>
    </xdr:to>
    <xdr:grpSp>
      <xdr:nvGrpSpPr>
        <xdr:cNvPr id="1955" name="Group 1954">
          <a:extLst>
            <a:ext uri="{FF2B5EF4-FFF2-40B4-BE49-F238E27FC236}">
              <a16:creationId xmlns:a16="http://schemas.microsoft.com/office/drawing/2014/main" id="{5283CF1B-6555-4382-A4EE-F645305CFB41}"/>
            </a:ext>
          </a:extLst>
        </xdr:cNvPr>
        <xdr:cNvGrpSpPr/>
      </xdr:nvGrpSpPr>
      <xdr:grpSpPr>
        <a:xfrm>
          <a:off x="419100" y="36985575"/>
          <a:ext cx="5143498" cy="2660650"/>
          <a:chOff x="419100" y="9648825"/>
          <a:chExt cx="5143498" cy="2660650"/>
        </a:xfrm>
      </xdr:grpSpPr>
      <xdr:sp macro="" textlink="">
        <xdr:nvSpPr>
          <xdr:cNvPr id="1956" name="Freeform: Shape 1955">
            <a:extLst>
              <a:ext uri="{FF2B5EF4-FFF2-40B4-BE49-F238E27FC236}">
                <a16:creationId xmlns:a16="http://schemas.microsoft.com/office/drawing/2014/main" id="{27D62FD7-738E-5383-6435-170970A0CA33}"/>
              </a:ext>
            </a:extLst>
          </xdr:cNvPr>
          <xdr:cNvSpPr/>
        </xdr:nvSpPr>
        <xdr:spPr>
          <a:xfrm>
            <a:off x="1133475" y="9950450"/>
            <a:ext cx="3889375" cy="1717675"/>
          </a:xfrm>
          <a:custGeom>
            <a:avLst/>
            <a:gdLst>
              <a:gd name="connsiteX0" fmla="*/ 0 w 3892550"/>
              <a:gd name="connsiteY0" fmla="*/ 574675 h 1717675"/>
              <a:gd name="connsiteX1" fmla="*/ 0 w 3892550"/>
              <a:gd name="connsiteY1" fmla="*/ 1717675 h 1717675"/>
              <a:gd name="connsiteX2" fmla="*/ 3892550 w 3892550"/>
              <a:gd name="connsiteY2" fmla="*/ 1717675 h 1717675"/>
              <a:gd name="connsiteX3" fmla="*/ 3892550 w 3892550"/>
              <a:gd name="connsiteY3" fmla="*/ 577850 h 1717675"/>
              <a:gd name="connsiteX4" fmla="*/ 1946275 w 3892550"/>
              <a:gd name="connsiteY4" fmla="*/ 0 h 1717675"/>
              <a:gd name="connsiteX5" fmla="*/ 0 w 3892550"/>
              <a:gd name="connsiteY5" fmla="*/ 574675 h 171767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3892550" h="1717675">
                <a:moveTo>
                  <a:pt x="0" y="574675"/>
                </a:moveTo>
                <a:lnTo>
                  <a:pt x="0" y="1717675"/>
                </a:lnTo>
                <a:lnTo>
                  <a:pt x="3892550" y="1717675"/>
                </a:lnTo>
                <a:lnTo>
                  <a:pt x="3892550" y="577850"/>
                </a:lnTo>
                <a:lnTo>
                  <a:pt x="1946275" y="0"/>
                </a:lnTo>
                <a:lnTo>
                  <a:pt x="0" y="574675"/>
                </a:lnTo>
                <a:close/>
              </a:path>
            </a:pathLst>
          </a:cu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kern="1200"/>
          </a:p>
        </xdr:txBody>
      </xdr:sp>
      <xdr:sp macro="" textlink="">
        <xdr:nvSpPr>
          <xdr:cNvPr id="1958" name="Rectangle 1957">
            <a:extLst>
              <a:ext uri="{FF2B5EF4-FFF2-40B4-BE49-F238E27FC236}">
                <a16:creationId xmlns:a16="http://schemas.microsoft.com/office/drawing/2014/main" id="{170BDF21-D796-E885-EF0A-ABDEB324F91F}"/>
              </a:ext>
            </a:extLst>
          </xdr:cNvPr>
          <xdr:cNvSpPr/>
        </xdr:nvSpPr>
        <xdr:spPr>
          <a:xfrm>
            <a:off x="971551" y="11677651"/>
            <a:ext cx="323849" cy="95250"/>
          </a:xfrm>
          <a:prstGeom prst="rect">
            <a:avLst/>
          </a:prstGeom>
          <a:pattFill prst="ltUpDiag">
            <a:fgClr>
              <a:schemeClr val="tx1"/>
            </a:fgClr>
            <a:bgClr>
              <a:schemeClr val="bg1"/>
            </a:bgClr>
          </a:patt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kern="1200"/>
          </a:p>
        </xdr:txBody>
      </xdr:sp>
      <xdr:cxnSp macro="">
        <xdr:nvCxnSpPr>
          <xdr:cNvPr id="1961" name="Straight Connector 1960">
            <a:extLst>
              <a:ext uri="{FF2B5EF4-FFF2-40B4-BE49-F238E27FC236}">
                <a16:creationId xmlns:a16="http://schemas.microsoft.com/office/drawing/2014/main" id="{E28CD275-E1A7-1383-7145-D8583FDF71F0}"/>
              </a:ext>
            </a:extLst>
          </xdr:cNvPr>
          <xdr:cNvCxnSpPr/>
        </xdr:nvCxnSpPr>
        <xdr:spPr>
          <a:xfrm>
            <a:off x="966788" y="11668125"/>
            <a:ext cx="328612"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964" name="Rectangle 1963">
            <a:extLst>
              <a:ext uri="{FF2B5EF4-FFF2-40B4-BE49-F238E27FC236}">
                <a16:creationId xmlns:a16="http://schemas.microsoft.com/office/drawing/2014/main" id="{F366CA71-3AC9-0C14-ED6D-721B09D3EB0E}"/>
              </a:ext>
            </a:extLst>
          </xdr:cNvPr>
          <xdr:cNvSpPr/>
        </xdr:nvSpPr>
        <xdr:spPr>
          <a:xfrm>
            <a:off x="4857751" y="11677651"/>
            <a:ext cx="323849" cy="95250"/>
          </a:xfrm>
          <a:prstGeom prst="rect">
            <a:avLst/>
          </a:prstGeom>
          <a:pattFill prst="ltUpDiag">
            <a:fgClr>
              <a:schemeClr val="tx1"/>
            </a:fgClr>
            <a:bgClr>
              <a:schemeClr val="bg1"/>
            </a:bgClr>
          </a:patt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kern="1200"/>
          </a:p>
        </xdr:txBody>
      </xdr:sp>
      <xdr:cxnSp macro="">
        <xdr:nvCxnSpPr>
          <xdr:cNvPr id="1967" name="Straight Connector 1966">
            <a:extLst>
              <a:ext uri="{FF2B5EF4-FFF2-40B4-BE49-F238E27FC236}">
                <a16:creationId xmlns:a16="http://schemas.microsoft.com/office/drawing/2014/main" id="{31A14618-B1A6-3203-0F78-B81E63A11D6E}"/>
              </a:ext>
            </a:extLst>
          </xdr:cNvPr>
          <xdr:cNvCxnSpPr/>
        </xdr:nvCxnSpPr>
        <xdr:spPr>
          <a:xfrm>
            <a:off x="4852988" y="11668125"/>
            <a:ext cx="328612"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969" name="Straight Connector 1968">
            <a:extLst>
              <a:ext uri="{FF2B5EF4-FFF2-40B4-BE49-F238E27FC236}">
                <a16:creationId xmlns:a16="http://schemas.microsoft.com/office/drawing/2014/main" id="{C9DAAE9E-516F-4264-6362-4794330E1BFC}"/>
              </a:ext>
            </a:extLst>
          </xdr:cNvPr>
          <xdr:cNvCxnSpPr/>
        </xdr:nvCxnSpPr>
        <xdr:spPr>
          <a:xfrm flipV="1">
            <a:off x="2428876" y="10139363"/>
            <a:ext cx="0" cy="1533525"/>
          </a:xfrm>
          <a:prstGeom prst="line">
            <a:avLst/>
          </a:prstGeom>
          <a:noFill/>
          <a:ln w="6350"/>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1970" name="Straight Connector 1969">
            <a:extLst>
              <a:ext uri="{FF2B5EF4-FFF2-40B4-BE49-F238E27FC236}">
                <a16:creationId xmlns:a16="http://schemas.microsoft.com/office/drawing/2014/main" id="{201EF769-3CA9-8040-290A-27BD20DBFAD7}"/>
              </a:ext>
            </a:extLst>
          </xdr:cNvPr>
          <xdr:cNvCxnSpPr/>
        </xdr:nvCxnSpPr>
        <xdr:spPr>
          <a:xfrm flipV="1">
            <a:off x="3724275" y="10144125"/>
            <a:ext cx="0" cy="1524000"/>
          </a:xfrm>
          <a:prstGeom prst="line">
            <a:avLst/>
          </a:prstGeom>
          <a:noFill/>
          <a:ln w="6350"/>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1971" name="Straight Connector 1970">
            <a:extLst>
              <a:ext uri="{FF2B5EF4-FFF2-40B4-BE49-F238E27FC236}">
                <a16:creationId xmlns:a16="http://schemas.microsoft.com/office/drawing/2014/main" id="{89F6AF30-A27A-6FA2-BDF3-612DAAEB53A7}"/>
              </a:ext>
            </a:extLst>
          </xdr:cNvPr>
          <xdr:cNvCxnSpPr/>
        </xdr:nvCxnSpPr>
        <xdr:spPr>
          <a:xfrm>
            <a:off x="1133475" y="10887082"/>
            <a:ext cx="400050" cy="0"/>
          </a:xfrm>
          <a:prstGeom prst="line">
            <a:avLst/>
          </a:prstGeom>
          <a:noFill/>
          <a:ln w="6350"/>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1998" name="Straight Connector 1997">
            <a:extLst>
              <a:ext uri="{FF2B5EF4-FFF2-40B4-BE49-F238E27FC236}">
                <a16:creationId xmlns:a16="http://schemas.microsoft.com/office/drawing/2014/main" id="{D0917CBF-56ED-3131-42B6-F63C992347D6}"/>
              </a:ext>
            </a:extLst>
          </xdr:cNvPr>
          <xdr:cNvCxnSpPr/>
        </xdr:nvCxnSpPr>
        <xdr:spPr>
          <a:xfrm>
            <a:off x="1133470" y="11291897"/>
            <a:ext cx="404818" cy="0"/>
          </a:xfrm>
          <a:prstGeom prst="line">
            <a:avLst/>
          </a:prstGeom>
          <a:noFill/>
          <a:ln w="6350"/>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2010" name="Straight Connector 2009">
            <a:extLst>
              <a:ext uri="{FF2B5EF4-FFF2-40B4-BE49-F238E27FC236}">
                <a16:creationId xmlns:a16="http://schemas.microsoft.com/office/drawing/2014/main" id="{04982128-8A7D-42AF-5FA3-5537B2CCEEC6}"/>
              </a:ext>
            </a:extLst>
          </xdr:cNvPr>
          <xdr:cNvCxnSpPr/>
        </xdr:nvCxnSpPr>
        <xdr:spPr>
          <a:xfrm>
            <a:off x="1133474" y="10525125"/>
            <a:ext cx="400051" cy="0"/>
          </a:xfrm>
          <a:prstGeom prst="line">
            <a:avLst/>
          </a:prstGeom>
          <a:noFill/>
          <a:ln w="6350"/>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2013" name="Straight Connector 2012">
            <a:extLst>
              <a:ext uri="{FF2B5EF4-FFF2-40B4-BE49-F238E27FC236}">
                <a16:creationId xmlns:a16="http://schemas.microsoft.com/office/drawing/2014/main" id="{C7CB9AAE-EAE2-6518-A9A5-14EA261D14FC}"/>
              </a:ext>
            </a:extLst>
          </xdr:cNvPr>
          <xdr:cNvCxnSpPr/>
        </xdr:nvCxnSpPr>
        <xdr:spPr>
          <a:xfrm flipV="1">
            <a:off x="1543040" y="10406063"/>
            <a:ext cx="0" cy="1262065"/>
          </a:xfrm>
          <a:prstGeom prst="line">
            <a:avLst/>
          </a:prstGeom>
          <a:noFill/>
          <a:ln w="6350"/>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2016" name="Straight Connector 2015">
            <a:extLst>
              <a:ext uri="{FF2B5EF4-FFF2-40B4-BE49-F238E27FC236}">
                <a16:creationId xmlns:a16="http://schemas.microsoft.com/office/drawing/2014/main" id="{A1780C6E-7C80-A57F-22A1-D4E4D6015D49}"/>
              </a:ext>
            </a:extLst>
          </xdr:cNvPr>
          <xdr:cNvCxnSpPr/>
        </xdr:nvCxnSpPr>
        <xdr:spPr>
          <a:xfrm flipV="1">
            <a:off x="2014535" y="10272713"/>
            <a:ext cx="0" cy="1395415"/>
          </a:xfrm>
          <a:prstGeom prst="line">
            <a:avLst/>
          </a:prstGeom>
          <a:noFill/>
          <a:ln w="6350"/>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2022" name="Straight Connector 2021">
            <a:extLst>
              <a:ext uri="{FF2B5EF4-FFF2-40B4-BE49-F238E27FC236}">
                <a16:creationId xmlns:a16="http://schemas.microsoft.com/office/drawing/2014/main" id="{35642E82-41FA-9331-49AB-284B8904745B}"/>
              </a:ext>
            </a:extLst>
          </xdr:cNvPr>
          <xdr:cNvCxnSpPr/>
        </xdr:nvCxnSpPr>
        <xdr:spPr>
          <a:xfrm flipV="1">
            <a:off x="4610100" y="10406062"/>
            <a:ext cx="0" cy="1262065"/>
          </a:xfrm>
          <a:prstGeom prst="line">
            <a:avLst/>
          </a:prstGeom>
          <a:noFill/>
          <a:ln w="6350"/>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2031" name="Straight Connector 2030">
            <a:extLst>
              <a:ext uri="{FF2B5EF4-FFF2-40B4-BE49-F238E27FC236}">
                <a16:creationId xmlns:a16="http://schemas.microsoft.com/office/drawing/2014/main" id="{3BFF7D91-EF8D-B43A-3800-D6DA8B7ACD17}"/>
              </a:ext>
            </a:extLst>
          </xdr:cNvPr>
          <xdr:cNvCxnSpPr/>
        </xdr:nvCxnSpPr>
        <xdr:spPr>
          <a:xfrm flipV="1">
            <a:off x="4152908" y="10272713"/>
            <a:ext cx="0" cy="1395415"/>
          </a:xfrm>
          <a:prstGeom prst="line">
            <a:avLst/>
          </a:prstGeom>
          <a:noFill/>
          <a:ln w="6350"/>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2034" name="Straight Connector 2033">
            <a:extLst>
              <a:ext uri="{FF2B5EF4-FFF2-40B4-BE49-F238E27FC236}">
                <a16:creationId xmlns:a16="http://schemas.microsoft.com/office/drawing/2014/main" id="{466C2ACF-9379-3C05-F53A-9C1AB23F2610}"/>
              </a:ext>
            </a:extLst>
          </xdr:cNvPr>
          <xdr:cNvCxnSpPr/>
        </xdr:nvCxnSpPr>
        <xdr:spPr>
          <a:xfrm flipV="1">
            <a:off x="3076575" y="9953624"/>
            <a:ext cx="0" cy="852489"/>
          </a:xfrm>
          <a:prstGeom prst="line">
            <a:avLst/>
          </a:prstGeom>
          <a:noFill/>
          <a:ln w="6350"/>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2040" name="Straight Connector 2039">
            <a:extLst>
              <a:ext uri="{FF2B5EF4-FFF2-40B4-BE49-F238E27FC236}">
                <a16:creationId xmlns:a16="http://schemas.microsoft.com/office/drawing/2014/main" id="{E04DE21B-CBE4-A0F0-DC92-308618A0B1F3}"/>
              </a:ext>
            </a:extLst>
          </xdr:cNvPr>
          <xdr:cNvCxnSpPr/>
        </xdr:nvCxnSpPr>
        <xdr:spPr>
          <a:xfrm>
            <a:off x="2428875" y="10810875"/>
            <a:ext cx="1295400" cy="0"/>
          </a:xfrm>
          <a:prstGeom prst="line">
            <a:avLst/>
          </a:prstGeom>
          <a:noFill/>
          <a:ln w="6350"/>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2046" name="Straight Connector 2045">
            <a:extLst>
              <a:ext uri="{FF2B5EF4-FFF2-40B4-BE49-F238E27FC236}">
                <a16:creationId xmlns:a16="http://schemas.microsoft.com/office/drawing/2014/main" id="{15117F67-031F-2A6E-3146-E103E427D755}"/>
              </a:ext>
            </a:extLst>
          </xdr:cNvPr>
          <xdr:cNvCxnSpPr/>
        </xdr:nvCxnSpPr>
        <xdr:spPr>
          <a:xfrm>
            <a:off x="4613275" y="10887084"/>
            <a:ext cx="411173" cy="0"/>
          </a:xfrm>
          <a:prstGeom prst="line">
            <a:avLst/>
          </a:prstGeom>
          <a:noFill/>
          <a:ln w="6350"/>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2055" name="Straight Connector 2054">
            <a:extLst>
              <a:ext uri="{FF2B5EF4-FFF2-40B4-BE49-F238E27FC236}">
                <a16:creationId xmlns:a16="http://schemas.microsoft.com/office/drawing/2014/main" id="{759ECF8F-AF6B-9C36-A9F4-C2239856EDEF}"/>
              </a:ext>
            </a:extLst>
          </xdr:cNvPr>
          <xdr:cNvCxnSpPr/>
        </xdr:nvCxnSpPr>
        <xdr:spPr>
          <a:xfrm>
            <a:off x="4616450" y="11291899"/>
            <a:ext cx="407998" cy="0"/>
          </a:xfrm>
          <a:prstGeom prst="line">
            <a:avLst/>
          </a:prstGeom>
          <a:noFill/>
          <a:ln w="6350"/>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2064" name="Straight Connector 2063">
            <a:extLst>
              <a:ext uri="{FF2B5EF4-FFF2-40B4-BE49-F238E27FC236}">
                <a16:creationId xmlns:a16="http://schemas.microsoft.com/office/drawing/2014/main" id="{89016C40-B9AD-1ECC-B662-CACFF88571A1}"/>
              </a:ext>
            </a:extLst>
          </xdr:cNvPr>
          <xdr:cNvCxnSpPr/>
        </xdr:nvCxnSpPr>
        <xdr:spPr>
          <a:xfrm>
            <a:off x="2432050" y="10810875"/>
            <a:ext cx="1292225" cy="857250"/>
          </a:xfrm>
          <a:prstGeom prst="line">
            <a:avLst/>
          </a:prstGeom>
          <a:noFill/>
          <a:ln w="6350"/>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2067" name="Straight Connector 2066">
            <a:extLst>
              <a:ext uri="{FF2B5EF4-FFF2-40B4-BE49-F238E27FC236}">
                <a16:creationId xmlns:a16="http://schemas.microsoft.com/office/drawing/2014/main" id="{5FD298C7-4C31-A532-3961-26FDD1D7CB60}"/>
              </a:ext>
            </a:extLst>
          </xdr:cNvPr>
          <xdr:cNvCxnSpPr/>
        </xdr:nvCxnSpPr>
        <xdr:spPr>
          <a:xfrm flipH="1">
            <a:off x="2425699" y="10806113"/>
            <a:ext cx="1300164" cy="862012"/>
          </a:xfrm>
          <a:prstGeom prst="line">
            <a:avLst/>
          </a:prstGeom>
          <a:noFill/>
          <a:ln w="6350"/>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2070" name="Straight Connector 2069">
            <a:extLst>
              <a:ext uri="{FF2B5EF4-FFF2-40B4-BE49-F238E27FC236}">
                <a16:creationId xmlns:a16="http://schemas.microsoft.com/office/drawing/2014/main" id="{6500EB40-BAC3-250E-59FA-0E7DFF6BC72A}"/>
              </a:ext>
            </a:extLst>
          </xdr:cNvPr>
          <xdr:cNvCxnSpPr/>
        </xdr:nvCxnSpPr>
        <xdr:spPr>
          <a:xfrm>
            <a:off x="1133475" y="11807825"/>
            <a:ext cx="0" cy="4857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107" name="Straight Connector 2106">
            <a:extLst>
              <a:ext uri="{FF2B5EF4-FFF2-40B4-BE49-F238E27FC236}">
                <a16:creationId xmlns:a16="http://schemas.microsoft.com/office/drawing/2014/main" id="{16A2B629-29AC-88D3-B103-0E5B470EC219}"/>
              </a:ext>
            </a:extLst>
          </xdr:cNvPr>
          <xdr:cNvCxnSpPr/>
        </xdr:nvCxnSpPr>
        <xdr:spPr>
          <a:xfrm>
            <a:off x="1079500" y="11957050"/>
            <a:ext cx="40163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111" name="Straight Connector 2110">
            <a:extLst>
              <a:ext uri="{FF2B5EF4-FFF2-40B4-BE49-F238E27FC236}">
                <a16:creationId xmlns:a16="http://schemas.microsoft.com/office/drawing/2014/main" id="{A068C279-D88D-C24A-6A36-F233F2F35B37}"/>
              </a:ext>
            </a:extLst>
          </xdr:cNvPr>
          <xdr:cNvCxnSpPr/>
        </xdr:nvCxnSpPr>
        <xdr:spPr>
          <a:xfrm flipH="1">
            <a:off x="1101725" y="11931650"/>
            <a:ext cx="60325" cy="603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114" name="Straight Connector 2113">
            <a:extLst>
              <a:ext uri="{FF2B5EF4-FFF2-40B4-BE49-F238E27FC236}">
                <a16:creationId xmlns:a16="http://schemas.microsoft.com/office/drawing/2014/main" id="{8470C473-17C5-967A-BBA8-DD9E86318F69}"/>
              </a:ext>
            </a:extLst>
          </xdr:cNvPr>
          <xdr:cNvCxnSpPr/>
        </xdr:nvCxnSpPr>
        <xdr:spPr>
          <a:xfrm>
            <a:off x="1076325" y="12239625"/>
            <a:ext cx="3987800"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120" name="Straight Connector 2119">
            <a:extLst>
              <a:ext uri="{FF2B5EF4-FFF2-40B4-BE49-F238E27FC236}">
                <a16:creationId xmlns:a16="http://schemas.microsoft.com/office/drawing/2014/main" id="{66AD07FF-6676-DBC3-6EAA-F3067AA7CCAD}"/>
              </a:ext>
            </a:extLst>
          </xdr:cNvPr>
          <xdr:cNvCxnSpPr/>
        </xdr:nvCxnSpPr>
        <xdr:spPr>
          <a:xfrm flipH="1">
            <a:off x="1101725" y="12211050"/>
            <a:ext cx="60325" cy="603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131" name="Straight Connector 2130">
            <a:extLst>
              <a:ext uri="{FF2B5EF4-FFF2-40B4-BE49-F238E27FC236}">
                <a16:creationId xmlns:a16="http://schemas.microsoft.com/office/drawing/2014/main" id="{FEDD173E-2455-E6C0-11F6-411F51704004}"/>
              </a:ext>
            </a:extLst>
          </xdr:cNvPr>
          <xdr:cNvCxnSpPr/>
        </xdr:nvCxnSpPr>
        <xdr:spPr>
          <a:xfrm>
            <a:off x="1543050" y="11757025"/>
            <a:ext cx="0" cy="2540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217" name="Straight Connector 2216">
            <a:extLst>
              <a:ext uri="{FF2B5EF4-FFF2-40B4-BE49-F238E27FC236}">
                <a16:creationId xmlns:a16="http://schemas.microsoft.com/office/drawing/2014/main" id="{49DD78C7-8424-1156-3410-3A36E9175697}"/>
              </a:ext>
            </a:extLst>
          </xdr:cNvPr>
          <xdr:cNvCxnSpPr/>
        </xdr:nvCxnSpPr>
        <xdr:spPr>
          <a:xfrm flipH="1">
            <a:off x="1511300" y="11928475"/>
            <a:ext cx="60325" cy="603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218" name="Straight Connector 2217">
            <a:extLst>
              <a:ext uri="{FF2B5EF4-FFF2-40B4-BE49-F238E27FC236}">
                <a16:creationId xmlns:a16="http://schemas.microsoft.com/office/drawing/2014/main" id="{21915354-5FD9-7693-0197-B2D8C22B559B}"/>
              </a:ext>
            </a:extLst>
          </xdr:cNvPr>
          <xdr:cNvCxnSpPr/>
        </xdr:nvCxnSpPr>
        <xdr:spPr>
          <a:xfrm>
            <a:off x="2012950" y="11741150"/>
            <a:ext cx="0" cy="2698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219" name="Straight Connector 2218">
            <a:extLst>
              <a:ext uri="{FF2B5EF4-FFF2-40B4-BE49-F238E27FC236}">
                <a16:creationId xmlns:a16="http://schemas.microsoft.com/office/drawing/2014/main" id="{4C00721E-84AB-ABAB-F479-B72CF263C80D}"/>
              </a:ext>
            </a:extLst>
          </xdr:cNvPr>
          <xdr:cNvCxnSpPr/>
        </xdr:nvCxnSpPr>
        <xdr:spPr>
          <a:xfrm flipH="1">
            <a:off x="1981200" y="11928475"/>
            <a:ext cx="60325" cy="603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220" name="Straight Connector 2219">
            <a:extLst>
              <a:ext uri="{FF2B5EF4-FFF2-40B4-BE49-F238E27FC236}">
                <a16:creationId xmlns:a16="http://schemas.microsoft.com/office/drawing/2014/main" id="{2CA59DF3-4DE5-8355-A38C-88C8B1461D8D}"/>
              </a:ext>
            </a:extLst>
          </xdr:cNvPr>
          <xdr:cNvCxnSpPr/>
        </xdr:nvCxnSpPr>
        <xdr:spPr>
          <a:xfrm>
            <a:off x="2432050" y="11741150"/>
            <a:ext cx="0" cy="2698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221" name="Straight Connector 2220">
            <a:extLst>
              <a:ext uri="{FF2B5EF4-FFF2-40B4-BE49-F238E27FC236}">
                <a16:creationId xmlns:a16="http://schemas.microsoft.com/office/drawing/2014/main" id="{D51B8A62-D59B-EA89-3063-FEF927DDA38A}"/>
              </a:ext>
            </a:extLst>
          </xdr:cNvPr>
          <xdr:cNvCxnSpPr/>
        </xdr:nvCxnSpPr>
        <xdr:spPr>
          <a:xfrm flipH="1">
            <a:off x="2400300" y="11928475"/>
            <a:ext cx="60325" cy="603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222" name="Straight Connector 2221">
            <a:extLst>
              <a:ext uri="{FF2B5EF4-FFF2-40B4-BE49-F238E27FC236}">
                <a16:creationId xmlns:a16="http://schemas.microsoft.com/office/drawing/2014/main" id="{86092CA3-B900-E328-E3ED-271281D999BA}"/>
              </a:ext>
            </a:extLst>
          </xdr:cNvPr>
          <xdr:cNvCxnSpPr/>
        </xdr:nvCxnSpPr>
        <xdr:spPr>
          <a:xfrm>
            <a:off x="3727450" y="11741150"/>
            <a:ext cx="0" cy="2698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223" name="Straight Connector 2222">
            <a:extLst>
              <a:ext uri="{FF2B5EF4-FFF2-40B4-BE49-F238E27FC236}">
                <a16:creationId xmlns:a16="http://schemas.microsoft.com/office/drawing/2014/main" id="{060E6C62-A9F3-451F-0EA4-D65017163551}"/>
              </a:ext>
            </a:extLst>
          </xdr:cNvPr>
          <xdr:cNvCxnSpPr/>
        </xdr:nvCxnSpPr>
        <xdr:spPr>
          <a:xfrm flipH="1">
            <a:off x="3695700" y="11928475"/>
            <a:ext cx="60325" cy="603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224" name="Straight Connector 2223">
            <a:extLst>
              <a:ext uri="{FF2B5EF4-FFF2-40B4-BE49-F238E27FC236}">
                <a16:creationId xmlns:a16="http://schemas.microsoft.com/office/drawing/2014/main" id="{605B8FCC-BC6D-FE18-982E-E4017DAE964D}"/>
              </a:ext>
            </a:extLst>
          </xdr:cNvPr>
          <xdr:cNvCxnSpPr/>
        </xdr:nvCxnSpPr>
        <xdr:spPr>
          <a:xfrm>
            <a:off x="4152900" y="11741150"/>
            <a:ext cx="0" cy="2698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225" name="Straight Connector 2224">
            <a:extLst>
              <a:ext uri="{FF2B5EF4-FFF2-40B4-BE49-F238E27FC236}">
                <a16:creationId xmlns:a16="http://schemas.microsoft.com/office/drawing/2014/main" id="{0DE39587-4050-364E-0DF0-DCAF31C44153}"/>
              </a:ext>
            </a:extLst>
          </xdr:cNvPr>
          <xdr:cNvCxnSpPr/>
        </xdr:nvCxnSpPr>
        <xdr:spPr>
          <a:xfrm flipH="1">
            <a:off x="4121150" y="11928475"/>
            <a:ext cx="60325" cy="603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226" name="Straight Connector 2225">
            <a:extLst>
              <a:ext uri="{FF2B5EF4-FFF2-40B4-BE49-F238E27FC236}">
                <a16:creationId xmlns:a16="http://schemas.microsoft.com/office/drawing/2014/main" id="{45E87D9A-AE24-47FB-827A-846382793BA3}"/>
              </a:ext>
            </a:extLst>
          </xdr:cNvPr>
          <xdr:cNvCxnSpPr/>
        </xdr:nvCxnSpPr>
        <xdr:spPr>
          <a:xfrm>
            <a:off x="4610100" y="11741150"/>
            <a:ext cx="0" cy="2698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227" name="Straight Connector 2226">
            <a:extLst>
              <a:ext uri="{FF2B5EF4-FFF2-40B4-BE49-F238E27FC236}">
                <a16:creationId xmlns:a16="http://schemas.microsoft.com/office/drawing/2014/main" id="{9F82FEE6-BC53-6039-0DEE-F5237E7B2F22}"/>
              </a:ext>
            </a:extLst>
          </xdr:cNvPr>
          <xdr:cNvCxnSpPr/>
        </xdr:nvCxnSpPr>
        <xdr:spPr>
          <a:xfrm flipH="1">
            <a:off x="4578350" y="11928475"/>
            <a:ext cx="60325" cy="603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228" name="Straight Connector 2227">
            <a:extLst>
              <a:ext uri="{FF2B5EF4-FFF2-40B4-BE49-F238E27FC236}">
                <a16:creationId xmlns:a16="http://schemas.microsoft.com/office/drawing/2014/main" id="{4BBCBA7D-D2EF-8807-E2B3-2F27B8C0EA57}"/>
              </a:ext>
            </a:extLst>
          </xdr:cNvPr>
          <xdr:cNvCxnSpPr/>
        </xdr:nvCxnSpPr>
        <xdr:spPr>
          <a:xfrm>
            <a:off x="5019675" y="11807825"/>
            <a:ext cx="0" cy="50165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229" name="Straight Connector 2228">
            <a:extLst>
              <a:ext uri="{FF2B5EF4-FFF2-40B4-BE49-F238E27FC236}">
                <a16:creationId xmlns:a16="http://schemas.microsoft.com/office/drawing/2014/main" id="{EE5A73BC-70DD-5CE3-55CF-641DEF76A51F}"/>
              </a:ext>
            </a:extLst>
          </xdr:cNvPr>
          <xdr:cNvCxnSpPr/>
        </xdr:nvCxnSpPr>
        <xdr:spPr>
          <a:xfrm flipH="1">
            <a:off x="4987925" y="11928475"/>
            <a:ext cx="60325" cy="603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230" name="Straight Connector 2229">
            <a:extLst>
              <a:ext uri="{FF2B5EF4-FFF2-40B4-BE49-F238E27FC236}">
                <a16:creationId xmlns:a16="http://schemas.microsoft.com/office/drawing/2014/main" id="{BDC22CCA-E550-A997-6F65-320BD3231576}"/>
              </a:ext>
            </a:extLst>
          </xdr:cNvPr>
          <xdr:cNvCxnSpPr/>
        </xdr:nvCxnSpPr>
        <xdr:spPr>
          <a:xfrm flipH="1">
            <a:off x="4991100" y="12207875"/>
            <a:ext cx="60325" cy="603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231" name="Straight Connector 2230">
            <a:extLst>
              <a:ext uri="{FF2B5EF4-FFF2-40B4-BE49-F238E27FC236}">
                <a16:creationId xmlns:a16="http://schemas.microsoft.com/office/drawing/2014/main" id="{639A4983-E0A9-B9EC-C5A9-78169FDE220E}"/>
              </a:ext>
            </a:extLst>
          </xdr:cNvPr>
          <xdr:cNvCxnSpPr/>
        </xdr:nvCxnSpPr>
        <xdr:spPr>
          <a:xfrm flipH="1">
            <a:off x="419100" y="9953626"/>
            <a:ext cx="23907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232" name="Straight Connector 2231">
            <a:extLst>
              <a:ext uri="{FF2B5EF4-FFF2-40B4-BE49-F238E27FC236}">
                <a16:creationId xmlns:a16="http://schemas.microsoft.com/office/drawing/2014/main" id="{523C185A-7336-393A-BB55-3FAFBC7C1E68}"/>
              </a:ext>
            </a:extLst>
          </xdr:cNvPr>
          <xdr:cNvCxnSpPr/>
        </xdr:nvCxnSpPr>
        <xdr:spPr>
          <a:xfrm>
            <a:off x="809625" y="9886951"/>
            <a:ext cx="0" cy="1841499"/>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233" name="Straight Connector 2232">
            <a:extLst>
              <a:ext uri="{FF2B5EF4-FFF2-40B4-BE49-F238E27FC236}">
                <a16:creationId xmlns:a16="http://schemas.microsoft.com/office/drawing/2014/main" id="{707C41F6-12D1-9C0C-3AB8-93625C125BDE}"/>
              </a:ext>
            </a:extLst>
          </xdr:cNvPr>
          <xdr:cNvCxnSpPr/>
        </xdr:nvCxnSpPr>
        <xdr:spPr>
          <a:xfrm flipH="1">
            <a:off x="773113" y="9921875"/>
            <a:ext cx="66675" cy="666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234" name="Straight Connector 2233">
            <a:extLst>
              <a:ext uri="{FF2B5EF4-FFF2-40B4-BE49-F238E27FC236}">
                <a16:creationId xmlns:a16="http://schemas.microsoft.com/office/drawing/2014/main" id="{153914F2-5A67-D352-7E2C-88557A1C5403}"/>
              </a:ext>
            </a:extLst>
          </xdr:cNvPr>
          <xdr:cNvCxnSpPr/>
        </xdr:nvCxnSpPr>
        <xdr:spPr>
          <a:xfrm>
            <a:off x="487362" y="9886950"/>
            <a:ext cx="0" cy="184785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235" name="Straight Connector 2234">
            <a:extLst>
              <a:ext uri="{FF2B5EF4-FFF2-40B4-BE49-F238E27FC236}">
                <a16:creationId xmlns:a16="http://schemas.microsoft.com/office/drawing/2014/main" id="{EF46C9EB-CDBC-C715-C4AC-570E3249EAFD}"/>
              </a:ext>
            </a:extLst>
          </xdr:cNvPr>
          <xdr:cNvCxnSpPr/>
        </xdr:nvCxnSpPr>
        <xdr:spPr>
          <a:xfrm flipH="1">
            <a:off x="450850" y="9921874"/>
            <a:ext cx="66675" cy="666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236" name="Straight Connector 2235">
            <a:extLst>
              <a:ext uri="{FF2B5EF4-FFF2-40B4-BE49-F238E27FC236}">
                <a16:creationId xmlns:a16="http://schemas.microsoft.com/office/drawing/2014/main" id="{E81E6B71-27F9-819B-98B2-F35BB1A636CD}"/>
              </a:ext>
            </a:extLst>
          </xdr:cNvPr>
          <xdr:cNvCxnSpPr/>
        </xdr:nvCxnSpPr>
        <xdr:spPr>
          <a:xfrm flipH="1">
            <a:off x="742950" y="10528301"/>
            <a:ext cx="317500"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237" name="Straight Connector 2236">
            <a:extLst>
              <a:ext uri="{FF2B5EF4-FFF2-40B4-BE49-F238E27FC236}">
                <a16:creationId xmlns:a16="http://schemas.microsoft.com/office/drawing/2014/main" id="{DC633A68-4E75-BB71-17FE-DC89D0A832B2}"/>
              </a:ext>
            </a:extLst>
          </xdr:cNvPr>
          <xdr:cNvCxnSpPr/>
        </xdr:nvCxnSpPr>
        <xdr:spPr>
          <a:xfrm flipH="1">
            <a:off x="774700" y="10496549"/>
            <a:ext cx="66675" cy="666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238" name="Straight Connector 2237">
            <a:extLst>
              <a:ext uri="{FF2B5EF4-FFF2-40B4-BE49-F238E27FC236}">
                <a16:creationId xmlns:a16="http://schemas.microsoft.com/office/drawing/2014/main" id="{0E30B056-A1A4-090E-3482-F0DFEA025236}"/>
              </a:ext>
            </a:extLst>
          </xdr:cNvPr>
          <xdr:cNvCxnSpPr/>
        </xdr:nvCxnSpPr>
        <xdr:spPr>
          <a:xfrm flipH="1">
            <a:off x="742950" y="10887076"/>
            <a:ext cx="317500"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239" name="Straight Connector 2238">
            <a:extLst>
              <a:ext uri="{FF2B5EF4-FFF2-40B4-BE49-F238E27FC236}">
                <a16:creationId xmlns:a16="http://schemas.microsoft.com/office/drawing/2014/main" id="{DDE41F8F-6C36-EA46-5FB2-BD7A12396A1A}"/>
              </a:ext>
            </a:extLst>
          </xdr:cNvPr>
          <xdr:cNvCxnSpPr/>
        </xdr:nvCxnSpPr>
        <xdr:spPr>
          <a:xfrm flipH="1">
            <a:off x="774700" y="10855324"/>
            <a:ext cx="66675" cy="666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240" name="Straight Connector 2239">
            <a:extLst>
              <a:ext uri="{FF2B5EF4-FFF2-40B4-BE49-F238E27FC236}">
                <a16:creationId xmlns:a16="http://schemas.microsoft.com/office/drawing/2014/main" id="{F7242E04-7F4A-92E9-3190-98B28C35F744}"/>
              </a:ext>
            </a:extLst>
          </xdr:cNvPr>
          <xdr:cNvCxnSpPr/>
        </xdr:nvCxnSpPr>
        <xdr:spPr>
          <a:xfrm flipH="1">
            <a:off x="742950" y="11293476"/>
            <a:ext cx="317500"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241" name="Straight Connector 2240">
            <a:extLst>
              <a:ext uri="{FF2B5EF4-FFF2-40B4-BE49-F238E27FC236}">
                <a16:creationId xmlns:a16="http://schemas.microsoft.com/office/drawing/2014/main" id="{68814120-604B-E421-4CFA-DC9098D8AB1D}"/>
              </a:ext>
            </a:extLst>
          </xdr:cNvPr>
          <xdr:cNvCxnSpPr/>
        </xdr:nvCxnSpPr>
        <xdr:spPr>
          <a:xfrm flipH="1">
            <a:off x="774700" y="11261724"/>
            <a:ext cx="66675" cy="666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242" name="Straight Connector 2241">
            <a:extLst>
              <a:ext uri="{FF2B5EF4-FFF2-40B4-BE49-F238E27FC236}">
                <a16:creationId xmlns:a16="http://schemas.microsoft.com/office/drawing/2014/main" id="{2BD7A308-5E59-908E-7FFE-8CF9295B1C1A}"/>
              </a:ext>
            </a:extLst>
          </xdr:cNvPr>
          <xdr:cNvCxnSpPr/>
        </xdr:nvCxnSpPr>
        <xdr:spPr>
          <a:xfrm flipH="1">
            <a:off x="419100" y="11668127"/>
            <a:ext cx="482600"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243" name="Straight Connector 2242">
            <a:extLst>
              <a:ext uri="{FF2B5EF4-FFF2-40B4-BE49-F238E27FC236}">
                <a16:creationId xmlns:a16="http://schemas.microsoft.com/office/drawing/2014/main" id="{FBDA3F4E-36EC-88E9-F5C2-B538D7527DE3}"/>
              </a:ext>
            </a:extLst>
          </xdr:cNvPr>
          <xdr:cNvCxnSpPr/>
        </xdr:nvCxnSpPr>
        <xdr:spPr>
          <a:xfrm flipH="1">
            <a:off x="773113" y="11636376"/>
            <a:ext cx="66675" cy="666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244" name="Straight Connector 2243">
            <a:extLst>
              <a:ext uri="{FF2B5EF4-FFF2-40B4-BE49-F238E27FC236}">
                <a16:creationId xmlns:a16="http://schemas.microsoft.com/office/drawing/2014/main" id="{AF9B164A-E9DE-04D7-0EBE-033089AB14C5}"/>
              </a:ext>
            </a:extLst>
          </xdr:cNvPr>
          <xdr:cNvCxnSpPr/>
        </xdr:nvCxnSpPr>
        <xdr:spPr>
          <a:xfrm flipH="1">
            <a:off x="450850" y="11636375"/>
            <a:ext cx="66675" cy="666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245" name="Straight Connector 2244">
            <a:extLst>
              <a:ext uri="{FF2B5EF4-FFF2-40B4-BE49-F238E27FC236}">
                <a16:creationId xmlns:a16="http://schemas.microsoft.com/office/drawing/2014/main" id="{FFAFDAD9-F697-43CA-9D60-BA2F00100913}"/>
              </a:ext>
            </a:extLst>
          </xdr:cNvPr>
          <xdr:cNvCxnSpPr/>
        </xdr:nvCxnSpPr>
        <xdr:spPr>
          <a:xfrm>
            <a:off x="5505450" y="10748961"/>
            <a:ext cx="0" cy="97155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246" name="Straight Connector 2245">
            <a:extLst>
              <a:ext uri="{FF2B5EF4-FFF2-40B4-BE49-F238E27FC236}">
                <a16:creationId xmlns:a16="http://schemas.microsoft.com/office/drawing/2014/main" id="{38FAC8DD-E6AA-E3B9-BB57-1B7D282C5D97}"/>
              </a:ext>
            </a:extLst>
          </xdr:cNvPr>
          <xdr:cNvCxnSpPr/>
        </xdr:nvCxnSpPr>
        <xdr:spPr>
          <a:xfrm flipH="1">
            <a:off x="5473700" y="11639550"/>
            <a:ext cx="60325" cy="603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260" name="Straight Connector 2259">
            <a:extLst>
              <a:ext uri="{FF2B5EF4-FFF2-40B4-BE49-F238E27FC236}">
                <a16:creationId xmlns:a16="http://schemas.microsoft.com/office/drawing/2014/main" id="{27CAA90B-0D84-99DD-921F-E6208BD1F88B}"/>
              </a:ext>
            </a:extLst>
          </xdr:cNvPr>
          <xdr:cNvCxnSpPr/>
        </xdr:nvCxnSpPr>
        <xdr:spPr>
          <a:xfrm flipH="1">
            <a:off x="5473700" y="10782300"/>
            <a:ext cx="60325" cy="603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261" name="Straight Connector 2260">
            <a:extLst>
              <a:ext uri="{FF2B5EF4-FFF2-40B4-BE49-F238E27FC236}">
                <a16:creationId xmlns:a16="http://schemas.microsoft.com/office/drawing/2014/main" id="{882460EF-83E7-9393-4C2B-C226BB0C64C5}"/>
              </a:ext>
            </a:extLst>
          </xdr:cNvPr>
          <xdr:cNvCxnSpPr/>
        </xdr:nvCxnSpPr>
        <xdr:spPr>
          <a:xfrm>
            <a:off x="5229225" y="11668126"/>
            <a:ext cx="328611"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262" name="Straight Connector 2261">
            <a:extLst>
              <a:ext uri="{FF2B5EF4-FFF2-40B4-BE49-F238E27FC236}">
                <a16:creationId xmlns:a16="http://schemas.microsoft.com/office/drawing/2014/main" id="{89081ED1-7A7E-2040-54D1-432FB33B5484}"/>
              </a:ext>
            </a:extLst>
          </xdr:cNvPr>
          <xdr:cNvCxnSpPr/>
        </xdr:nvCxnSpPr>
        <xdr:spPr>
          <a:xfrm>
            <a:off x="3810000" y="10810876"/>
            <a:ext cx="1752598" cy="0"/>
          </a:xfrm>
          <a:prstGeom prst="line">
            <a:avLst/>
          </a:prstGeom>
        </xdr:spPr>
        <xdr:style>
          <a:lnRef idx="1">
            <a:schemeClr val="accent1"/>
          </a:lnRef>
          <a:fillRef idx="0">
            <a:schemeClr val="accent1"/>
          </a:fillRef>
          <a:effectRef idx="0">
            <a:schemeClr val="accent1"/>
          </a:effectRef>
          <a:fontRef idx="minor">
            <a:schemeClr val="tx1"/>
          </a:fontRef>
        </xdr:style>
      </xdr:cxnSp>
      <xdr:sp macro="" textlink="">
        <xdr:nvSpPr>
          <xdr:cNvPr id="2263" name="TextBox 2262">
            <a:extLst>
              <a:ext uri="{FF2B5EF4-FFF2-40B4-BE49-F238E27FC236}">
                <a16:creationId xmlns:a16="http://schemas.microsoft.com/office/drawing/2014/main" id="{B8A2984C-A41F-D3DF-3964-50715D57BEC4}"/>
              </a:ext>
            </a:extLst>
          </xdr:cNvPr>
          <xdr:cNvSpPr txBox="1"/>
        </xdr:nvSpPr>
        <xdr:spPr>
          <a:xfrm>
            <a:off x="2676525" y="10829925"/>
            <a:ext cx="828675" cy="438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lang="tr-TR" sz="800" kern="1200">
                <a:latin typeface="Arial" panose="020B0604020202020204" pitchFamily="34" charset="0"/>
                <a:cs typeface="Arial" panose="020B0604020202020204" pitchFamily="34" charset="0"/>
              </a:rPr>
              <a:t>kapı</a:t>
            </a:r>
          </a:p>
        </xdr:txBody>
      </xdr:sp>
      <xdr:cxnSp macro="">
        <xdr:nvCxnSpPr>
          <xdr:cNvPr id="2264" name="Straight Connector 2263">
            <a:extLst>
              <a:ext uri="{FF2B5EF4-FFF2-40B4-BE49-F238E27FC236}">
                <a16:creationId xmlns:a16="http://schemas.microsoft.com/office/drawing/2014/main" id="{DD7B2664-F00E-09DE-5C35-2001E7954960}"/>
              </a:ext>
            </a:extLst>
          </xdr:cNvPr>
          <xdr:cNvCxnSpPr/>
        </xdr:nvCxnSpPr>
        <xdr:spPr>
          <a:xfrm>
            <a:off x="1558925" y="10525125"/>
            <a:ext cx="428625" cy="0"/>
          </a:xfrm>
          <a:prstGeom prst="line">
            <a:avLst/>
          </a:prstGeom>
          <a:noFill/>
          <a:ln w="6350"/>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2265" name="Straight Connector 2264">
            <a:extLst>
              <a:ext uri="{FF2B5EF4-FFF2-40B4-BE49-F238E27FC236}">
                <a16:creationId xmlns:a16="http://schemas.microsoft.com/office/drawing/2014/main" id="{462A7063-563C-49A1-E8B6-B21E188AD216}"/>
              </a:ext>
            </a:extLst>
          </xdr:cNvPr>
          <xdr:cNvCxnSpPr/>
        </xdr:nvCxnSpPr>
        <xdr:spPr>
          <a:xfrm>
            <a:off x="1562100" y="10887075"/>
            <a:ext cx="428625" cy="0"/>
          </a:xfrm>
          <a:prstGeom prst="line">
            <a:avLst/>
          </a:prstGeom>
          <a:noFill/>
          <a:ln w="6350"/>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2266" name="Straight Connector 2265">
            <a:extLst>
              <a:ext uri="{FF2B5EF4-FFF2-40B4-BE49-F238E27FC236}">
                <a16:creationId xmlns:a16="http://schemas.microsoft.com/office/drawing/2014/main" id="{97FA9793-E1FE-9366-55B0-53E2EEE501E7}"/>
              </a:ext>
            </a:extLst>
          </xdr:cNvPr>
          <xdr:cNvCxnSpPr/>
        </xdr:nvCxnSpPr>
        <xdr:spPr>
          <a:xfrm>
            <a:off x="1565275" y="11293475"/>
            <a:ext cx="428625" cy="0"/>
          </a:xfrm>
          <a:prstGeom prst="line">
            <a:avLst/>
          </a:prstGeom>
          <a:noFill/>
          <a:ln w="6350"/>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2267" name="Straight Connector 2266">
            <a:extLst>
              <a:ext uri="{FF2B5EF4-FFF2-40B4-BE49-F238E27FC236}">
                <a16:creationId xmlns:a16="http://schemas.microsoft.com/office/drawing/2014/main" id="{38AD3F50-1345-4777-4C64-21D252EFC334}"/>
              </a:ext>
            </a:extLst>
          </xdr:cNvPr>
          <xdr:cNvCxnSpPr/>
        </xdr:nvCxnSpPr>
        <xdr:spPr>
          <a:xfrm>
            <a:off x="2035175" y="10525125"/>
            <a:ext cx="368300" cy="0"/>
          </a:xfrm>
          <a:prstGeom prst="line">
            <a:avLst/>
          </a:prstGeom>
          <a:noFill/>
          <a:ln w="6350"/>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2268" name="Straight Connector 2267">
            <a:extLst>
              <a:ext uri="{FF2B5EF4-FFF2-40B4-BE49-F238E27FC236}">
                <a16:creationId xmlns:a16="http://schemas.microsoft.com/office/drawing/2014/main" id="{887FB1A6-C01F-AE14-7033-6C6D84B2327D}"/>
              </a:ext>
            </a:extLst>
          </xdr:cNvPr>
          <xdr:cNvCxnSpPr/>
        </xdr:nvCxnSpPr>
        <xdr:spPr>
          <a:xfrm>
            <a:off x="2038350" y="10887075"/>
            <a:ext cx="365125" cy="0"/>
          </a:xfrm>
          <a:prstGeom prst="line">
            <a:avLst/>
          </a:prstGeom>
          <a:noFill/>
          <a:ln w="6350"/>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2269" name="Straight Connector 2268">
            <a:extLst>
              <a:ext uri="{FF2B5EF4-FFF2-40B4-BE49-F238E27FC236}">
                <a16:creationId xmlns:a16="http://schemas.microsoft.com/office/drawing/2014/main" id="{71479CEE-FE9D-4EAA-64BC-B5F4B37114DF}"/>
              </a:ext>
            </a:extLst>
          </xdr:cNvPr>
          <xdr:cNvCxnSpPr/>
        </xdr:nvCxnSpPr>
        <xdr:spPr>
          <a:xfrm>
            <a:off x="2041525" y="11293475"/>
            <a:ext cx="361950" cy="0"/>
          </a:xfrm>
          <a:prstGeom prst="line">
            <a:avLst/>
          </a:prstGeom>
          <a:noFill/>
          <a:ln w="6350"/>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2270" name="Straight Connector 2269">
            <a:extLst>
              <a:ext uri="{FF2B5EF4-FFF2-40B4-BE49-F238E27FC236}">
                <a16:creationId xmlns:a16="http://schemas.microsoft.com/office/drawing/2014/main" id="{5D422043-3E93-57E3-AAA2-9B585C9D6664}"/>
              </a:ext>
            </a:extLst>
          </xdr:cNvPr>
          <xdr:cNvCxnSpPr/>
        </xdr:nvCxnSpPr>
        <xdr:spPr>
          <a:xfrm>
            <a:off x="2454275" y="10525125"/>
            <a:ext cx="590550" cy="0"/>
          </a:xfrm>
          <a:prstGeom prst="line">
            <a:avLst/>
          </a:prstGeom>
          <a:noFill/>
          <a:ln w="6350"/>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2271" name="Straight Connector 2270">
            <a:extLst>
              <a:ext uri="{FF2B5EF4-FFF2-40B4-BE49-F238E27FC236}">
                <a16:creationId xmlns:a16="http://schemas.microsoft.com/office/drawing/2014/main" id="{FFB692D9-8EDA-650B-57F1-8D363201B2F2}"/>
              </a:ext>
            </a:extLst>
          </xdr:cNvPr>
          <xdr:cNvCxnSpPr/>
        </xdr:nvCxnSpPr>
        <xdr:spPr>
          <a:xfrm>
            <a:off x="3108325" y="10525125"/>
            <a:ext cx="590550" cy="0"/>
          </a:xfrm>
          <a:prstGeom prst="line">
            <a:avLst/>
          </a:prstGeom>
          <a:noFill/>
          <a:ln w="6350"/>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2272" name="Straight Connector 2271">
            <a:extLst>
              <a:ext uri="{FF2B5EF4-FFF2-40B4-BE49-F238E27FC236}">
                <a16:creationId xmlns:a16="http://schemas.microsoft.com/office/drawing/2014/main" id="{54DEF98B-1112-0B75-E22F-8EBF5503A03A}"/>
              </a:ext>
            </a:extLst>
          </xdr:cNvPr>
          <xdr:cNvCxnSpPr/>
        </xdr:nvCxnSpPr>
        <xdr:spPr>
          <a:xfrm>
            <a:off x="3746500" y="10528300"/>
            <a:ext cx="377825" cy="0"/>
          </a:xfrm>
          <a:prstGeom prst="line">
            <a:avLst/>
          </a:prstGeom>
          <a:noFill/>
          <a:ln w="6350"/>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2273" name="Straight Connector 2272">
            <a:extLst>
              <a:ext uri="{FF2B5EF4-FFF2-40B4-BE49-F238E27FC236}">
                <a16:creationId xmlns:a16="http://schemas.microsoft.com/office/drawing/2014/main" id="{6753C6D3-17E8-2B59-EC20-5AE3423E422B}"/>
              </a:ext>
            </a:extLst>
          </xdr:cNvPr>
          <xdr:cNvCxnSpPr/>
        </xdr:nvCxnSpPr>
        <xdr:spPr>
          <a:xfrm>
            <a:off x="4178300" y="10528300"/>
            <a:ext cx="412750" cy="0"/>
          </a:xfrm>
          <a:prstGeom prst="line">
            <a:avLst/>
          </a:prstGeom>
          <a:noFill/>
          <a:ln w="6350"/>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2274" name="Straight Connector 2273">
            <a:extLst>
              <a:ext uri="{FF2B5EF4-FFF2-40B4-BE49-F238E27FC236}">
                <a16:creationId xmlns:a16="http://schemas.microsoft.com/office/drawing/2014/main" id="{80FF6416-3F4E-4542-4978-1F04CF20A7CF}"/>
              </a:ext>
            </a:extLst>
          </xdr:cNvPr>
          <xdr:cNvCxnSpPr/>
        </xdr:nvCxnSpPr>
        <xdr:spPr>
          <a:xfrm>
            <a:off x="4619625" y="10528300"/>
            <a:ext cx="400050" cy="0"/>
          </a:xfrm>
          <a:prstGeom prst="line">
            <a:avLst/>
          </a:prstGeom>
          <a:noFill/>
          <a:ln w="6350"/>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2275" name="Straight Connector 2274">
            <a:extLst>
              <a:ext uri="{FF2B5EF4-FFF2-40B4-BE49-F238E27FC236}">
                <a16:creationId xmlns:a16="http://schemas.microsoft.com/office/drawing/2014/main" id="{E973BBF1-4D9B-6864-3630-DFFFFF72673F}"/>
              </a:ext>
            </a:extLst>
          </xdr:cNvPr>
          <xdr:cNvCxnSpPr/>
        </xdr:nvCxnSpPr>
        <xdr:spPr>
          <a:xfrm>
            <a:off x="3759200" y="10887075"/>
            <a:ext cx="365125" cy="0"/>
          </a:xfrm>
          <a:prstGeom prst="line">
            <a:avLst/>
          </a:prstGeom>
          <a:noFill/>
          <a:ln w="6350"/>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2276" name="Straight Connector 2275">
            <a:extLst>
              <a:ext uri="{FF2B5EF4-FFF2-40B4-BE49-F238E27FC236}">
                <a16:creationId xmlns:a16="http://schemas.microsoft.com/office/drawing/2014/main" id="{F89A73F6-1911-665E-0757-614401368B13}"/>
              </a:ext>
            </a:extLst>
          </xdr:cNvPr>
          <xdr:cNvCxnSpPr/>
        </xdr:nvCxnSpPr>
        <xdr:spPr>
          <a:xfrm>
            <a:off x="3762375" y="11293475"/>
            <a:ext cx="361950" cy="0"/>
          </a:xfrm>
          <a:prstGeom prst="line">
            <a:avLst/>
          </a:prstGeom>
          <a:noFill/>
          <a:ln w="6350"/>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2277" name="Straight Connector 2276">
            <a:extLst>
              <a:ext uri="{FF2B5EF4-FFF2-40B4-BE49-F238E27FC236}">
                <a16:creationId xmlns:a16="http://schemas.microsoft.com/office/drawing/2014/main" id="{D420B8B3-B704-F1E3-450E-A09842118D54}"/>
              </a:ext>
            </a:extLst>
          </xdr:cNvPr>
          <xdr:cNvCxnSpPr/>
        </xdr:nvCxnSpPr>
        <xdr:spPr>
          <a:xfrm>
            <a:off x="4178300" y="10887075"/>
            <a:ext cx="400050" cy="0"/>
          </a:xfrm>
          <a:prstGeom prst="line">
            <a:avLst/>
          </a:prstGeom>
          <a:noFill/>
          <a:ln w="6350"/>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2278" name="Straight Connector 2277">
            <a:extLst>
              <a:ext uri="{FF2B5EF4-FFF2-40B4-BE49-F238E27FC236}">
                <a16:creationId xmlns:a16="http://schemas.microsoft.com/office/drawing/2014/main" id="{D5167123-D38E-1A6B-6BD0-FB9B5988369B}"/>
              </a:ext>
            </a:extLst>
          </xdr:cNvPr>
          <xdr:cNvCxnSpPr/>
        </xdr:nvCxnSpPr>
        <xdr:spPr>
          <a:xfrm>
            <a:off x="4181475" y="11293475"/>
            <a:ext cx="403225" cy="0"/>
          </a:xfrm>
          <a:prstGeom prst="line">
            <a:avLst/>
          </a:prstGeom>
          <a:noFill/>
          <a:ln w="6350"/>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2279" name="Straight Connector 2278">
            <a:extLst>
              <a:ext uri="{FF2B5EF4-FFF2-40B4-BE49-F238E27FC236}">
                <a16:creationId xmlns:a16="http://schemas.microsoft.com/office/drawing/2014/main" id="{16F25C87-28F8-3E11-345D-301074A5E5CB}"/>
              </a:ext>
            </a:extLst>
          </xdr:cNvPr>
          <xdr:cNvCxnSpPr/>
        </xdr:nvCxnSpPr>
        <xdr:spPr>
          <a:xfrm flipV="1">
            <a:off x="3724275" y="9958388"/>
            <a:ext cx="709613" cy="457200"/>
          </a:xfrm>
          <a:prstGeom prst="line">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280" name="Straight Connector 2279">
            <a:extLst>
              <a:ext uri="{FF2B5EF4-FFF2-40B4-BE49-F238E27FC236}">
                <a16:creationId xmlns:a16="http://schemas.microsoft.com/office/drawing/2014/main" id="{9C0FC82D-24A5-6042-2BA9-C49EDFF5F2B6}"/>
              </a:ext>
            </a:extLst>
          </xdr:cNvPr>
          <xdr:cNvCxnSpPr/>
        </xdr:nvCxnSpPr>
        <xdr:spPr>
          <a:xfrm flipV="1">
            <a:off x="3071813" y="9791700"/>
            <a:ext cx="842962" cy="414338"/>
          </a:xfrm>
          <a:prstGeom prst="line">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281" name="Straight Connector 2280">
            <a:extLst>
              <a:ext uri="{FF2B5EF4-FFF2-40B4-BE49-F238E27FC236}">
                <a16:creationId xmlns:a16="http://schemas.microsoft.com/office/drawing/2014/main" id="{AE10D9AE-A0D8-4194-372E-1B00243A6FC3}"/>
              </a:ext>
            </a:extLst>
          </xdr:cNvPr>
          <xdr:cNvCxnSpPr/>
        </xdr:nvCxnSpPr>
        <xdr:spPr>
          <a:xfrm flipV="1">
            <a:off x="4152901" y="9948863"/>
            <a:ext cx="290512" cy="509588"/>
          </a:xfrm>
          <a:prstGeom prst="line">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282" name="Straight Connector 2281">
            <a:extLst>
              <a:ext uri="{FF2B5EF4-FFF2-40B4-BE49-F238E27FC236}">
                <a16:creationId xmlns:a16="http://schemas.microsoft.com/office/drawing/2014/main" id="{79A138CE-3F9B-6CAD-7354-BED738AAC110}"/>
              </a:ext>
            </a:extLst>
          </xdr:cNvPr>
          <xdr:cNvCxnSpPr/>
        </xdr:nvCxnSpPr>
        <xdr:spPr>
          <a:xfrm flipH="1" flipV="1">
            <a:off x="4448175" y="9948863"/>
            <a:ext cx="157164" cy="709613"/>
          </a:xfrm>
          <a:prstGeom prst="line">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283" name="Straight Connector 2282">
            <a:extLst>
              <a:ext uri="{FF2B5EF4-FFF2-40B4-BE49-F238E27FC236}">
                <a16:creationId xmlns:a16="http://schemas.microsoft.com/office/drawing/2014/main" id="{7AE94FBC-5F66-5245-6D6C-FA8022BC8DA2}"/>
              </a:ext>
            </a:extLst>
          </xdr:cNvPr>
          <xdr:cNvCxnSpPr/>
        </xdr:nvCxnSpPr>
        <xdr:spPr>
          <a:xfrm flipH="1" flipV="1">
            <a:off x="1452563" y="9782175"/>
            <a:ext cx="338137" cy="1109663"/>
          </a:xfrm>
          <a:prstGeom prst="line">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284" name="Straight Connector 2283">
            <a:extLst>
              <a:ext uri="{FF2B5EF4-FFF2-40B4-BE49-F238E27FC236}">
                <a16:creationId xmlns:a16="http://schemas.microsoft.com/office/drawing/2014/main" id="{390231CD-D8B7-D23A-6A11-63A2E8A2367B}"/>
              </a:ext>
            </a:extLst>
          </xdr:cNvPr>
          <xdr:cNvCxnSpPr/>
        </xdr:nvCxnSpPr>
        <xdr:spPr>
          <a:xfrm flipH="1" flipV="1">
            <a:off x="1457325" y="9786938"/>
            <a:ext cx="771525" cy="742950"/>
          </a:xfrm>
          <a:prstGeom prst="line">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285" name="Straight Connector 2284">
            <a:extLst>
              <a:ext uri="{FF2B5EF4-FFF2-40B4-BE49-F238E27FC236}">
                <a16:creationId xmlns:a16="http://schemas.microsoft.com/office/drawing/2014/main" id="{2CB05F4E-5254-2964-5692-1A885580B296}"/>
              </a:ext>
            </a:extLst>
          </xdr:cNvPr>
          <xdr:cNvCxnSpPr/>
        </xdr:nvCxnSpPr>
        <xdr:spPr>
          <a:xfrm flipH="1" flipV="1">
            <a:off x="1452563" y="9777413"/>
            <a:ext cx="814387" cy="1519237"/>
          </a:xfrm>
          <a:prstGeom prst="line">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367" name="Straight Connector 2366">
            <a:extLst>
              <a:ext uri="{FF2B5EF4-FFF2-40B4-BE49-F238E27FC236}">
                <a16:creationId xmlns:a16="http://schemas.microsoft.com/office/drawing/2014/main" id="{D6DFBB85-C834-5DA2-818C-594AA8092982}"/>
              </a:ext>
            </a:extLst>
          </xdr:cNvPr>
          <xdr:cNvCxnSpPr/>
        </xdr:nvCxnSpPr>
        <xdr:spPr>
          <a:xfrm flipV="1">
            <a:off x="1300163" y="9782175"/>
            <a:ext cx="152400" cy="1100139"/>
          </a:xfrm>
          <a:prstGeom prst="line">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393" name="Straight Connector 2392">
            <a:extLst>
              <a:ext uri="{FF2B5EF4-FFF2-40B4-BE49-F238E27FC236}">
                <a16:creationId xmlns:a16="http://schemas.microsoft.com/office/drawing/2014/main" id="{1A8F45FE-2179-3F18-6046-EC3C8A757EA7}"/>
              </a:ext>
            </a:extLst>
          </xdr:cNvPr>
          <xdr:cNvCxnSpPr/>
        </xdr:nvCxnSpPr>
        <xdr:spPr>
          <a:xfrm flipH="1" flipV="1">
            <a:off x="2066925" y="9658350"/>
            <a:ext cx="752475" cy="876300"/>
          </a:xfrm>
          <a:prstGeom prst="line">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394" name="Straight Connector 2393">
            <a:extLst>
              <a:ext uri="{FF2B5EF4-FFF2-40B4-BE49-F238E27FC236}">
                <a16:creationId xmlns:a16="http://schemas.microsoft.com/office/drawing/2014/main" id="{4510B99A-1A02-C9C9-22AB-5E42376F7C8B}"/>
              </a:ext>
            </a:extLst>
          </xdr:cNvPr>
          <xdr:cNvCxnSpPr/>
        </xdr:nvCxnSpPr>
        <xdr:spPr>
          <a:xfrm flipH="1" flipV="1">
            <a:off x="2057400" y="9648825"/>
            <a:ext cx="1343025" cy="876300"/>
          </a:xfrm>
          <a:prstGeom prst="line">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68</xdr:col>
      <xdr:colOff>95250</xdr:colOff>
      <xdr:row>259</xdr:row>
      <xdr:rowOff>79375</xdr:rowOff>
    </xdr:from>
    <xdr:to>
      <xdr:col>76</xdr:col>
      <xdr:colOff>63500</xdr:colOff>
      <xdr:row>271</xdr:row>
      <xdr:rowOff>63500</xdr:rowOff>
    </xdr:to>
    <xdr:grpSp>
      <xdr:nvGrpSpPr>
        <xdr:cNvPr id="2397" name="Group 2396">
          <a:extLst>
            <a:ext uri="{FF2B5EF4-FFF2-40B4-BE49-F238E27FC236}">
              <a16:creationId xmlns:a16="http://schemas.microsoft.com/office/drawing/2014/main" id="{4F5E3CB4-4770-4153-BEC3-D928AD2312E2}"/>
            </a:ext>
          </a:extLst>
        </xdr:cNvPr>
        <xdr:cNvGrpSpPr/>
      </xdr:nvGrpSpPr>
      <xdr:grpSpPr>
        <a:xfrm>
          <a:off x="11106150" y="37941250"/>
          <a:ext cx="1263650" cy="1698625"/>
          <a:chOff x="8515350" y="10033000"/>
          <a:chExt cx="1263650" cy="1698625"/>
        </a:xfrm>
      </xdr:grpSpPr>
      <xdr:sp macro="" textlink="">
        <xdr:nvSpPr>
          <xdr:cNvPr id="2520" name="Freeform: Shape 2519">
            <a:extLst>
              <a:ext uri="{FF2B5EF4-FFF2-40B4-BE49-F238E27FC236}">
                <a16:creationId xmlns:a16="http://schemas.microsoft.com/office/drawing/2014/main" id="{C522117B-1F37-88A0-3786-E7C9CF09636C}"/>
              </a:ext>
            </a:extLst>
          </xdr:cNvPr>
          <xdr:cNvSpPr/>
        </xdr:nvSpPr>
        <xdr:spPr>
          <a:xfrm>
            <a:off x="8905875" y="10382251"/>
            <a:ext cx="485775" cy="1289050"/>
          </a:xfrm>
          <a:custGeom>
            <a:avLst/>
            <a:gdLst>
              <a:gd name="connsiteX0" fmla="*/ 400050 w 485775"/>
              <a:gd name="connsiteY0" fmla="*/ 282575 h 1279525"/>
              <a:gd name="connsiteX1" fmla="*/ 482600 w 485775"/>
              <a:gd name="connsiteY1" fmla="*/ 282575 h 1279525"/>
              <a:gd name="connsiteX2" fmla="*/ 482600 w 485775"/>
              <a:gd name="connsiteY2" fmla="*/ 0 h 1279525"/>
              <a:gd name="connsiteX3" fmla="*/ 0 w 485775"/>
              <a:gd name="connsiteY3" fmla="*/ 0 h 1279525"/>
              <a:gd name="connsiteX4" fmla="*/ 0 w 485775"/>
              <a:gd name="connsiteY4" fmla="*/ 1279525 h 1279525"/>
              <a:gd name="connsiteX5" fmla="*/ 485775 w 485775"/>
              <a:gd name="connsiteY5" fmla="*/ 1279525 h 1279525"/>
              <a:gd name="connsiteX6" fmla="*/ 485775 w 485775"/>
              <a:gd name="connsiteY6" fmla="*/ 993775 h 1279525"/>
              <a:gd name="connsiteX7" fmla="*/ 400050 w 485775"/>
              <a:gd name="connsiteY7" fmla="*/ 993775 h 1279525"/>
              <a:gd name="connsiteX8" fmla="*/ 400050 w 485775"/>
              <a:gd name="connsiteY8" fmla="*/ 1184275 h 1279525"/>
              <a:gd name="connsiteX9" fmla="*/ 88900 w 485775"/>
              <a:gd name="connsiteY9" fmla="*/ 1184275 h 1279525"/>
              <a:gd name="connsiteX10" fmla="*/ 88900 w 485775"/>
              <a:gd name="connsiteY10" fmla="*/ 82550 h 1279525"/>
              <a:gd name="connsiteX11" fmla="*/ 396875 w 485775"/>
              <a:gd name="connsiteY11" fmla="*/ 82550 h 1279525"/>
              <a:gd name="connsiteX12" fmla="*/ 400050 w 485775"/>
              <a:gd name="connsiteY12" fmla="*/ 282575 h 12795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Lst>
            <a:rect l="l" t="t" r="r" b="b"/>
            <a:pathLst>
              <a:path w="485775" h="1279525">
                <a:moveTo>
                  <a:pt x="400050" y="282575"/>
                </a:moveTo>
                <a:lnTo>
                  <a:pt x="482600" y="282575"/>
                </a:lnTo>
                <a:lnTo>
                  <a:pt x="482600" y="0"/>
                </a:lnTo>
                <a:lnTo>
                  <a:pt x="0" y="0"/>
                </a:lnTo>
                <a:lnTo>
                  <a:pt x="0" y="1279525"/>
                </a:lnTo>
                <a:lnTo>
                  <a:pt x="485775" y="1279525"/>
                </a:lnTo>
                <a:lnTo>
                  <a:pt x="485775" y="993775"/>
                </a:lnTo>
                <a:lnTo>
                  <a:pt x="400050" y="993775"/>
                </a:lnTo>
                <a:lnTo>
                  <a:pt x="400050" y="1184275"/>
                </a:lnTo>
                <a:lnTo>
                  <a:pt x="88900" y="1184275"/>
                </a:lnTo>
                <a:lnTo>
                  <a:pt x="88900" y="82550"/>
                </a:lnTo>
                <a:lnTo>
                  <a:pt x="396875" y="82550"/>
                </a:lnTo>
                <a:cubicBezTo>
                  <a:pt x="397933" y="149225"/>
                  <a:pt x="398992" y="215900"/>
                  <a:pt x="400050" y="282575"/>
                </a:cubicBezTo>
                <a:close/>
              </a:path>
            </a:pathLst>
          </a:cu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kern="1200"/>
          </a:p>
        </xdr:txBody>
      </xdr:sp>
      <xdr:cxnSp macro="">
        <xdr:nvCxnSpPr>
          <xdr:cNvPr id="2521" name="Straight Connector 2520">
            <a:extLst>
              <a:ext uri="{FF2B5EF4-FFF2-40B4-BE49-F238E27FC236}">
                <a16:creationId xmlns:a16="http://schemas.microsoft.com/office/drawing/2014/main" id="{9E042726-0AEF-8A64-F812-7B1539A0D118}"/>
              </a:ext>
            </a:extLst>
          </xdr:cNvPr>
          <xdr:cNvCxnSpPr/>
        </xdr:nvCxnSpPr>
        <xdr:spPr>
          <a:xfrm flipH="1">
            <a:off x="8518525" y="10382250"/>
            <a:ext cx="3333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652" name="Straight Connector 2651">
            <a:extLst>
              <a:ext uri="{FF2B5EF4-FFF2-40B4-BE49-F238E27FC236}">
                <a16:creationId xmlns:a16="http://schemas.microsoft.com/office/drawing/2014/main" id="{33D429F7-79F7-D81D-1BED-9FB52FE3DD84}"/>
              </a:ext>
            </a:extLst>
          </xdr:cNvPr>
          <xdr:cNvCxnSpPr/>
        </xdr:nvCxnSpPr>
        <xdr:spPr>
          <a:xfrm>
            <a:off x="8582025" y="10328275"/>
            <a:ext cx="0" cy="140335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653" name="Straight Connector 2652">
            <a:extLst>
              <a:ext uri="{FF2B5EF4-FFF2-40B4-BE49-F238E27FC236}">
                <a16:creationId xmlns:a16="http://schemas.microsoft.com/office/drawing/2014/main" id="{B72C00E4-608F-B506-FCA8-8BCF6B7B5839}"/>
              </a:ext>
            </a:extLst>
          </xdr:cNvPr>
          <xdr:cNvCxnSpPr/>
        </xdr:nvCxnSpPr>
        <xdr:spPr>
          <a:xfrm flipH="1">
            <a:off x="8553450" y="10353675"/>
            <a:ext cx="60325" cy="603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654" name="Straight Connector 2653">
            <a:extLst>
              <a:ext uri="{FF2B5EF4-FFF2-40B4-BE49-F238E27FC236}">
                <a16:creationId xmlns:a16="http://schemas.microsoft.com/office/drawing/2014/main" id="{3746F0A4-B353-9F83-F9B8-A26B9EC97341}"/>
              </a:ext>
            </a:extLst>
          </xdr:cNvPr>
          <xdr:cNvCxnSpPr/>
        </xdr:nvCxnSpPr>
        <xdr:spPr>
          <a:xfrm flipH="1">
            <a:off x="8515350" y="11671300"/>
            <a:ext cx="3333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655" name="Straight Connector 2654">
            <a:extLst>
              <a:ext uri="{FF2B5EF4-FFF2-40B4-BE49-F238E27FC236}">
                <a16:creationId xmlns:a16="http://schemas.microsoft.com/office/drawing/2014/main" id="{C6ACCF72-DA7F-F7E6-0FAE-C1C3197523DE}"/>
              </a:ext>
            </a:extLst>
          </xdr:cNvPr>
          <xdr:cNvCxnSpPr/>
        </xdr:nvCxnSpPr>
        <xdr:spPr>
          <a:xfrm flipH="1">
            <a:off x="8550275" y="11642725"/>
            <a:ext cx="60325" cy="603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656" name="Straight Connector 2655">
            <a:extLst>
              <a:ext uri="{FF2B5EF4-FFF2-40B4-BE49-F238E27FC236}">
                <a16:creationId xmlns:a16="http://schemas.microsoft.com/office/drawing/2014/main" id="{506DD40B-95B5-2E17-A57E-705DF1AD45C6}"/>
              </a:ext>
            </a:extLst>
          </xdr:cNvPr>
          <xdr:cNvCxnSpPr/>
        </xdr:nvCxnSpPr>
        <xdr:spPr>
          <a:xfrm flipV="1">
            <a:off x="8905875" y="10033000"/>
            <a:ext cx="0" cy="29845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657" name="Straight Connector 2656">
            <a:extLst>
              <a:ext uri="{FF2B5EF4-FFF2-40B4-BE49-F238E27FC236}">
                <a16:creationId xmlns:a16="http://schemas.microsoft.com/office/drawing/2014/main" id="{C9343747-7E38-F8C7-0FDF-35F4C36EE62D}"/>
              </a:ext>
            </a:extLst>
          </xdr:cNvPr>
          <xdr:cNvCxnSpPr/>
        </xdr:nvCxnSpPr>
        <xdr:spPr>
          <a:xfrm>
            <a:off x="8839200" y="10099675"/>
            <a:ext cx="603250"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658" name="Straight Connector 2657">
            <a:extLst>
              <a:ext uri="{FF2B5EF4-FFF2-40B4-BE49-F238E27FC236}">
                <a16:creationId xmlns:a16="http://schemas.microsoft.com/office/drawing/2014/main" id="{DA7C77FB-8699-3534-4C84-759B79995DB9}"/>
              </a:ext>
            </a:extLst>
          </xdr:cNvPr>
          <xdr:cNvCxnSpPr/>
        </xdr:nvCxnSpPr>
        <xdr:spPr>
          <a:xfrm flipH="1">
            <a:off x="8874125" y="10071100"/>
            <a:ext cx="60325" cy="603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659" name="Straight Connector 2658">
            <a:extLst>
              <a:ext uri="{FF2B5EF4-FFF2-40B4-BE49-F238E27FC236}">
                <a16:creationId xmlns:a16="http://schemas.microsoft.com/office/drawing/2014/main" id="{2C813AF4-02E1-16C6-7598-985F82C003DE}"/>
              </a:ext>
            </a:extLst>
          </xdr:cNvPr>
          <xdr:cNvCxnSpPr/>
        </xdr:nvCxnSpPr>
        <xdr:spPr>
          <a:xfrm flipV="1">
            <a:off x="9391650" y="10033000"/>
            <a:ext cx="0" cy="29845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816" name="Straight Connector 2815">
            <a:extLst>
              <a:ext uri="{FF2B5EF4-FFF2-40B4-BE49-F238E27FC236}">
                <a16:creationId xmlns:a16="http://schemas.microsoft.com/office/drawing/2014/main" id="{F81EA40F-9974-C4C4-61EC-5E0735206B14}"/>
              </a:ext>
            </a:extLst>
          </xdr:cNvPr>
          <xdr:cNvCxnSpPr/>
        </xdr:nvCxnSpPr>
        <xdr:spPr>
          <a:xfrm flipH="1">
            <a:off x="9359900" y="10071100"/>
            <a:ext cx="60325" cy="603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817" name="Straight Connector 2816">
            <a:extLst>
              <a:ext uri="{FF2B5EF4-FFF2-40B4-BE49-F238E27FC236}">
                <a16:creationId xmlns:a16="http://schemas.microsoft.com/office/drawing/2014/main" id="{AD5885D6-3C48-43D3-9402-2474DE0C1CE0}"/>
              </a:ext>
            </a:extLst>
          </xdr:cNvPr>
          <xdr:cNvCxnSpPr/>
        </xdr:nvCxnSpPr>
        <xdr:spPr>
          <a:xfrm flipH="1">
            <a:off x="9445625" y="10385425"/>
            <a:ext cx="3333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818" name="Straight Connector 2817">
            <a:extLst>
              <a:ext uri="{FF2B5EF4-FFF2-40B4-BE49-F238E27FC236}">
                <a16:creationId xmlns:a16="http://schemas.microsoft.com/office/drawing/2014/main" id="{D37303B8-44F9-774F-6A2C-931E71F23B12}"/>
              </a:ext>
            </a:extLst>
          </xdr:cNvPr>
          <xdr:cNvCxnSpPr/>
        </xdr:nvCxnSpPr>
        <xdr:spPr>
          <a:xfrm>
            <a:off x="9715500" y="10331450"/>
            <a:ext cx="0" cy="40005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819" name="Straight Connector 2818">
            <a:extLst>
              <a:ext uri="{FF2B5EF4-FFF2-40B4-BE49-F238E27FC236}">
                <a16:creationId xmlns:a16="http://schemas.microsoft.com/office/drawing/2014/main" id="{A99EB2D3-FB77-CEF2-BF4B-245F3E15C8DF}"/>
              </a:ext>
            </a:extLst>
          </xdr:cNvPr>
          <xdr:cNvCxnSpPr/>
        </xdr:nvCxnSpPr>
        <xdr:spPr>
          <a:xfrm flipH="1">
            <a:off x="9686925" y="10356850"/>
            <a:ext cx="60325" cy="603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820" name="Straight Connector 2819">
            <a:extLst>
              <a:ext uri="{FF2B5EF4-FFF2-40B4-BE49-F238E27FC236}">
                <a16:creationId xmlns:a16="http://schemas.microsoft.com/office/drawing/2014/main" id="{6D0B9C42-56B5-6623-A6A3-94D90D50EDE1}"/>
              </a:ext>
            </a:extLst>
          </xdr:cNvPr>
          <xdr:cNvCxnSpPr/>
        </xdr:nvCxnSpPr>
        <xdr:spPr>
          <a:xfrm flipH="1">
            <a:off x="9436100" y="10668000"/>
            <a:ext cx="3333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821" name="Straight Connector 2820">
            <a:extLst>
              <a:ext uri="{FF2B5EF4-FFF2-40B4-BE49-F238E27FC236}">
                <a16:creationId xmlns:a16="http://schemas.microsoft.com/office/drawing/2014/main" id="{8BEA4912-1653-7C6B-D3A7-55E4617C3C37}"/>
              </a:ext>
            </a:extLst>
          </xdr:cNvPr>
          <xdr:cNvCxnSpPr/>
        </xdr:nvCxnSpPr>
        <xdr:spPr>
          <a:xfrm flipH="1">
            <a:off x="9683750" y="10639425"/>
            <a:ext cx="60325" cy="603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822" name="Straight Connector 2821">
            <a:extLst>
              <a:ext uri="{FF2B5EF4-FFF2-40B4-BE49-F238E27FC236}">
                <a16:creationId xmlns:a16="http://schemas.microsoft.com/office/drawing/2014/main" id="{9CB962DB-6383-5654-4929-1F7A09E1AF93}"/>
              </a:ext>
            </a:extLst>
          </xdr:cNvPr>
          <xdr:cNvCxnSpPr/>
        </xdr:nvCxnSpPr>
        <xdr:spPr>
          <a:xfrm flipH="1">
            <a:off x="8839200" y="10956925"/>
            <a:ext cx="203200"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823" name="Straight Connector 2822">
            <a:extLst>
              <a:ext uri="{FF2B5EF4-FFF2-40B4-BE49-F238E27FC236}">
                <a16:creationId xmlns:a16="http://schemas.microsoft.com/office/drawing/2014/main" id="{642ED343-C284-90B5-07BB-40F9EAD60B95}"/>
              </a:ext>
            </a:extLst>
          </xdr:cNvPr>
          <xdr:cNvCxnSpPr/>
        </xdr:nvCxnSpPr>
        <xdr:spPr>
          <a:xfrm flipH="1">
            <a:off x="8874125" y="10928350"/>
            <a:ext cx="60325" cy="603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824" name="Straight Connector 2823">
            <a:extLst>
              <a:ext uri="{FF2B5EF4-FFF2-40B4-BE49-F238E27FC236}">
                <a16:creationId xmlns:a16="http://schemas.microsoft.com/office/drawing/2014/main" id="{C2818DED-8DBA-C35A-A43F-833E2186F3F2}"/>
              </a:ext>
            </a:extLst>
          </xdr:cNvPr>
          <xdr:cNvCxnSpPr/>
        </xdr:nvCxnSpPr>
        <xdr:spPr>
          <a:xfrm flipH="1">
            <a:off x="8966200" y="10928350"/>
            <a:ext cx="60325" cy="60325"/>
          </a:xfrm>
          <a:prstGeom prst="line">
            <a:avLst/>
          </a:prstGeom>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xdr:col>
      <xdr:colOff>95250</xdr:colOff>
      <xdr:row>211</xdr:row>
      <xdr:rowOff>61913</xdr:rowOff>
    </xdr:from>
    <xdr:to>
      <xdr:col>33</xdr:col>
      <xdr:colOff>28575</xdr:colOff>
      <xdr:row>251</xdr:row>
      <xdr:rowOff>61915</xdr:rowOff>
    </xdr:to>
    <xdr:grpSp>
      <xdr:nvGrpSpPr>
        <xdr:cNvPr id="2825" name="Group 2824">
          <a:extLst>
            <a:ext uri="{FF2B5EF4-FFF2-40B4-BE49-F238E27FC236}">
              <a16:creationId xmlns:a16="http://schemas.microsoft.com/office/drawing/2014/main" id="{218FC24A-0DE1-4827-9D03-1CCB8DA5BA2C}"/>
            </a:ext>
          </a:extLst>
        </xdr:cNvPr>
        <xdr:cNvGrpSpPr/>
      </xdr:nvGrpSpPr>
      <xdr:grpSpPr>
        <a:xfrm>
          <a:off x="419100" y="31065788"/>
          <a:ext cx="4953000" cy="5715002"/>
          <a:chOff x="419100" y="3729038"/>
          <a:chExt cx="4953000" cy="5715002"/>
        </a:xfrm>
      </xdr:grpSpPr>
      <xdr:sp macro="" textlink="">
        <xdr:nvSpPr>
          <xdr:cNvPr id="2826" name="Rectangle 2825">
            <a:extLst>
              <a:ext uri="{FF2B5EF4-FFF2-40B4-BE49-F238E27FC236}">
                <a16:creationId xmlns:a16="http://schemas.microsoft.com/office/drawing/2014/main" id="{7C54E5D6-277A-F3CE-11C6-D535F2B2127C}"/>
              </a:ext>
            </a:extLst>
          </xdr:cNvPr>
          <xdr:cNvSpPr/>
        </xdr:nvSpPr>
        <xdr:spPr>
          <a:xfrm>
            <a:off x="1133475" y="4381499"/>
            <a:ext cx="3886200" cy="5000625"/>
          </a:xfrm>
          <a:prstGeom prst="rect">
            <a:avLst/>
          </a:prstGeom>
          <a:solidFill>
            <a:schemeClr val="bg1">
              <a:lumMod val="95000"/>
            </a:schemeClr>
          </a:solidFill>
          <a:ln w="63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kern="1200"/>
          </a:p>
        </xdr:txBody>
      </xdr:sp>
      <xdr:cxnSp macro="">
        <xdr:nvCxnSpPr>
          <xdr:cNvPr id="2827" name="Straight Connector 2826">
            <a:extLst>
              <a:ext uri="{FF2B5EF4-FFF2-40B4-BE49-F238E27FC236}">
                <a16:creationId xmlns:a16="http://schemas.microsoft.com/office/drawing/2014/main" id="{59E652E8-7966-85D0-AACB-57CEDBD88CEC}"/>
              </a:ext>
            </a:extLst>
          </xdr:cNvPr>
          <xdr:cNvCxnSpPr/>
        </xdr:nvCxnSpPr>
        <xdr:spPr>
          <a:xfrm>
            <a:off x="3038476" y="4381501"/>
            <a:ext cx="0" cy="500062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828" name="Straight Connector 2827">
            <a:extLst>
              <a:ext uri="{FF2B5EF4-FFF2-40B4-BE49-F238E27FC236}">
                <a16:creationId xmlns:a16="http://schemas.microsoft.com/office/drawing/2014/main" id="{24F61372-7E22-8CA9-6B1A-DE9DAF6C653E}"/>
              </a:ext>
            </a:extLst>
          </xdr:cNvPr>
          <xdr:cNvCxnSpPr/>
        </xdr:nvCxnSpPr>
        <xdr:spPr>
          <a:xfrm>
            <a:off x="3114675" y="4381500"/>
            <a:ext cx="0" cy="50006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829" name="Straight Connector 2828">
            <a:extLst>
              <a:ext uri="{FF2B5EF4-FFF2-40B4-BE49-F238E27FC236}">
                <a16:creationId xmlns:a16="http://schemas.microsoft.com/office/drawing/2014/main" id="{242F0950-5B19-FFB7-A787-6C37959481E0}"/>
              </a:ext>
            </a:extLst>
          </xdr:cNvPr>
          <xdr:cNvCxnSpPr/>
        </xdr:nvCxnSpPr>
        <xdr:spPr>
          <a:xfrm>
            <a:off x="1619250" y="4381500"/>
            <a:ext cx="0" cy="500062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830" name="Straight Connector 2829">
            <a:extLst>
              <a:ext uri="{FF2B5EF4-FFF2-40B4-BE49-F238E27FC236}">
                <a16:creationId xmlns:a16="http://schemas.microsoft.com/office/drawing/2014/main" id="{BDEFC5C4-DE9E-7C63-202C-70FB0A1C3A4F}"/>
              </a:ext>
            </a:extLst>
          </xdr:cNvPr>
          <xdr:cNvCxnSpPr/>
        </xdr:nvCxnSpPr>
        <xdr:spPr>
          <a:xfrm>
            <a:off x="2105025" y="4381500"/>
            <a:ext cx="0" cy="500062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831" name="Straight Connector 2830">
            <a:extLst>
              <a:ext uri="{FF2B5EF4-FFF2-40B4-BE49-F238E27FC236}">
                <a16:creationId xmlns:a16="http://schemas.microsoft.com/office/drawing/2014/main" id="{8AA052E1-DF55-24B9-E3C9-ACC2606D50F0}"/>
              </a:ext>
            </a:extLst>
          </xdr:cNvPr>
          <xdr:cNvCxnSpPr/>
        </xdr:nvCxnSpPr>
        <xdr:spPr>
          <a:xfrm>
            <a:off x="2590801" y="4386262"/>
            <a:ext cx="0" cy="500062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832" name="Straight Connector 2831">
            <a:extLst>
              <a:ext uri="{FF2B5EF4-FFF2-40B4-BE49-F238E27FC236}">
                <a16:creationId xmlns:a16="http://schemas.microsoft.com/office/drawing/2014/main" id="{CECCCC91-2C43-BB44-D1F7-53383FA6FEEE}"/>
              </a:ext>
            </a:extLst>
          </xdr:cNvPr>
          <xdr:cNvCxnSpPr/>
        </xdr:nvCxnSpPr>
        <xdr:spPr>
          <a:xfrm>
            <a:off x="3562351" y="4381501"/>
            <a:ext cx="0" cy="500062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833" name="Straight Connector 2832">
            <a:extLst>
              <a:ext uri="{FF2B5EF4-FFF2-40B4-BE49-F238E27FC236}">
                <a16:creationId xmlns:a16="http://schemas.microsoft.com/office/drawing/2014/main" id="{B90EE105-CCE9-72CE-654F-332C28917DBA}"/>
              </a:ext>
            </a:extLst>
          </xdr:cNvPr>
          <xdr:cNvCxnSpPr/>
        </xdr:nvCxnSpPr>
        <xdr:spPr>
          <a:xfrm>
            <a:off x="4048126" y="4381501"/>
            <a:ext cx="0" cy="500062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834" name="Straight Connector 2833">
            <a:extLst>
              <a:ext uri="{FF2B5EF4-FFF2-40B4-BE49-F238E27FC236}">
                <a16:creationId xmlns:a16="http://schemas.microsoft.com/office/drawing/2014/main" id="{67161473-BBDD-A3BD-0B38-FD96615131DC}"/>
              </a:ext>
            </a:extLst>
          </xdr:cNvPr>
          <xdr:cNvCxnSpPr/>
        </xdr:nvCxnSpPr>
        <xdr:spPr>
          <a:xfrm>
            <a:off x="4533902" y="4386263"/>
            <a:ext cx="0" cy="500062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835" name="Straight Connector 2834">
            <a:extLst>
              <a:ext uri="{FF2B5EF4-FFF2-40B4-BE49-F238E27FC236}">
                <a16:creationId xmlns:a16="http://schemas.microsoft.com/office/drawing/2014/main" id="{2DB8C24E-366D-8D63-DA08-60F04489263F}"/>
              </a:ext>
            </a:extLst>
          </xdr:cNvPr>
          <xdr:cNvCxnSpPr/>
        </xdr:nvCxnSpPr>
        <xdr:spPr>
          <a:xfrm>
            <a:off x="1133475" y="5095876"/>
            <a:ext cx="38862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836" name="Straight Connector 2835">
            <a:extLst>
              <a:ext uri="{FF2B5EF4-FFF2-40B4-BE49-F238E27FC236}">
                <a16:creationId xmlns:a16="http://schemas.microsoft.com/office/drawing/2014/main" id="{AF395199-4F97-64A2-205D-2C2DB196BBE6}"/>
              </a:ext>
            </a:extLst>
          </xdr:cNvPr>
          <xdr:cNvCxnSpPr/>
        </xdr:nvCxnSpPr>
        <xdr:spPr>
          <a:xfrm>
            <a:off x="1133475" y="5810251"/>
            <a:ext cx="38862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837" name="Straight Connector 2836">
            <a:extLst>
              <a:ext uri="{FF2B5EF4-FFF2-40B4-BE49-F238E27FC236}">
                <a16:creationId xmlns:a16="http://schemas.microsoft.com/office/drawing/2014/main" id="{041D6B1C-1A39-3938-E023-C38B89E34A3B}"/>
              </a:ext>
            </a:extLst>
          </xdr:cNvPr>
          <xdr:cNvCxnSpPr/>
        </xdr:nvCxnSpPr>
        <xdr:spPr>
          <a:xfrm>
            <a:off x="1133475" y="6524626"/>
            <a:ext cx="38862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838" name="Straight Connector 2837">
            <a:extLst>
              <a:ext uri="{FF2B5EF4-FFF2-40B4-BE49-F238E27FC236}">
                <a16:creationId xmlns:a16="http://schemas.microsoft.com/office/drawing/2014/main" id="{C8FA8A12-6D7A-A52C-19E0-AB3414E695CC}"/>
              </a:ext>
            </a:extLst>
          </xdr:cNvPr>
          <xdr:cNvCxnSpPr/>
        </xdr:nvCxnSpPr>
        <xdr:spPr>
          <a:xfrm>
            <a:off x="1133474" y="7239000"/>
            <a:ext cx="38862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839" name="Straight Connector 2838">
            <a:extLst>
              <a:ext uri="{FF2B5EF4-FFF2-40B4-BE49-F238E27FC236}">
                <a16:creationId xmlns:a16="http://schemas.microsoft.com/office/drawing/2014/main" id="{E97A4F3B-91BB-ED1A-D486-B186FABAE18A}"/>
              </a:ext>
            </a:extLst>
          </xdr:cNvPr>
          <xdr:cNvCxnSpPr/>
        </xdr:nvCxnSpPr>
        <xdr:spPr>
          <a:xfrm>
            <a:off x="1133474" y="7953375"/>
            <a:ext cx="38862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840" name="Straight Connector 2839">
            <a:extLst>
              <a:ext uri="{FF2B5EF4-FFF2-40B4-BE49-F238E27FC236}">
                <a16:creationId xmlns:a16="http://schemas.microsoft.com/office/drawing/2014/main" id="{CA62CC78-BE9B-E25B-DE20-789209E3EE36}"/>
              </a:ext>
            </a:extLst>
          </xdr:cNvPr>
          <xdr:cNvCxnSpPr/>
        </xdr:nvCxnSpPr>
        <xdr:spPr>
          <a:xfrm>
            <a:off x="1133474" y="8667750"/>
            <a:ext cx="38862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841" name="Straight Connector 2840">
            <a:extLst>
              <a:ext uri="{FF2B5EF4-FFF2-40B4-BE49-F238E27FC236}">
                <a16:creationId xmlns:a16="http://schemas.microsoft.com/office/drawing/2014/main" id="{A00481D2-023B-D284-1B5A-2F18CAD4287B}"/>
              </a:ext>
            </a:extLst>
          </xdr:cNvPr>
          <xdr:cNvCxnSpPr/>
        </xdr:nvCxnSpPr>
        <xdr:spPr>
          <a:xfrm>
            <a:off x="1138238" y="4386263"/>
            <a:ext cx="971550" cy="70961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842" name="Straight Connector 2841">
            <a:extLst>
              <a:ext uri="{FF2B5EF4-FFF2-40B4-BE49-F238E27FC236}">
                <a16:creationId xmlns:a16="http://schemas.microsoft.com/office/drawing/2014/main" id="{73AA68EB-7ED8-BDD7-389F-891BC1B2E0B6}"/>
              </a:ext>
            </a:extLst>
          </xdr:cNvPr>
          <xdr:cNvCxnSpPr/>
        </xdr:nvCxnSpPr>
        <xdr:spPr>
          <a:xfrm flipV="1">
            <a:off x="1133475" y="4381500"/>
            <a:ext cx="971550" cy="7143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843" name="Straight Connector 2842">
            <a:extLst>
              <a:ext uri="{FF2B5EF4-FFF2-40B4-BE49-F238E27FC236}">
                <a16:creationId xmlns:a16="http://schemas.microsoft.com/office/drawing/2014/main" id="{099E055B-9870-BFA1-B4FD-8CA0E52591DC}"/>
              </a:ext>
            </a:extLst>
          </xdr:cNvPr>
          <xdr:cNvCxnSpPr/>
        </xdr:nvCxnSpPr>
        <xdr:spPr>
          <a:xfrm>
            <a:off x="2109788" y="4386263"/>
            <a:ext cx="971550" cy="70961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844" name="Straight Connector 2843">
            <a:extLst>
              <a:ext uri="{FF2B5EF4-FFF2-40B4-BE49-F238E27FC236}">
                <a16:creationId xmlns:a16="http://schemas.microsoft.com/office/drawing/2014/main" id="{4FE495D8-E39E-B95D-AAAC-70978C0CA8F2}"/>
              </a:ext>
            </a:extLst>
          </xdr:cNvPr>
          <xdr:cNvCxnSpPr/>
        </xdr:nvCxnSpPr>
        <xdr:spPr>
          <a:xfrm flipV="1">
            <a:off x="2105025" y="4381500"/>
            <a:ext cx="971550" cy="7143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845" name="Straight Connector 2844">
            <a:extLst>
              <a:ext uri="{FF2B5EF4-FFF2-40B4-BE49-F238E27FC236}">
                <a16:creationId xmlns:a16="http://schemas.microsoft.com/office/drawing/2014/main" id="{F3C41CC3-2724-C56D-307A-B1E275125FFC}"/>
              </a:ext>
            </a:extLst>
          </xdr:cNvPr>
          <xdr:cNvCxnSpPr/>
        </xdr:nvCxnSpPr>
        <xdr:spPr>
          <a:xfrm>
            <a:off x="3081338" y="4386263"/>
            <a:ext cx="971550" cy="70961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846" name="Straight Connector 2845">
            <a:extLst>
              <a:ext uri="{FF2B5EF4-FFF2-40B4-BE49-F238E27FC236}">
                <a16:creationId xmlns:a16="http://schemas.microsoft.com/office/drawing/2014/main" id="{25B03F4C-345B-7F3B-264E-C524381D5BD9}"/>
              </a:ext>
            </a:extLst>
          </xdr:cNvPr>
          <xdr:cNvCxnSpPr/>
        </xdr:nvCxnSpPr>
        <xdr:spPr>
          <a:xfrm flipV="1">
            <a:off x="3076575" y="4381500"/>
            <a:ext cx="971550" cy="7143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847" name="Straight Connector 2846">
            <a:extLst>
              <a:ext uri="{FF2B5EF4-FFF2-40B4-BE49-F238E27FC236}">
                <a16:creationId xmlns:a16="http://schemas.microsoft.com/office/drawing/2014/main" id="{DB670562-32DF-1362-38D1-C9A0DACCB305}"/>
              </a:ext>
            </a:extLst>
          </xdr:cNvPr>
          <xdr:cNvCxnSpPr/>
        </xdr:nvCxnSpPr>
        <xdr:spPr>
          <a:xfrm>
            <a:off x="4052888" y="4386263"/>
            <a:ext cx="971550" cy="70961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848" name="Straight Connector 2847">
            <a:extLst>
              <a:ext uri="{FF2B5EF4-FFF2-40B4-BE49-F238E27FC236}">
                <a16:creationId xmlns:a16="http://schemas.microsoft.com/office/drawing/2014/main" id="{D65C2B25-79D7-5EFE-490F-01D129DF21AB}"/>
              </a:ext>
            </a:extLst>
          </xdr:cNvPr>
          <xdr:cNvCxnSpPr/>
        </xdr:nvCxnSpPr>
        <xdr:spPr>
          <a:xfrm flipV="1">
            <a:off x="4048125" y="4381500"/>
            <a:ext cx="971550" cy="7143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849" name="Straight Connector 2848">
            <a:extLst>
              <a:ext uri="{FF2B5EF4-FFF2-40B4-BE49-F238E27FC236}">
                <a16:creationId xmlns:a16="http://schemas.microsoft.com/office/drawing/2014/main" id="{BCEDA600-46EB-F9E0-4CD0-AF0032748393}"/>
              </a:ext>
            </a:extLst>
          </xdr:cNvPr>
          <xdr:cNvCxnSpPr/>
        </xdr:nvCxnSpPr>
        <xdr:spPr>
          <a:xfrm>
            <a:off x="1138238" y="6529397"/>
            <a:ext cx="971550" cy="70961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850" name="Straight Connector 2849">
            <a:extLst>
              <a:ext uri="{FF2B5EF4-FFF2-40B4-BE49-F238E27FC236}">
                <a16:creationId xmlns:a16="http://schemas.microsoft.com/office/drawing/2014/main" id="{D9BFE8AF-A7B3-5EF8-32E3-26834D8D9841}"/>
              </a:ext>
            </a:extLst>
          </xdr:cNvPr>
          <xdr:cNvCxnSpPr/>
        </xdr:nvCxnSpPr>
        <xdr:spPr>
          <a:xfrm flipV="1">
            <a:off x="1133475" y="6524634"/>
            <a:ext cx="971550" cy="7143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851" name="Straight Connector 2850">
            <a:extLst>
              <a:ext uri="{FF2B5EF4-FFF2-40B4-BE49-F238E27FC236}">
                <a16:creationId xmlns:a16="http://schemas.microsoft.com/office/drawing/2014/main" id="{79D04069-1F25-AD8F-5DD9-B314313E81DC}"/>
              </a:ext>
            </a:extLst>
          </xdr:cNvPr>
          <xdr:cNvCxnSpPr/>
        </xdr:nvCxnSpPr>
        <xdr:spPr>
          <a:xfrm>
            <a:off x="2109788" y="6529397"/>
            <a:ext cx="971550" cy="70961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852" name="Straight Connector 2851">
            <a:extLst>
              <a:ext uri="{FF2B5EF4-FFF2-40B4-BE49-F238E27FC236}">
                <a16:creationId xmlns:a16="http://schemas.microsoft.com/office/drawing/2014/main" id="{9EF7E8A0-435D-6CEB-656F-A94C09903619}"/>
              </a:ext>
            </a:extLst>
          </xdr:cNvPr>
          <xdr:cNvCxnSpPr/>
        </xdr:nvCxnSpPr>
        <xdr:spPr>
          <a:xfrm flipV="1">
            <a:off x="2105025" y="6524634"/>
            <a:ext cx="971550" cy="7143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853" name="Straight Connector 2852">
            <a:extLst>
              <a:ext uri="{FF2B5EF4-FFF2-40B4-BE49-F238E27FC236}">
                <a16:creationId xmlns:a16="http://schemas.microsoft.com/office/drawing/2014/main" id="{5D3B9563-FE8C-BAA2-B380-58D660DC2BC6}"/>
              </a:ext>
            </a:extLst>
          </xdr:cNvPr>
          <xdr:cNvCxnSpPr/>
        </xdr:nvCxnSpPr>
        <xdr:spPr>
          <a:xfrm>
            <a:off x="3081338" y="6529397"/>
            <a:ext cx="971550" cy="70961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854" name="Straight Connector 2853">
            <a:extLst>
              <a:ext uri="{FF2B5EF4-FFF2-40B4-BE49-F238E27FC236}">
                <a16:creationId xmlns:a16="http://schemas.microsoft.com/office/drawing/2014/main" id="{7D59E88D-F0B5-8EAA-5B65-6D09B4B8F486}"/>
              </a:ext>
            </a:extLst>
          </xdr:cNvPr>
          <xdr:cNvCxnSpPr/>
        </xdr:nvCxnSpPr>
        <xdr:spPr>
          <a:xfrm flipV="1">
            <a:off x="3076575" y="6524634"/>
            <a:ext cx="971550" cy="7143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855" name="Straight Connector 2854">
            <a:extLst>
              <a:ext uri="{FF2B5EF4-FFF2-40B4-BE49-F238E27FC236}">
                <a16:creationId xmlns:a16="http://schemas.microsoft.com/office/drawing/2014/main" id="{FDA0326E-5764-2EE7-0EFB-892E0D239456}"/>
              </a:ext>
            </a:extLst>
          </xdr:cNvPr>
          <xdr:cNvCxnSpPr/>
        </xdr:nvCxnSpPr>
        <xdr:spPr>
          <a:xfrm>
            <a:off x="4052888" y="6529397"/>
            <a:ext cx="971550" cy="70961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856" name="Straight Connector 2855">
            <a:extLst>
              <a:ext uri="{FF2B5EF4-FFF2-40B4-BE49-F238E27FC236}">
                <a16:creationId xmlns:a16="http://schemas.microsoft.com/office/drawing/2014/main" id="{488D9EE0-C7CF-3DF8-ED0A-0B80775104D5}"/>
              </a:ext>
            </a:extLst>
          </xdr:cNvPr>
          <xdr:cNvCxnSpPr/>
        </xdr:nvCxnSpPr>
        <xdr:spPr>
          <a:xfrm flipV="1">
            <a:off x="4048125" y="6524634"/>
            <a:ext cx="971550" cy="7143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857" name="Straight Connector 2856">
            <a:extLst>
              <a:ext uri="{FF2B5EF4-FFF2-40B4-BE49-F238E27FC236}">
                <a16:creationId xmlns:a16="http://schemas.microsoft.com/office/drawing/2014/main" id="{35681056-CB23-A0F9-051E-C76C717BC63E}"/>
              </a:ext>
            </a:extLst>
          </xdr:cNvPr>
          <xdr:cNvCxnSpPr/>
        </xdr:nvCxnSpPr>
        <xdr:spPr>
          <a:xfrm>
            <a:off x="1133475" y="7239001"/>
            <a:ext cx="38862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858" name="Straight Connector 2857">
            <a:extLst>
              <a:ext uri="{FF2B5EF4-FFF2-40B4-BE49-F238E27FC236}">
                <a16:creationId xmlns:a16="http://schemas.microsoft.com/office/drawing/2014/main" id="{607C537D-1024-3018-1661-F0D514327908}"/>
              </a:ext>
            </a:extLst>
          </xdr:cNvPr>
          <xdr:cNvCxnSpPr/>
        </xdr:nvCxnSpPr>
        <xdr:spPr>
          <a:xfrm>
            <a:off x="1133475" y="8667751"/>
            <a:ext cx="38862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859" name="Straight Connector 2858">
            <a:extLst>
              <a:ext uri="{FF2B5EF4-FFF2-40B4-BE49-F238E27FC236}">
                <a16:creationId xmlns:a16="http://schemas.microsoft.com/office/drawing/2014/main" id="{64FC4B4D-ECCB-4A41-4CDF-94C562F43053}"/>
              </a:ext>
            </a:extLst>
          </xdr:cNvPr>
          <xdr:cNvCxnSpPr/>
        </xdr:nvCxnSpPr>
        <xdr:spPr>
          <a:xfrm>
            <a:off x="1138238" y="8672513"/>
            <a:ext cx="971550" cy="70961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860" name="Straight Connector 2859">
            <a:extLst>
              <a:ext uri="{FF2B5EF4-FFF2-40B4-BE49-F238E27FC236}">
                <a16:creationId xmlns:a16="http://schemas.microsoft.com/office/drawing/2014/main" id="{6BBADE4D-96B4-CC4F-A862-01BB8B591746}"/>
              </a:ext>
            </a:extLst>
          </xdr:cNvPr>
          <xdr:cNvCxnSpPr/>
        </xdr:nvCxnSpPr>
        <xdr:spPr>
          <a:xfrm flipV="1">
            <a:off x="1133475" y="8667750"/>
            <a:ext cx="971550" cy="7143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861" name="Straight Connector 2860">
            <a:extLst>
              <a:ext uri="{FF2B5EF4-FFF2-40B4-BE49-F238E27FC236}">
                <a16:creationId xmlns:a16="http://schemas.microsoft.com/office/drawing/2014/main" id="{7F3B8DEC-5C86-1E9B-C421-47A9AA1430F8}"/>
              </a:ext>
            </a:extLst>
          </xdr:cNvPr>
          <xdr:cNvCxnSpPr/>
        </xdr:nvCxnSpPr>
        <xdr:spPr>
          <a:xfrm>
            <a:off x="2109788" y="8672513"/>
            <a:ext cx="971550" cy="70961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862" name="Straight Connector 2861">
            <a:extLst>
              <a:ext uri="{FF2B5EF4-FFF2-40B4-BE49-F238E27FC236}">
                <a16:creationId xmlns:a16="http://schemas.microsoft.com/office/drawing/2014/main" id="{F797F2D3-553A-CAD8-726C-94D6C248CE48}"/>
              </a:ext>
            </a:extLst>
          </xdr:cNvPr>
          <xdr:cNvCxnSpPr/>
        </xdr:nvCxnSpPr>
        <xdr:spPr>
          <a:xfrm flipV="1">
            <a:off x="2105025" y="8667750"/>
            <a:ext cx="971550" cy="7143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863" name="Straight Connector 2862">
            <a:extLst>
              <a:ext uri="{FF2B5EF4-FFF2-40B4-BE49-F238E27FC236}">
                <a16:creationId xmlns:a16="http://schemas.microsoft.com/office/drawing/2014/main" id="{E5FB8707-C79B-08D4-84B8-7E55CF106CDD}"/>
              </a:ext>
            </a:extLst>
          </xdr:cNvPr>
          <xdr:cNvCxnSpPr/>
        </xdr:nvCxnSpPr>
        <xdr:spPr>
          <a:xfrm>
            <a:off x="3081338" y="8672513"/>
            <a:ext cx="971550" cy="70961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864" name="Straight Connector 2863">
            <a:extLst>
              <a:ext uri="{FF2B5EF4-FFF2-40B4-BE49-F238E27FC236}">
                <a16:creationId xmlns:a16="http://schemas.microsoft.com/office/drawing/2014/main" id="{A070854A-9EE7-783C-C929-500012442293}"/>
              </a:ext>
            </a:extLst>
          </xdr:cNvPr>
          <xdr:cNvCxnSpPr/>
        </xdr:nvCxnSpPr>
        <xdr:spPr>
          <a:xfrm flipV="1">
            <a:off x="3076575" y="8667750"/>
            <a:ext cx="971550" cy="7143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865" name="Straight Connector 2864">
            <a:extLst>
              <a:ext uri="{FF2B5EF4-FFF2-40B4-BE49-F238E27FC236}">
                <a16:creationId xmlns:a16="http://schemas.microsoft.com/office/drawing/2014/main" id="{8C9920FF-757A-68A0-87D0-FDB9C31A1C46}"/>
              </a:ext>
            </a:extLst>
          </xdr:cNvPr>
          <xdr:cNvCxnSpPr/>
        </xdr:nvCxnSpPr>
        <xdr:spPr>
          <a:xfrm>
            <a:off x="4052888" y="8672513"/>
            <a:ext cx="971550" cy="70961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866" name="Straight Connector 2865">
            <a:extLst>
              <a:ext uri="{FF2B5EF4-FFF2-40B4-BE49-F238E27FC236}">
                <a16:creationId xmlns:a16="http://schemas.microsoft.com/office/drawing/2014/main" id="{BC1DF3EF-DF19-6228-C73B-18EEFFAFC439}"/>
              </a:ext>
            </a:extLst>
          </xdr:cNvPr>
          <xdr:cNvCxnSpPr/>
        </xdr:nvCxnSpPr>
        <xdr:spPr>
          <a:xfrm flipV="1">
            <a:off x="4048125" y="8667750"/>
            <a:ext cx="971550" cy="7143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867" name="Straight Connector 2866">
            <a:extLst>
              <a:ext uri="{FF2B5EF4-FFF2-40B4-BE49-F238E27FC236}">
                <a16:creationId xmlns:a16="http://schemas.microsoft.com/office/drawing/2014/main" id="{727E199E-09C0-7EA7-9B25-E8083FA96825}"/>
              </a:ext>
            </a:extLst>
          </xdr:cNvPr>
          <xdr:cNvCxnSpPr/>
        </xdr:nvCxnSpPr>
        <xdr:spPr>
          <a:xfrm>
            <a:off x="2386013" y="4262438"/>
            <a:ext cx="0" cy="404812"/>
          </a:xfrm>
          <a:prstGeom prst="line">
            <a:avLst/>
          </a:prstGeom>
          <a:ln w="9525">
            <a:solidFill>
              <a:schemeClr val="accent6">
                <a:lumMod val="75000"/>
              </a:schemeClr>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2868" name="Straight Connector 2867">
            <a:extLst>
              <a:ext uri="{FF2B5EF4-FFF2-40B4-BE49-F238E27FC236}">
                <a16:creationId xmlns:a16="http://schemas.microsoft.com/office/drawing/2014/main" id="{C4E90B69-74E2-9111-87D3-4CA9B12D1FC1}"/>
              </a:ext>
            </a:extLst>
          </xdr:cNvPr>
          <xdr:cNvCxnSpPr/>
        </xdr:nvCxnSpPr>
        <xdr:spPr>
          <a:xfrm>
            <a:off x="2409826" y="4262438"/>
            <a:ext cx="0" cy="404812"/>
          </a:xfrm>
          <a:prstGeom prst="line">
            <a:avLst/>
          </a:prstGeom>
          <a:ln w="9525">
            <a:solidFill>
              <a:schemeClr val="accent6">
                <a:lumMod val="75000"/>
              </a:schemeClr>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2869" name="Straight Connector 2868">
            <a:extLst>
              <a:ext uri="{FF2B5EF4-FFF2-40B4-BE49-F238E27FC236}">
                <a16:creationId xmlns:a16="http://schemas.microsoft.com/office/drawing/2014/main" id="{4E94BB72-4BF0-7E84-54DE-198B6EEC87CB}"/>
              </a:ext>
            </a:extLst>
          </xdr:cNvPr>
          <xdr:cNvCxnSpPr/>
        </xdr:nvCxnSpPr>
        <xdr:spPr>
          <a:xfrm>
            <a:off x="3752847" y="4267203"/>
            <a:ext cx="0" cy="404812"/>
          </a:xfrm>
          <a:prstGeom prst="line">
            <a:avLst/>
          </a:prstGeom>
          <a:ln w="9525">
            <a:solidFill>
              <a:schemeClr val="accent6">
                <a:lumMod val="75000"/>
              </a:schemeClr>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2870" name="Straight Connector 2869">
            <a:extLst>
              <a:ext uri="{FF2B5EF4-FFF2-40B4-BE49-F238E27FC236}">
                <a16:creationId xmlns:a16="http://schemas.microsoft.com/office/drawing/2014/main" id="{681E627F-23FF-19E2-E81D-5CBD1B7672C6}"/>
              </a:ext>
            </a:extLst>
          </xdr:cNvPr>
          <xdr:cNvCxnSpPr/>
        </xdr:nvCxnSpPr>
        <xdr:spPr>
          <a:xfrm>
            <a:off x="3776660" y="4267203"/>
            <a:ext cx="0" cy="404812"/>
          </a:xfrm>
          <a:prstGeom prst="line">
            <a:avLst/>
          </a:prstGeom>
          <a:ln w="9525">
            <a:solidFill>
              <a:schemeClr val="accent6">
                <a:lumMod val="75000"/>
              </a:schemeClr>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2871" name="Straight Connector 2870">
            <a:extLst>
              <a:ext uri="{FF2B5EF4-FFF2-40B4-BE49-F238E27FC236}">
                <a16:creationId xmlns:a16="http://schemas.microsoft.com/office/drawing/2014/main" id="{AC8F9220-38D7-8C39-A3FC-CEC50F5AB34E}"/>
              </a:ext>
            </a:extLst>
          </xdr:cNvPr>
          <xdr:cNvCxnSpPr/>
        </xdr:nvCxnSpPr>
        <xdr:spPr>
          <a:xfrm flipH="1">
            <a:off x="419100" y="4381501"/>
            <a:ext cx="622300"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872" name="Straight Connector 2871">
            <a:extLst>
              <a:ext uri="{FF2B5EF4-FFF2-40B4-BE49-F238E27FC236}">
                <a16:creationId xmlns:a16="http://schemas.microsoft.com/office/drawing/2014/main" id="{ECE18C3B-41BE-32BB-F989-BB4542FB13E4}"/>
              </a:ext>
            </a:extLst>
          </xdr:cNvPr>
          <xdr:cNvCxnSpPr/>
        </xdr:nvCxnSpPr>
        <xdr:spPr>
          <a:xfrm>
            <a:off x="809626" y="4314823"/>
            <a:ext cx="0" cy="512921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873" name="Straight Connector 2872">
            <a:extLst>
              <a:ext uri="{FF2B5EF4-FFF2-40B4-BE49-F238E27FC236}">
                <a16:creationId xmlns:a16="http://schemas.microsoft.com/office/drawing/2014/main" id="{D33A7E16-F6C5-2E60-0A40-A2677EA284CA}"/>
              </a:ext>
            </a:extLst>
          </xdr:cNvPr>
          <xdr:cNvCxnSpPr/>
        </xdr:nvCxnSpPr>
        <xdr:spPr>
          <a:xfrm flipH="1">
            <a:off x="776287" y="4348163"/>
            <a:ext cx="66675" cy="666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874" name="Straight Connector 2873">
            <a:extLst>
              <a:ext uri="{FF2B5EF4-FFF2-40B4-BE49-F238E27FC236}">
                <a16:creationId xmlns:a16="http://schemas.microsoft.com/office/drawing/2014/main" id="{BF656494-B043-D8C7-5430-375F58BF63E5}"/>
              </a:ext>
            </a:extLst>
          </xdr:cNvPr>
          <xdr:cNvCxnSpPr/>
        </xdr:nvCxnSpPr>
        <xdr:spPr>
          <a:xfrm flipH="1">
            <a:off x="752475" y="5095879"/>
            <a:ext cx="26352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875" name="Straight Connector 2874">
            <a:extLst>
              <a:ext uri="{FF2B5EF4-FFF2-40B4-BE49-F238E27FC236}">
                <a16:creationId xmlns:a16="http://schemas.microsoft.com/office/drawing/2014/main" id="{DE522333-08D4-7AFC-42AF-AE09DA7B6340}"/>
              </a:ext>
            </a:extLst>
          </xdr:cNvPr>
          <xdr:cNvCxnSpPr/>
        </xdr:nvCxnSpPr>
        <xdr:spPr>
          <a:xfrm flipH="1">
            <a:off x="776283" y="5062541"/>
            <a:ext cx="66675" cy="666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876" name="Straight Connector 2875">
            <a:extLst>
              <a:ext uri="{FF2B5EF4-FFF2-40B4-BE49-F238E27FC236}">
                <a16:creationId xmlns:a16="http://schemas.microsoft.com/office/drawing/2014/main" id="{651B0496-6515-5202-8A6A-3A52DD449611}"/>
              </a:ext>
            </a:extLst>
          </xdr:cNvPr>
          <xdr:cNvCxnSpPr/>
        </xdr:nvCxnSpPr>
        <xdr:spPr>
          <a:xfrm flipH="1">
            <a:off x="752475" y="5810254"/>
            <a:ext cx="2825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877" name="Straight Connector 2876">
            <a:extLst>
              <a:ext uri="{FF2B5EF4-FFF2-40B4-BE49-F238E27FC236}">
                <a16:creationId xmlns:a16="http://schemas.microsoft.com/office/drawing/2014/main" id="{4D706626-D37A-9179-125F-DD92166438CD}"/>
              </a:ext>
            </a:extLst>
          </xdr:cNvPr>
          <xdr:cNvCxnSpPr/>
        </xdr:nvCxnSpPr>
        <xdr:spPr>
          <a:xfrm flipH="1">
            <a:off x="776283" y="5776916"/>
            <a:ext cx="66675" cy="666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878" name="Straight Connector 2877">
            <a:extLst>
              <a:ext uri="{FF2B5EF4-FFF2-40B4-BE49-F238E27FC236}">
                <a16:creationId xmlns:a16="http://schemas.microsoft.com/office/drawing/2014/main" id="{B135DB8A-339D-9E05-A1F4-8C0A8FF7EBC0}"/>
              </a:ext>
            </a:extLst>
          </xdr:cNvPr>
          <xdr:cNvCxnSpPr/>
        </xdr:nvCxnSpPr>
        <xdr:spPr>
          <a:xfrm flipH="1">
            <a:off x="752475" y="6524629"/>
            <a:ext cx="273050"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879" name="Straight Connector 2878">
            <a:extLst>
              <a:ext uri="{FF2B5EF4-FFF2-40B4-BE49-F238E27FC236}">
                <a16:creationId xmlns:a16="http://schemas.microsoft.com/office/drawing/2014/main" id="{30DF0ADA-F7EA-A68C-4644-48B72BFD6CAD}"/>
              </a:ext>
            </a:extLst>
          </xdr:cNvPr>
          <xdr:cNvCxnSpPr/>
        </xdr:nvCxnSpPr>
        <xdr:spPr>
          <a:xfrm flipH="1">
            <a:off x="776283" y="6491291"/>
            <a:ext cx="66675" cy="666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880" name="Straight Connector 2879">
            <a:extLst>
              <a:ext uri="{FF2B5EF4-FFF2-40B4-BE49-F238E27FC236}">
                <a16:creationId xmlns:a16="http://schemas.microsoft.com/office/drawing/2014/main" id="{0D58DA80-01BD-75F5-9AA0-2DD749C8B273}"/>
              </a:ext>
            </a:extLst>
          </xdr:cNvPr>
          <xdr:cNvCxnSpPr/>
        </xdr:nvCxnSpPr>
        <xdr:spPr>
          <a:xfrm flipH="1">
            <a:off x="752475" y="7239004"/>
            <a:ext cx="2698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881" name="Straight Connector 2880">
            <a:extLst>
              <a:ext uri="{FF2B5EF4-FFF2-40B4-BE49-F238E27FC236}">
                <a16:creationId xmlns:a16="http://schemas.microsoft.com/office/drawing/2014/main" id="{90352599-EC9D-B46A-A7C3-1C8259E7C5A8}"/>
              </a:ext>
            </a:extLst>
          </xdr:cNvPr>
          <xdr:cNvCxnSpPr/>
        </xdr:nvCxnSpPr>
        <xdr:spPr>
          <a:xfrm flipH="1">
            <a:off x="776283" y="7205666"/>
            <a:ext cx="66675" cy="666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882" name="Straight Connector 2881">
            <a:extLst>
              <a:ext uri="{FF2B5EF4-FFF2-40B4-BE49-F238E27FC236}">
                <a16:creationId xmlns:a16="http://schemas.microsoft.com/office/drawing/2014/main" id="{E2CC7531-215E-8E85-79E2-78CF759FD13F}"/>
              </a:ext>
            </a:extLst>
          </xdr:cNvPr>
          <xdr:cNvCxnSpPr/>
        </xdr:nvCxnSpPr>
        <xdr:spPr>
          <a:xfrm flipH="1">
            <a:off x="752475" y="7953379"/>
            <a:ext cx="2698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883" name="Straight Connector 2882">
            <a:extLst>
              <a:ext uri="{FF2B5EF4-FFF2-40B4-BE49-F238E27FC236}">
                <a16:creationId xmlns:a16="http://schemas.microsoft.com/office/drawing/2014/main" id="{C531974E-F509-8255-AA75-96826AA32A59}"/>
              </a:ext>
            </a:extLst>
          </xdr:cNvPr>
          <xdr:cNvCxnSpPr/>
        </xdr:nvCxnSpPr>
        <xdr:spPr>
          <a:xfrm flipH="1">
            <a:off x="776283" y="7920041"/>
            <a:ext cx="66675" cy="666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884" name="Straight Connector 2883">
            <a:extLst>
              <a:ext uri="{FF2B5EF4-FFF2-40B4-BE49-F238E27FC236}">
                <a16:creationId xmlns:a16="http://schemas.microsoft.com/office/drawing/2014/main" id="{0C6DAFA8-EE52-9BE7-98B7-99BCF94D956D}"/>
              </a:ext>
            </a:extLst>
          </xdr:cNvPr>
          <xdr:cNvCxnSpPr/>
        </xdr:nvCxnSpPr>
        <xdr:spPr>
          <a:xfrm flipH="1">
            <a:off x="752475" y="8667754"/>
            <a:ext cx="28892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885" name="Straight Connector 2884">
            <a:extLst>
              <a:ext uri="{FF2B5EF4-FFF2-40B4-BE49-F238E27FC236}">
                <a16:creationId xmlns:a16="http://schemas.microsoft.com/office/drawing/2014/main" id="{00B35834-18A0-0428-A115-73554EA46EFA}"/>
              </a:ext>
            </a:extLst>
          </xdr:cNvPr>
          <xdr:cNvCxnSpPr/>
        </xdr:nvCxnSpPr>
        <xdr:spPr>
          <a:xfrm flipH="1">
            <a:off x="776283" y="8634416"/>
            <a:ext cx="66675" cy="666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886" name="Straight Connector 2885">
            <a:extLst>
              <a:ext uri="{FF2B5EF4-FFF2-40B4-BE49-F238E27FC236}">
                <a16:creationId xmlns:a16="http://schemas.microsoft.com/office/drawing/2014/main" id="{EE97EF26-ED6A-7E00-95FE-5D59037D1A86}"/>
              </a:ext>
            </a:extLst>
          </xdr:cNvPr>
          <xdr:cNvCxnSpPr/>
        </xdr:nvCxnSpPr>
        <xdr:spPr>
          <a:xfrm>
            <a:off x="485776" y="4314825"/>
            <a:ext cx="0" cy="512921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887" name="Straight Connector 2886">
            <a:extLst>
              <a:ext uri="{FF2B5EF4-FFF2-40B4-BE49-F238E27FC236}">
                <a16:creationId xmlns:a16="http://schemas.microsoft.com/office/drawing/2014/main" id="{A692EC46-D616-3A68-8C53-6ECE4283FD51}"/>
              </a:ext>
            </a:extLst>
          </xdr:cNvPr>
          <xdr:cNvCxnSpPr/>
        </xdr:nvCxnSpPr>
        <xdr:spPr>
          <a:xfrm flipH="1">
            <a:off x="452437" y="4348165"/>
            <a:ext cx="66675" cy="666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888" name="Straight Connector 2887">
            <a:extLst>
              <a:ext uri="{FF2B5EF4-FFF2-40B4-BE49-F238E27FC236}">
                <a16:creationId xmlns:a16="http://schemas.microsoft.com/office/drawing/2014/main" id="{929C1198-75A8-F343-CE6B-4800048CC7C8}"/>
              </a:ext>
            </a:extLst>
          </xdr:cNvPr>
          <xdr:cNvCxnSpPr/>
        </xdr:nvCxnSpPr>
        <xdr:spPr>
          <a:xfrm flipH="1">
            <a:off x="419100" y="9382126"/>
            <a:ext cx="59372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889" name="Straight Connector 2888">
            <a:extLst>
              <a:ext uri="{FF2B5EF4-FFF2-40B4-BE49-F238E27FC236}">
                <a16:creationId xmlns:a16="http://schemas.microsoft.com/office/drawing/2014/main" id="{AC148FFB-A225-9EB4-1614-5ADA0CCBB432}"/>
              </a:ext>
            </a:extLst>
          </xdr:cNvPr>
          <xdr:cNvCxnSpPr/>
        </xdr:nvCxnSpPr>
        <xdr:spPr>
          <a:xfrm flipH="1">
            <a:off x="776287" y="9348788"/>
            <a:ext cx="66675" cy="666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890" name="Straight Connector 2889">
            <a:extLst>
              <a:ext uri="{FF2B5EF4-FFF2-40B4-BE49-F238E27FC236}">
                <a16:creationId xmlns:a16="http://schemas.microsoft.com/office/drawing/2014/main" id="{AAAF3146-7FD2-0E87-7ADE-54184B1F02A5}"/>
              </a:ext>
            </a:extLst>
          </xdr:cNvPr>
          <xdr:cNvCxnSpPr/>
        </xdr:nvCxnSpPr>
        <xdr:spPr>
          <a:xfrm flipH="1">
            <a:off x="452437" y="9348790"/>
            <a:ext cx="66675" cy="666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891" name="Straight Connector 2890">
            <a:extLst>
              <a:ext uri="{FF2B5EF4-FFF2-40B4-BE49-F238E27FC236}">
                <a16:creationId xmlns:a16="http://schemas.microsoft.com/office/drawing/2014/main" id="{64DF4C2B-5C7A-30A2-F62D-9218652F4B6A}"/>
              </a:ext>
            </a:extLst>
          </xdr:cNvPr>
          <xdr:cNvCxnSpPr/>
        </xdr:nvCxnSpPr>
        <xdr:spPr>
          <a:xfrm>
            <a:off x="1019177" y="5429248"/>
            <a:ext cx="314322" cy="0"/>
          </a:xfrm>
          <a:prstGeom prst="line">
            <a:avLst/>
          </a:prstGeom>
          <a:ln w="9525">
            <a:solidFill>
              <a:schemeClr val="accent6">
                <a:lumMod val="75000"/>
              </a:schemeClr>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2892" name="Straight Connector 2891">
            <a:extLst>
              <a:ext uri="{FF2B5EF4-FFF2-40B4-BE49-F238E27FC236}">
                <a16:creationId xmlns:a16="http://schemas.microsoft.com/office/drawing/2014/main" id="{CD3CA465-A81C-56CD-0E94-85698C27F825}"/>
              </a:ext>
            </a:extLst>
          </xdr:cNvPr>
          <xdr:cNvCxnSpPr/>
        </xdr:nvCxnSpPr>
        <xdr:spPr>
          <a:xfrm>
            <a:off x="1019178" y="5453061"/>
            <a:ext cx="314322" cy="0"/>
          </a:xfrm>
          <a:prstGeom prst="line">
            <a:avLst/>
          </a:prstGeom>
          <a:ln w="9525">
            <a:solidFill>
              <a:schemeClr val="accent6">
                <a:lumMod val="75000"/>
              </a:schemeClr>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2893" name="Straight Connector 2892">
            <a:extLst>
              <a:ext uri="{FF2B5EF4-FFF2-40B4-BE49-F238E27FC236}">
                <a16:creationId xmlns:a16="http://schemas.microsoft.com/office/drawing/2014/main" id="{85352382-42A7-A117-541C-10D9B38D2A82}"/>
              </a:ext>
            </a:extLst>
          </xdr:cNvPr>
          <xdr:cNvCxnSpPr/>
        </xdr:nvCxnSpPr>
        <xdr:spPr>
          <a:xfrm>
            <a:off x="4838700" y="5434011"/>
            <a:ext cx="314322" cy="0"/>
          </a:xfrm>
          <a:prstGeom prst="line">
            <a:avLst/>
          </a:prstGeom>
          <a:ln w="9525">
            <a:solidFill>
              <a:schemeClr val="accent6">
                <a:lumMod val="75000"/>
              </a:schemeClr>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2894" name="Straight Connector 2893">
            <a:extLst>
              <a:ext uri="{FF2B5EF4-FFF2-40B4-BE49-F238E27FC236}">
                <a16:creationId xmlns:a16="http://schemas.microsoft.com/office/drawing/2014/main" id="{02694BD9-AD43-C811-DDB6-E30118EBF689}"/>
              </a:ext>
            </a:extLst>
          </xdr:cNvPr>
          <xdr:cNvCxnSpPr/>
        </xdr:nvCxnSpPr>
        <xdr:spPr>
          <a:xfrm>
            <a:off x="4838701" y="5457824"/>
            <a:ext cx="314322" cy="0"/>
          </a:xfrm>
          <a:prstGeom prst="line">
            <a:avLst/>
          </a:prstGeom>
          <a:ln w="9525">
            <a:solidFill>
              <a:schemeClr val="accent6">
                <a:lumMod val="75000"/>
              </a:schemeClr>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2895" name="Straight Connector 2894">
            <a:extLst>
              <a:ext uri="{FF2B5EF4-FFF2-40B4-BE49-F238E27FC236}">
                <a16:creationId xmlns:a16="http://schemas.microsoft.com/office/drawing/2014/main" id="{01CAEF17-61A0-D0F0-E695-96835BE03B79}"/>
              </a:ext>
            </a:extLst>
          </xdr:cNvPr>
          <xdr:cNvCxnSpPr/>
        </xdr:nvCxnSpPr>
        <xdr:spPr>
          <a:xfrm>
            <a:off x="985836" y="5305428"/>
            <a:ext cx="300038" cy="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2896" name="Isosceles Triangle 2895">
            <a:extLst>
              <a:ext uri="{FF2B5EF4-FFF2-40B4-BE49-F238E27FC236}">
                <a16:creationId xmlns:a16="http://schemas.microsoft.com/office/drawing/2014/main" id="{589D294D-FACE-D133-62C2-545ED33D4669}"/>
              </a:ext>
            </a:extLst>
          </xdr:cNvPr>
          <xdr:cNvSpPr/>
        </xdr:nvSpPr>
        <xdr:spPr>
          <a:xfrm>
            <a:off x="995364" y="5202457"/>
            <a:ext cx="95250" cy="82112"/>
          </a:xfrm>
          <a:prstGeom prst="triangle">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kern="1200"/>
          </a:p>
        </xdr:txBody>
      </xdr:sp>
      <xdr:cxnSp macro="">
        <xdr:nvCxnSpPr>
          <xdr:cNvPr id="2897" name="Straight Connector 2896">
            <a:extLst>
              <a:ext uri="{FF2B5EF4-FFF2-40B4-BE49-F238E27FC236}">
                <a16:creationId xmlns:a16="http://schemas.microsoft.com/office/drawing/2014/main" id="{7382CEC7-D267-5DDA-4752-B70AAC299A84}"/>
              </a:ext>
            </a:extLst>
          </xdr:cNvPr>
          <xdr:cNvCxnSpPr/>
        </xdr:nvCxnSpPr>
        <xdr:spPr>
          <a:xfrm>
            <a:off x="4914898" y="5303621"/>
            <a:ext cx="300038" cy="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2898" name="Isosceles Triangle 2897">
            <a:extLst>
              <a:ext uri="{FF2B5EF4-FFF2-40B4-BE49-F238E27FC236}">
                <a16:creationId xmlns:a16="http://schemas.microsoft.com/office/drawing/2014/main" id="{536C057F-94D0-A0FD-46CB-6BE233F5E41F}"/>
              </a:ext>
            </a:extLst>
          </xdr:cNvPr>
          <xdr:cNvSpPr/>
        </xdr:nvSpPr>
        <xdr:spPr>
          <a:xfrm>
            <a:off x="5114928" y="5200650"/>
            <a:ext cx="95250" cy="82112"/>
          </a:xfrm>
          <a:prstGeom prst="triangle">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kern="1200"/>
          </a:p>
        </xdr:txBody>
      </xdr:sp>
      <xdr:cxnSp macro="">
        <xdr:nvCxnSpPr>
          <xdr:cNvPr id="2899" name="Straight Connector 2898">
            <a:extLst>
              <a:ext uri="{FF2B5EF4-FFF2-40B4-BE49-F238E27FC236}">
                <a16:creationId xmlns:a16="http://schemas.microsoft.com/office/drawing/2014/main" id="{46D601C8-0FC4-1333-E197-1E92ED9CE198}"/>
              </a:ext>
            </a:extLst>
          </xdr:cNvPr>
          <xdr:cNvCxnSpPr/>
        </xdr:nvCxnSpPr>
        <xdr:spPr>
          <a:xfrm>
            <a:off x="5051425" y="4381500"/>
            <a:ext cx="0" cy="71755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2900" name="Straight Connector 2899">
            <a:extLst>
              <a:ext uri="{FF2B5EF4-FFF2-40B4-BE49-F238E27FC236}">
                <a16:creationId xmlns:a16="http://schemas.microsoft.com/office/drawing/2014/main" id="{C433FB84-CB1A-7006-9488-742748BF5ACD}"/>
              </a:ext>
            </a:extLst>
          </xdr:cNvPr>
          <xdr:cNvCxnSpPr/>
        </xdr:nvCxnSpPr>
        <xdr:spPr>
          <a:xfrm>
            <a:off x="1108075" y="4384675"/>
            <a:ext cx="0" cy="71755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2901" name="Straight Connector 2900">
            <a:extLst>
              <a:ext uri="{FF2B5EF4-FFF2-40B4-BE49-F238E27FC236}">
                <a16:creationId xmlns:a16="http://schemas.microsoft.com/office/drawing/2014/main" id="{63CEDC3A-4DF7-5D5D-F1A3-3116A3524C76}"/>
              </a:ext>
            </a:extLst>
          </xdr:cNvPr>
          <xdr:cNvCxnSpPr/>
        </xdr:nvCxnSpPr>
        <xdr:spPr>
          <a:xfrm>
            <a:off x="5048250" y="6524634"/>
            <a:ext cx="0" cy="71755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2902" name="Straight Connector 2901">
            <a:extLst>
              <a:ext uri="{FF2B5EF4-FFF2-40B4-BE49-F238E27FC236}">
                <a16:creationId xmlns:a16="http://schemas.microsoft.com/office/drawing/2014/main" id="{99B42A90-1F4E-50ED-824B-8852CE6C074A}"/>
              </a:ext>
            </a:extLst>
          </xdr:cNvPr>
          <xdr:cNvCxnSpPr/>
        </xdr:nvCxnSpPr>
        <xdr:spPr>
          <a:xfrm>
            <a:off x="1104900" y="6527809"/>
            <a:ext cx="0" cy="71755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2903" name="Straight Connector 2902">
            <a:extLst>
              <a:ext uri="{FF2B5EF4-FFF2-40B4-BE49-F238E27FC236}">
                <a16:creationId xmlns:a16="http://schemas.microsoft.com/office/drawing/2014/main" id="{4A9A8D91-E1B1-24EF-7537-68B916A06758}"/>
              </a:ext>
            </a:extLst>
          </xdr:cNvPr>
          <xdr:cNvCxnSpPr/>
        </xdr:nvCxnSpPr>
        <xdr:spPr>
          <a:xfrm>
            <a:off x="5048250" y="8667750"/>
            <a:ext cx="0" cy="71755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2904" name="Straight Connector 2903">
            <a:extLst>
              <a:ext uri="{FF2B5EF4-FFF2-40B4-BE49-F238E27FC236}">
                <a16:creationId xmlns:a16="http://schemas.microsoft.com/office/drawing/2014/main" id="{B59F4427-C252-4B0E-4B7E-ED29A3C55200}"/>
              </a:ext>
            </a:extLst>
          </xdr:cNvPr>
          <xdr:cNvCxnSpPr/>
        </xdr:nvCxnSpPr>
        <xdr:spPr>
          <a:xfrm>
            <a:off x="1104900" y="8670925"/>
            <a:ext cx="0" cy="71755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2905" name="Freeform: Shape 2904">
            <a:extLst>
              <a:ext uri="{FF2B5EF4-FFF2-40B4-BE49-F238E27FC236}">
                <a16:creationId xmlns:a16="http://schemas.microsoft.com/office/drawing/2014/main" id="{9F651440-B9EE-9295-D446-B7F654018730}"/>
              </a:ext>
            </a:extLst>
          </xdr:cNvPr>
          <xdr:cNvSpPr/>
        </xdr:nvSpPr>
        <xdr:spPr>
          <a:xfrm>
            <a:off x="3084513" y="5840413"/>
            <a:ext cx="517525" cy="317500"/>
          </a:xfrm>
          <a:custGeom>
            <a:avLst/>
            <a:gdLst>
              <a:gd name="connsiteX0" fmla="*/ 0 w 517525"/>
              <a:gd name="connsiteY0" fmla="*/ 0 h 292100"/>
              <a:gd name="connsiteX1" fmla="*/ 53975 w 517525"/>
              <a:gd name="connsiteY1" fmla="*/ 0 h 292100"/>
              <a:gd name="connsiteX2" fmla="*/ 434975 w 517525"/>
              <a:gd name="connsiteY2" fmla="*/ 292100 h 292100"/>
              <a:gd name="connsiteX3" fmla="*/ 517525 w 517525"/>
              <a:gd name="connsiteY3" fmla="*/ 292100 h 292100"/>
            </a:gdLst>
            <a:ahLst/>
            <a:cxnLst>
              <a:cxn ang="0">
                <a:pos x="connsiteX0" y="connsiteY0"/>
              </a:cxn>
              <a:cxn ang="0">
                <a:pos x="connsiteX1" y="connsiteY1"/>
              </a:cxn>
              <a:cxn ang="0">
                <a:pos x="connsiteX2" y="connsiteY2"/>
              </a:cxn>
              <a:cxn ang="0">
                <a:pos x="connsiteX3" y="connsiteY3"/>
              </a:cxn>
            </a:cxnLst>
            <a:rect l="l" t="t" r="r" b="b"/>
            <a:pathLst>
              <a:path w="517525" h="292100">
                <a:moveTo>
                  <a:pt x="0" y="0"/>
                </a:moveTo>
                <a:lnTo>
                  <a:pt x="53975" y="0"/>
                </a:lnTo>
                <a:lnTo>
                  <a:pt x="434975" y="292100"/>
                </a:lnTo>
                <a:lnTo>
                  <a:pt x="517525" y="292100"/>
                </a:lnTo>
              </a:path>
            </a:pathLst>
          </a:custGeom>
          <a:no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kern="1200"/>
          </a:p>
        </xdr:txBody>
      </xdr:sp>
      <xdr:sp macro="" textlink="">
        <xdr:nvSpPr>
          <xdr:cNvPr id="2906" name="Freeform: Shape 2905">
            <a:extLst>
              <a:ext uri="{FF2B5EF4-FFF2-40B4-BE49-F238E27FC236}">
                <a16:creationId xmlns:a16="http://schemas.microsoft.com/office/drawing/2014/main" id="{7DBBD532-BC96-BC6A-C265-B0C24961EF53}"/>
              </a:ext>
            </a:extLst>
          </xdr:cNvPr>
          <xdr:cNvSpPr/>
        </xdr:nvSpPr>
        <xdr:spPr>
          <a:xfrm>
            <a:off x="3074988" y="6199188"/>
            <a:ext cx="523875" cy="298450"/>
          </a:xfrm>
          <a:custGeom>
            <a:avLst/>
            <a:gdLst>
              <a:gd name="connsiteX0" fmla="*/ 0 w 523875"/>
              <a:gd name="connsiteY0" fmla="*/ 298450 h 298450"/>
              <a:gd name="connsiteX1" fmla="*/ 73025 w 523875"/>
              <a:gd name="connsiteY1" fmla="*/ 298450 h 298450"/>
              <a:gd name="connsiteX2" fmla="*/ 447675 w 523875"/>
              <a:gd name="connsiteY2" fmla="*/ 0 h 298450"/>
              <a:gd name="connsiteX3" fmla="*/ 523875 w 523875"/>
              <a:gd name="connsiteY3" fmla="*/ 0 h 298450"/>
            </a:gdLst>
            <a:ahLst/>
            <a:cxnLst>
              <a:cxn ang="0">
                <a:pos x="connsiteX0" y="connsiteY0"/>
              </a:cxn>
              <a:cxn ang="0">
                <a:pos x="connsiteX1" y="connsiteY1"/>
              </a:cxn>
              <a:cxn ang="0">
                <a:pos x="connsiteX2" y="connsiteY2"/>
              </a:cxn>
              <a:cxn ang="0">
                <a:pos x="connsiteX3" y="connsiteY3"/>
              </a:cxn>
            </a:cxnLst>
            <a:rect l="l" t="t" r="r" b="b"/>
            <a:pathLst>
              <a:path w="523875" h="298450">
                <a:moveTo>
                  <a:pt x="0" y="298450"/>
                </a:moveTo>
                <a:lnTo>
                  <a:pt x="73025" y="298450"/>
                </a:lnTo>
                <a:lnTo>
                  <a:pt x="447675" y="0"/>
                </a:lnTo>
                <a:lnTo>
                  <a:pt x="523875" y="0"/>
                </a:lnTo>
              </a:path>
            </a:pathLst>
          </a:custGeom>
          <a:no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kern="1200"/>
          </a:p>
        </xdr:txBody>
      </xdr:sp>
      <xdr:cxnSp macro="">
        <xdr:nvCxnSpPr>
          <xdr:cNvPr id="2907" name="Straight Connector 2906">
            <a:extLst>
              <a:ext uri="{FF2B5EF4-FFF2-40B4-BE49-F238E27FC236}">
                <a16:creationId xmlns:a16="http://schemas.microsoft.com/office/drawing/2014/main" id="{E36DB0ED-5A57-5833-4D7D-AE907F5A1451}"/>
              </a:ext>
            </a:extLst>
          </xdr:cNvPr>
          <xdr:cNvCxnSpPr/>
        </xdr:nvCxnSpPr>
        <xdr:spPr>
          <a:xfrm>
            <a:off x="3516313" y="6176963"/>
            <a:ext cx="5746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908" name="Straight Connector 2907">
            <a:extLst>
              <a:ext uri="{FF2B5EF4-FFF2-40B4-BE49-F238E27FC236}">
                <a16:creationId xmlns:a16="http://schemas.microsoft.com/office/drawing/2014/main" id="{E6BA11D7-C674-C719-DEEA-CE18F31F4B7E}"/>
              </a:ext>
            </a:extLst>
          </xdr:cNvPr>
          <xdr:cNvCxnSpPr/>
        </xdr:nvCxnSpPr>
        <xdr:spPr>
          <a:xfrm>
            <a:off x="4002088" y="6196013"/>
            <a:ext cx="5746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909" name="Straight Connector 2908">
            <a:extLst>
              <a:ext uri="{FF2B5EF4-FFF2-40B4-BE49-F238E27FC236}">
                <a16:creationId xmlns:a16="http://schemas.microsoft.com/office/drawing/2014/main" id="{6DE53D94-C185-504B-F9E1-178E75FE5384}"/>
              </a:ext>
            </a:extLst>
          </xdr:cNvPr>
          <xdr:cNvCxnSpPr/>
        </xdr:nvCxnSpPr>
        <xdr:spPr>
          <a:xfrm>
            <a:off x="4487863" y="6173788"/>
            <a:ext cx="5746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910" name="Straight Connector 2909">
            <a:extLst>
              <a:ext uri="{FF2B5EF4-FFF2-40B4-BE49-F238E27FC236}">
                <a16:creationId xmlns:a16="http://schemas.microsoft.com/office/drawing/2014/main" id="{A133A1CF-E63F-25B8-1724-417D2BF7C130}"/>
              </a:ext>
            </a:extLst>
          </xdr:cNvPr>
          <xdr:cNvCxnSpPr/>
        </xdr:nvCxnSpPr>
        <xdr:spPr>
          <a:xfrm flipV="1">
            <a:off x="4767262" y="5795963"/>
            <a:ext cx="590551" cy="371474"/>
          </a:xfrm>
          <a:prstGeom prst="line">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911" name="Straight Connector 2910">
            <a:extLst>
              <a:ext uri="{FF2B5EF4-FFF2-40B4-BE49-F238E27FC236}">
                <a16:creationId xmlns:a16="http://schemas.microsoft.com/office/drawing/2014/main" id="{082DEBA8-2AAC-E3B1-F884-5FCF52AA0C59}"/>
              </a:ext>
            </a:extLst>
          </xdr:cNvPr>
          <xdr:cNvCxnSpPr/>
        </xdr:nvCxnSpPr>
        <xdr:spPr>
          <a:xfrm flipV="1">
            <a:off x="1133475" y="3729038"/>
            <a:ext cx="0" cy="6096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912" name="Straight Connector 2911">
            <a:extLst>
              <a:ext uri="{FF2B5EF4-FFF2-40B4-BE49-F238E27FC236}">
                <a16:creationId xmlns:a16="http://schemas.microsoft.com/office/drawing/2014/main" id="{58D8B89A-04F8-7F92-08D2-908E12A98BED}"/>
              </a:ext>
            </a:extLst>
          </xdr:cNvPr>
          <xdr:cNvCxnSpPr/>
        </xdr:nvCxnSpPr>
        <xdr:spPr>
          <a:xfrm>
            <a:off x="1071564" y="4095751"/>
            <a:ext cx="4005261"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913" name="Straight Connector 2912">
            <a:extLst>
              <a:ext uri="{FF2B5EF4-FFF2-40B4-BE49-F238E27FC236}">
                <a16:creationId xmlns:a16="http://schemas.microsoft.com/office/drawing/2014/main" id="{B642A026-9DC5-B5AB-3E93-7FB5C27E186D}"/>
              </a:ext>
            </a:extLst>
          </xdr:cNvPr>
          <xdr:cNvCxnSpPr/>
        </xdr:nvCxnSpPr>
        <xdr:spPr>
          <a:xfrm flipH="1">
            <a:off x="1100135" y="4062415"/>
            <a:ext cx="66675" cy="666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914" name="Straight Connector 2913">
            <a:extLst>
              <a:ext uri="{FF2B5EF4-FFF2-40B4-BE49-F238E27FC236}">
                <a16:creationId xmlns:a16="http://schemas.microsoft.com/office/drawing/2014/main" id="{E1D62623-B8CF-58A8-8368-F7B5A7BCBD0E}"/>
              </a:ext>
            </a:extLst>
          </xdr:cNvPr>
          <xdr:cNvCxnSpPr/>
        </xdr:nvCxnSpPr>
        <xdr:spPr>
          <a:xfrm>
            <a:off x="1071562" y="3809998"/>
            <a:ext cx="4010026"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915" name="Straight Connector 2914">
            <a:extLst>
              <a:ext uri="{FF2B5EF4-FFF2-40B4-BE49-F238E27FC236}">
                <a16:creationId xmlns:a16="http://schemas.microsoft.com/office/drawing/2014/main" id="{19FCA2A9-93BF-CC4B-27E3-779598D1B106}"/>
              </a:ext>
            </a:extLst>
          </xdr:cNvPr>
          <xdr:cNvCxnSpPr/>
        </xdr:nvCxnSpPr>
        <xdr:spPr>
          <a:xfrm flipH="1">
            <a:off x="1100133" y="3776662"/>
            <a:ext cx="66675" cy="666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916" name="Straight Connector 2915">
            <a:extLst>
              <a:ext uri="{FF2B5EF4-FFF2-40B4-BE49-F238E27FC236}">
                <a16:creationId xmlns:a16="http://schemas.microsoft.com/office/drawing/2014/main" id="{69F1CFC7-6B0C-CB32-72E4-8220A00BEF3D}"/>
              </a:ext>
            </a:extLst>
          </xdr:cNvPr>
          <xdr:cNvCxnSpPr/>
        </xdr:nvCxnSpPr>
        <xdr:spPr>
          <a:xfrm flipV="1">
            <a:off x="1619250" y="4033838"/>
            <a:ext cx="0" cy="3048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917" name="Straight Connector 2916">
            <a:extLst>
              <a:ext uri="{FF2B5EF4-FFF2-40B4-BE49-F238E27FC236}">
                <a16:creationId xmlns:a16="http://schemas.microsoft.com/office/drawing/2014/main" id="{5C1C952E-A74F-0F3D-5BF0-EE485020666F}"/>
              </a:ext>
            </a:extLst>
          </xdr:cNvPr>
          <xdr:cNvCxnSpPr/>
        </xdr:nvCxnSpPr>
        <xdr:spPr>
          <a:xfrm flipH="1">
            <a:off x="1585910" y="4062415"/>
            <a:ext cx="66675" cy="666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918" name="Straight Connector 2917">
            <a:extLst>
              <a:ext uri="{FF2B5EF4-FFF2-40B4-BE49-F238E27FC236}">
                <a16:creationId xmlns:a16="http://schemas.microsoft.com/office/drawing/2014/main" id="{CF1B138F-473B-35FB-02A1-5A6AD19F822F}"/>
              </a:ext>
            </a:extLst>
          </xdr:cNvPr>
          <xdr:cNvCxnSpPr/>
        </xdr:nvCxnSpPr>
        <xdr:spPr>
          <a:xfrm flipV="1">
            <a:off x="2105025" y="4029075"/>
            <a:ext cx="0" cy="30956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919" name="Straight Connector 2918">
            <a:extLst>
              <a:ext uri="{FF2B5EF4-FFF2-40B4-BE49-F238E27FC236}">
                <a16:creationId xmlns:a16="http://schemas.microsoft.com/office/drawing/2014/main" id="{0F2CF1D6-939A-78A0-1A0D-9D2062CCB4D8}"/>
              </a:ext>
            </a:extLst>
          </xdr:cNvPr>
          <xdr:cNvCxnSpPr/>
        </xdr:nvCxnSpPr>
        <xdr:spPr>
          <a:xfrm flipH="1">
            <a:off x="2071685" y="4062415"/>
            <a:ext cx="66675" cy="666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920" name="Straight Connector 2919">
            <a:extLst>
              <a:ext uri="{FF2B5EF4-FFF2-40B4-BE49-F238E27FC236}">
                <a16:creationId xmlns:a16="http://schemas.microsoft.com/office/drawing/2014/main" id="{123A980A-99BF-DADA-B83E-B1B78114B046}"/>
              </a:ext>
            </a:extLst>
          </xdr:cNvPr>
          <xdr:cNvCxnSpPr/>
        </xdr:nvCxnSpPr>
        <xdr:spPr>
          <a:xfrm flipV="1">
            <a:off x="2590800" y="4024313"/>
            <a:ext cx="0" cy="3143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921" name="Straight Connector 2920">
            <a:extLst>
              <a:ext uri="{FF2B5EF4-FFF2-40B4-BE49-F238E27FC236}">
                <a16:creationId xmlns:a16="http://schemas.microsoft.com/office/drawing/2014/main" id="{B6357E14-210C-F423-EFAA-B13C5E68338D}"/>
              </a:ext>
            </a:extLst>
          </xdr:cNvPr>
          <xdr:cNvCxnSpPr/>
        </xdr:nvCxnSpPr>
        <xdr:spPr>
          <a:xfrm flipH="1">
            <a:off x="2557460" y="4062415"/>
            <a:ext cx="66675" cy="666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922" name="Straight Connector 2921">
            <a:extLst>
              <a:ext uri="{FF2B5EF4-FFF2-40B4-BE49-F238E27FC236}">
                <a16:creationId xmlns:a16="http://schemas.microsoft.com/office/drawing/2014/main" id="{1E453F3F-C3DC-E2A4-61BA-D5E343387EEA}"/>
              </a:ext>
            </a:extLst>
          </xdr:cNvPr>
          <xdr:cNvCxnSpPr/>
        </xdr:nvCxnSpPr>
        <xdr:spPr>
          <a:xfrm flipV="1">
            <a:off x="3076575" y="4024313"/>
            <a:ext cx="0" cy="3143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923" name="Straight Connector 2922">
            <a:extLst>
              <a:ext uri="{FF2B5EF4-FFF2-40B4-BE49-F238E27FC236}">
                <a16:creationId xmlns:a16="http://schemas.microsoft.com/office/drawing/2014/main" id="{4354F9AC-5830-832B-183F-286356783389}"/>
              </a:ext>
            </a:extLst>
          </xdr:cNvPr>
          <xdr:cNvCxnSpPr/>
        </xdr:nvCxnSpPr>
        <xdr:spPr>
          <a:xfrm flipH="1">
            <a:off x="3043235" y="4062415"/>
            <a:ext cx="66675" cy="666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924" name="Straight Connector 2923">
            <a:extLst>
              <a:ext uri="{FF2B5EF4-FFF2-40B4-BE49-F238E27FC236}">
                <a16:creationId xmlns:a16="http://schemas.microsoft.com/office/drawing/2014/main" id="{FE407723-64EF-5A5D-B9DA-4BF5CEA2F31D}"/>
              </a:ext>
            </a:extLst>
          </xdr:cNvPr>
          <xdr:cNvCxnSpPr/>
        </xdr:nvCxnSpPr>
        <xdr:spPr>
          <a:xfrm flipV="1">
            <a:off x="3562350" y="4024313"/>
            <a:ext cx="0" cy="3143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925" name="Straight Connector 2924">
            <a:extLst>
              <a:ext uri="{FF2B5EF4-FFF2-40B4-BE49-F238E27FC236}">
                <a16:creationId xmlns:a16="http://schemas.microsoft.com/office/drawing/2014/main" id="{C79D8F92-3D35-72F5-554A-1031E356FE96}"/>
              </a:ext>
            </a:extLst>
          </xdr:cNvPr>
          <xdr:cNvCxnSpPr/>
        </xdr:nvCxnSpPr>
        <xdr:spPr>
          <a:xfrm flipH="1">
            <a:off x="3529010" y="4062415"/>
            <a:ext cx="66675" cy="666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926" name="Straight Connector 2925">
            <a:extLst>
              <a:ext uri="{FF2B5EF4-FFF2-40B4-BE49-F238E27FC236}">
                <a16:creationId xmlns:a16="http://schemas.microsoft.com/office/drawing/2014/main" id="{21BDA6C1-BF2D-5F10-52A0-9E4CC23DE1B2}"/>
              </a:ext>
            </a:extLst>
          </xdr:cNvPr>
          <xdr:cNvCxnSpPr/>
        </xdr:nvCxnSpPr>
        <xdr:spPr>
          <a:xfrm flipV="1">
            <a:off x="4048125" y="4024313"/>
            <a:ext cx="0" cy="3143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927" name="Straight Connector 2926">
            <a:extLst>
              <a:ext uri="{FF2B5EF4-FFF2-40B4-BE49-F238E27FC236}">
                <a16:creationId xmlns:a16="http://schemas.microsoft.com/office/drawing/2014/main" id="{4B1106AC-3D34-1178-B63E-3E195979C320}"/>
              </a:ext>
            </a:extLst>
          </xdr:cNvPr>
          <xdr:cNvCxnSpPr/>
        </xdr:nvCxnSpPr>
        <xdr:spPr>
          <a:xfrm flipH="1">
            <a:off x="4014785" y="4062415"/>
            <a:ext cx="66675" cy="666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928" name="Straight Connector 2927">
            <a:extLst>
              <a:ext uri="{FF2B5EF4-FFF2-40B4-BE49-F238E27FC236}">
                <a16:creationId xmlns:a16="http://schemas.microsoft.com/office/drawing/2014/main" id="{40929539-361A-C41B-CE66-400618A69447}"/>
              </a:ext>
            </a:extLst>
          </xdr:cNvPr>
          <xdr:cNvCxnSpPr/>
        </xdr:nvCxnSpPr>
        <xdr:spPr>
          <a:xfrm flipV="1">
            <a:off x="4533900" y="4024313"/>
            <a:ext cx="0" cy="3143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929" name="Straight Connector 2928">
            <a:extLst>
              <a:ext uri="{FF2B5EF4-FFF2-40B4-BE49-F238E27FC236}">
                <a16:creationId xmlns:a16="http://schemas.microsoft.com/office/drawing/2014/main" id="{606FBE6C-0DD2-B706-40A3-88113C8D998A}"/>
              </a:ext>
            </a:extLst>
          </xdr:cNvPr>
          <xdr:cNvCxnSpPr/>
        </xdr:nvCxnSpPr>
        <xdr:spPr>
          <a:xfrm flipH="1">
            <a:off x="4500560" y="4062415"/>
            <a:ext cx="66675" cy="666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930" name="Straight Connector 2929">
            <a:extLst>
              <a:ext uri="{FF2B5EF4-FFF2-40B4-BE49-F238E27FC236}">
                <a16:creationId xmlns:a16="http://schemas.microsoft.com/office/drawing/2014/main" id="{7EF2A51C-10EA-D273-B22A-151E12A78955}"/>
              </a:ext>
            </a:extLst>
          </xdr:cNvPr>
          <xdr:cNvCxnSpPr/>
        </xdr:nvCxnSpPr>
        <xdr:spPr>
          <a:xfrm flipV="1">
            <a:off x="5019675" y="3748088"/>
            <a:ext cx="0" cy="59055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931" name="Straight Connector 2930">
            <a:extLst>
              <a:ext uri="{FF2B5EF4-FFF2-40B4-BE49-F238E27FC236}">
                <a16:creationId xmlns:a16="http://schemas.microsoft.com/office/drawing/2014/main" id="{14814D63-FEF8-CB39-00F1-5EC9653A573B}"/>
              </a:ext>
            </a:extLst>
          </xdr:cNvPr>
          <xdr:cNvCxnSpPr/>
        </xdr:nvCxnSpPr>
        <xdr:spPr>
          <a:xfrm flipH="1">
            <a:off x="4986335" y="4062415"/>
            <a:ext cx="66675" cy="666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932" name="Straight Connector 2931">
            <a:extLst>
              <a:ext uri="{FF2B5EF4-FFF2-40B4-BE49-F238E27FC236}">
                <a16:creationId xmlns:a16="http://schemas.microsoft.com/office/drawing/2014/main" id="{48A2E44F-9EA5-2EC9-C48B-4DFBCC212B7F}"/>
              </a:ext>
            </a:extLst>
          </xdr:cNvPr>
          <xdr:cNvCxnSpPr/>
        </xdr:nvCxnSpPr>
        <xdr:spPr>
          <a:xfrm flipH="1">
            <a:off x="4986335" y="3776665"/>
            <a:ext cx="66675" cy="666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933" name="Straight Connector 2932">
            <a:extLst>
              <a:ext uri="{FF2B5EF4-FFF2-40B4-BE49-F238E27FC236}">
                <a16:creationId xmlns:a16="http://schemas.microsoft.com/office/drawing/2014/main" id="{2E52C47F-3222-26B8-BD89-246C6CDAF292}"/>
              </a:ext>
            </a:extLst>
          </xdr:cNvPr>
          <xdr:cNvCxnSpPr/>
        </xdr:nvCxnSpPr>
        <xdr:spPr>
          <a:xfrm>
            <a:off x="5053013" y="7019925"/>
            <a:ext cx="319087" cy="323850"/>
          </a:xfrm>
          <a:prstGeom prst="line">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934" name="Straight Connector 2933">
            <a:extLst>
              <a:ext uri="{FF2B5EF4-FFF2-40B4-BE49-F238E27FC236}">
                <a16:creationId xmlns:a16="http://schemas.microsoft.com/office/drawing/2014/main" id="{6C073D83-95D5-7EDC-16DE-24E9339117F0}"/>
              </a:ext>
            </a:extLst>
          </xdr:cNvPr>
          <xdr:cNvCxnSpPr/>
        </xdr:nvCxnSpPr>
        <xdr:spPr>
          <a:xfrm flipV="1">
            <a:off x="4705350" y="6591309"/>
            <a:ext cx="638175" cy="161925"/>
          </a:xfrm>
          <a:prstGeom prst="line">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935" name="Straight Connector 2934">
            <a:extLst>
              <a:ext uri="{FF2B5EF4-FFF2-40B4-BE49-F238E27FC236}">
                <a16:creationId xmlns:a16="http://schemas.microsoft.com/office/drawing/2014/main" id="{CEB254DF-3AD3-092B-1CBD-B267D0FB35D4}"/>
              </a:ext>
            </a:extLst>
          </xdr:cNvPr>
          <xdr:cNvCxnSpPr/>
        </xdr:nvCxnSpPr>
        <xdr:spPr>
          <a:xfrm flipV="1">
            <a:off x="4724400" y="6591309"/>
            <a:ext cx="619125" cy="428625"/>
          </a:xfrm>
          <a:prstGeom prst="line">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936" name="Straight Connector 2935">
            <a:extLst>
              <a:ext uri="{FF2B5EF4-FFF2-40B4-BE49-F238E27FC236}">
                <a16:creationId xmlns:a16="http://schemas.microsoft.com/office/drawing/2014/main" id="{44368421-AA5A-63B9-C259-4945A4DD8691}"/>
              </a:ext>
            </a:extLst>
          </xdr:cNvPr>
          <xdr:cNvCxnSpPr/>
        </xdr:nvCxnSpPr>
        <xdr:spPr>
          <a:xfrm flipV="1">
            <a:off x="4038600" y="5048250"/>
            <a:ext cx="1300163" cy="509589"/>
          </a:xfrm>
          <a:prstGeom prst="line">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937" name="Straight Connector 2936">
            <a:extLst>
              <a:ext uri="{FF2B5EF4-FFF2-40B4-BE49-F238E27FC236}">
                <a16:creationId xmlns:a16="http://schemas.microsoft.com/office/drawing/2014/main" id="{992B93E5-D230-E72F-E236-D5BB55A3EFFD}"/>
              </a:ext>
            </a:extLst>
          </xdr:cNvPr>
          <xdr:cNvCxnSpPr/>
        </xdr:nvCxnSpPr>
        <xdr:spPr>
          <a:xfrm flipV="1">
            <a:off x="4524375" y="5048250"/>
            <a:ext cx="819150" cy="585789"/>
          </a:xfrm>
          <a:prstGeom prst="line">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938" name="Straight Connector 2937">
            <a:extLst>
              <a:ext uri="{FF2B5EF4-FFF2-40B4-BE49-F238E27FC236}">
                <a16:creationId xmlns:a16="http://schemas.microsoft.com/office/drawing/2014/main" id="{5A007643-0348-63C4-02B2-B1CEAAB46D1A}"/>
              </a:ext>
            </a:extLst>
          </xdr:cNvPr>
          <xdr:cNvCxnSpPr/>
        </xdr:nvCxnSpPr>
        <xdr:spPr>
          <a:xfrm flipV="1">
            <a:off x="4781550" y="3867150"/>
            <a:ext cx="581025" cy="114300"/>
          </a:xfrm>
          <a:prstGeom prst="line">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939" name="Straight Connector 2938">
            <a:extLst>
              <a:ext uri="{FF2B5EF4-FFF2-40B4-BE49-F238E27FC236}">
                <a16:creationId xmlns:a16="http://schemas.microsoft.com/office/drawing/2014/main" id="{1BE95D51-81D0-310C-2A6C-42412756FF6C}"/>
              </a:ext>
            </a:extLst>
          </xdr:cNvPr>
          <xdr:cNvCxnSpPr/>
        </xdr:nvCxnSpPr>
        <xdr:spPr>
          <a:xfrm>
            <a:off x="1138238" y="5100639"/>
            <a:ext cx="971550" cy="70961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940" name="Straight Connector 2939">
            <a:extLst>
              <a:ext uri="{FF2B5EF4-FFF2-40B4-BE49-F238E27FC236}">
                <a16:creationId xmlns:a16="http://schemas.microsoft.com/office/drawing/2014/main" id="{C142DB22-F38A-496D-B323-D6F2D2EE7E08}"/>
              </a:ext>
            </a:extLst>
          </xdr:cNvPr>
          <xdr:cNvCxnSpPr/>
        </xdr:nvCxnSpPr>
        <xdr:spPr>
          <a:xfrm flipV="1">
            <a:off x="1133475" y="5095876"/>
            <a:ext cx="971550" cy="7143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941" name="Straight Connector 2940">
            <a:extLst>
              <a:ext uri="{FF2B5EF4-FFF2-40B4-BE49-F238E27FC236}">
                <a16:creationId xmlns:a16="http://schemas.microsoft.com/office/drawing/2014/main" id="{671E53E2-1503-1B9A-1E28-187158725069}"/>
              </a:ext>
            </a:extLst>
          </xdr:cNvPr>
          <xdr:cNvCxnSpPr/>
        </xdr:nvCxnSpPr>
        <xdr:spPr>
          <a:xfrm>
            <a:off x="4048126" y="5100639"/>
            <a:ext cx="971550" cy="70961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942" name="Straight Connector 2941">
            <a:extLst>
              <a:ext uri="{FF2B5EF4-FFF2-40B4-BE49-F238E27FC236}">
                <a16:creationId xmlns:a16="http://schemas.microsoft.com/office/drawing/2014/main" id="{9B5E154C-500D-E44A-87AF-A28CAF84A9B6}"/>
              </a:ext>
            </a:extLst>
          </xdr:cNvPr>
          <xdr:cNvCxnSpPr/>
        </xdr:nvCxnSpPr>
        <xdr:spPr>
          <a:xfrm flipV="1">
            <a:off x="4043363" y="5095876"/>
            <a:ext cx="971550" cy="7143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943" name="Straight Connector 2942">
            <a:extLst>
              <a:ext uri="{FF2B5EF4-FFF2-40B4-BE49-F238E27FC236}">
                <a16:creationId xmlns:a16="http://schemas.microsoft.com/office/drawing/2014/main" id="{0138B073-164D-666B-60C0-82C39A905EA5}"/>
              </a:ext>
            </a:extLst>
          </xdr:cNvPr>
          <xdr:cNvCxnSpPr/>
        </xdr:nvCxnSpPr>
        <xdr:spPr>
          <a:xfrm>
            <a:off x="1138239" y="5815014"/>
            <a:ext cx="971550" cy="70961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944" name="Straight Connector 2943">
            <a:extLst>
              <a:ext uri="{FF2B5EF4-FFF2-40B4-BE49-F238E27FC236}">
                <a16:creationId xmlns:a16="http://schemas.microsoft.com/office/drawing/2014/main" id="{09CEF935-A9F6-ED3F-806E-769E8703749A}"/>
              </a:ext>
            </a:extLst>
          </xdr:cNvPr>
          <xdr:cNvCxnSpPr/>
        </xdr:nvCxnSpPr>
        <xdr:spPr>
          <a:xfrm flipV="1">
            <a:off x="1133476" y="5810251"/>
            <a:ext cx="971550" cy="7143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945" name="Straight Connector 2944">
            <a:extLst>
              <a:ext uri="{FF2B5EF4-FFF2-40B4-BE49-F238E27FC236}">
                <a16:creationId xmlns:a16="http://schemas.microsoft.com/office/drawing/2014/main" id="{EBFFD17A-BE1E-2B02-09E3-632B04DA82B8}"/>
              </a:ext>
            </a:extLst>
          </xdr:cNvPr>
          <xdr:cNvCxnSpPr/>
        </xdr:nvCxnSpPr>
        <xdr:spPr>
          <a:xfrm>
            <a:off x="4048127" y="5815014"/>
            <a:ext cx="971550" cy="70961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946" name="Straight Connector 2945">
            <a:extLst>
              <a:ext uri="{FF2B5EF4-FFF2-40B4-BE49-F238E27FC236}">
                <a16:creationId xmlns:a16="http://schemas.microsoft.com/office/drawing/2014/main" id="{017B51C0-1312-C438-66D6-42A4307A88B4}"/>
              </a:ext>
            </a:extLst>
          </xdr:cNvPr>
          <xdr:cNvCxnSpPr/>
        </xdr:nvCxnSpPr>
        <xdr:spPr>
          <a:xfrm flipV="1">
            <a:off x="4043364" y="5810251"/>
            <a:ext cx="971550" cy="7143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947" name="Straight Connector 2946">
            <a:extLst>
              <a:ext uri="{FF2B5EF4-FFF2-40B4-BE49-F238E27FC236}">
                <a16:creationId xmlns:a16="http://schemas.microsoft.com/office/drawing/2014/main" id="{CAB49FFE-7445-114F-B7FC-22EF0704FEF8}"/>
              </a:ext>
            </a:extLst>
          </xdr:cNvPr>
          <xdr:cNvCxnSpPr/>
        </xdr:nvCxnSpPr>
        <xdr:spPr>
          <a:xfrm>
            <a:off x="1133475" y="7243764"/>
            <a:ext cx="971550" cy="70961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948" name="Straight Connector 2947">
            <a:extLst>
              <a:ext uri="{FF2B5EF4-FFF2-40B4-BE49-F238E27FC236}">
                <a16:creationId xmlns:a16="http://schemas.microsoft.com/office/drawing/2014/main" id="{8922FFF2-0F2E-B2F4-A44A-3FEEAA756014}"/>
              </a:ext>
            </a:extLst>
          </xdr:cNvPr>
          <xdr:cNvCxnSpPr/>
        </xdr:nvCxnSpPr>
        <xdr:spPr>
          <a:xfrm flipV="1">
            <a:off x="1128712" y="7239001"/>
            <a:ext cx="971550" cy="7143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949" name="Straight Connector 2948">
            <a:extLst>
              <a:ext uri="{FF2B5EF4-FFF2-40B4-BE49-F238E27FC236}">
                <a16:creationId xmlns:a16="http://schemas.microsoft.com/office/drawing/2014/main" id="{97034B6B-1971-1DA7-50BD-F9F00930D8C8}"/>
              </a:ext>
            </a:extLst>
          </xdr:cNvPr>
          <xdr:cNvCxnSpPr/>
        </xdr:nvCxnSpPr>
        <xdr:spPr>
          <a:xfrm>
            <a:off x="4043363" y="7243764"/>
            <a:ext cx="971550" cy="70961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950" name="Straight Connector 2949">
            <a:extLst>
              <a:ext uri="{FF2B5EF4-FFF2-40B4-BE49-F238E27FC236}">
                <a16:creationId xmlns:a16="http://schemas.microsoft.com/office/drawing/2014/main" id="{7E1E0427-9545-5995-9FFB-E33342048D19}"/>
              </a:ext>
            </a:extLst>
          </xdr:cNvPr>
          <xdr:cNvCxnSpPr/>
        </xdr:nvCxnSpPr>
        <xdr:spPr>
          <a:xfrm flipV="1">
            <a:off x="4038600" y="7239001"/>
            <a:ext cx="971550" cy="7143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951" name="Straight Connector 2950">
            <a:extLst>
              <a:ext uri="{FF2B5EF4-FFF2-40B4-BE49-F238E27FC236}">
                <a16:creationId xmlns:a16="http://schemas.microsoft.com/office/drawing/2014/main" id="{C6B7A3E8-3F41-B469-923E-92473E49FCFA}"/>
              </a:ext>
            </a:extLst>
          </xdr:cNvPr>
          <xdr:cNvCxnSpPr/>
        </xdr:nvCxnSpPr>
        <xdr:spPr>
          <a:xfrm>
            <a:off x="1138238" y="7958140"/>
            <a:ext cx="971550" cy="70961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952" name="Straight Connector 2951">
            <a:extLst>
              <a:ext uri="{FF2B5EF4-FFF2-40B4-BE49-F238E27FC236}">
                <a16:creationId xmlns:a16="http://schemas.microsoft.com/office/drawing/2014/main" id="{208E1776-9CF4-BC48-155F-3644F885E6CB}"/>
              </a:ext>
            </a:extLst>
          </xdr:cNvPr>
          <xdr:cNvCxnSpPr/>
        </xdr:nvCxnSpPr>
        <xdr:spPr>
          <a:xfrm flipV="1">
            <a:off x="1133475" y="7953377"/>
            <a:ext cx="971550" cy="7143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953" name="Straight Connector 2952">
            <a:extLst>
              <a:ext uri="{FF2B5EF4-FFF2-40B4-BE49-F238E27FC236}">
                <a16:creationId xmlns:a16="http://schemas.microsoft.com/office/drawing/2014/main" id="{29F1FF49-0237-B518-9386-C60C7D443DF6}"/>
              </a:ext>
            </a:extLst>
          </xdr:cNvPr>
          <xdr:cNvCxnSpPr/>
        </xdr:nvCxnSpPr>
        <xdr:spPr>
          <a:xfrm>
            <a:off x="4048126" y="7958140"/>
            <a:ext cx="971550" cy="70961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954" name="Straight Connector 2953">
            <a:extLst>
              <a:ext uri="{FF2B5EF4-FFF2-40B4-BE49-F238E27FC236}">
                <a16:creationId xmlns:a16="http://schemas.microsoft.com/office/drawing/2014/main" id="{03BE80B3-10B3-E6B3-F150-C7AD117DD2F4}"/>
              </a:ext>
            </a:extLst>
          </xdr:cNvPr>
          <xdr:cNvCxnSpPr/>
        </xdr:nvCxnSpPr>
        <xdr:spPr>
          <a:xfrm flipV="1">
            <a:off x="4043363" y="7953377"/>
            <a:ext cx="971550" cy="7143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48</xdr:col>
      <xdr:colOff>80960</xdr:colOff>
      <xdr:row>263</xdr:row>
      <xdr:rowOff>80963</xdr:rowOff>
    </xdr:from>
    <xdr:to>
      <xdr:col>55</xdr:col>
      <xdr:colOff>61913</xdr:colOff>
      <xdr:row>271</xdr:row>
      <xdr:rowOff>66676</xdr:rowOff>
    </xdr:to>
    <xdr:grpSp>
      <xdr:nvGrpSpPr>
        <xdr:cNvPr id="2955" name="Group 2954">
          <a:extLst>
            <a:ext uri="{FF2B5EF4-FFF2-40B4-BE49-F238E27FC236}">
              <a16:creationId xmlns:a16="http://schemas.microsoft.com/office/drawing/2014/main" id="{27409B5A-F5B5-4A30-B910-19AE4DD7D705}"/>
            </a:ext>
          </a:extLst>
        </xdr:cNvPr>
        <xdr:cNvGrpSpPr/>
      </xdr:nvGrpSpPr>
      <xdr:grpSpPr>
        <a:xfrm>
          <a:off x="7853360" y="38514338"/>
          <a:ext cx="1114428" cy="1128713"/>
          <a:chOff x="7853360" y="25703213"/>
          <a:chExt cx="1114428" cy="1128713"/>
        </a:xfrm>
      </xdr:grpSpPr>
      <xdr:grpSp>
        <xdr:nvGrpSpPr>
          <xdr:cNvPr id="2956" name="Group 2955">
            <a:extLst>
              <a:ext uri="{FF2B5EF4-FFF2-40B4-BE49-F238E27FC236}">
                <a16:creationId xmlns:a16="http://schemas.microsoft.com/office/drawing/2014/main" id="{7A4342BA-7936-4CC4-0F86-7196BD07A28A}"/>
              </a:ext>
            </a:extLst>
          </xdr:cNvPr>
          <xdr:cNvGrpSpPr/>
        </xdr:nvGrpSpPr>
        <xdr:grpSpPr>
          <a:xfrm>
            <a:off x="8253413" y="25765125"/>
            <a:ext cx="647700" cy="709613"/>
            <a:chOff x="8253413" y="25765125"/>
            <a:chExt cx="647700" cy="709613"/>
          </a:xfrm>
        </xdr:grpSpPr>
        <xdr:sp macro="" textlink="">
          <xdr:nvSpPr>
            <xdr:cNvPr id="2970" name="Rectangle: Rounded Corners 2969">
              <a:extLst>
                <a:ext uri="{FF2B5EF4-FFF2-40B4-BE49-F238E27FC236}">
                  <a16:creationId xmlns:a16="http://schemas.microsoft.com/office/drawing/2014/main" id="{E79B387D-7B47-8DEE-A73D-2BBDCC01915E}"/>
                </a:ext>
              </a:extLst>
            </xdr:cNvPr>
            <xdr:cNvSpPr/>
          </xdr:nvSpPr>
          <xdr:spPr>
            <a:xfrm>
              <a:off x="8253413" y="25765125"/>
              <a:ext cx="647700" cy="709613"/>
            </a:xfrm>
            <a:prstGeom prst="round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kern="1200"/>
            </a:p>
          </xdr:txBody>
        </xdr:sp>
        <xdr:sp macro="" textlink="">
          <xdr:nvSpPr>
            <xdr:cNvPr id="2971" name="Rectangle: Rounded Corners 2970">
              <a:extLst>
                <a:ext uri="{FF2B5EF4-FFF2-40B4-BE49-F238E27FC236}">
                  <a16:creationId xmlns:a16="http://schemas.microsoft.com/office/drawing/2014/main" id="{C88896B5-D59A-9092-17B5-2A26ABBE52F2}"/>
                </a:ext>
              </a:extLst>
            </xdr:cNvPr>
            <xdr:cNvSpPr/>
          </xdr:nvSpPr>
          <xdr:spPr>
            <a:xfrm>
              <a:off x="8323381" y="25841327"/>
              <a:ext cx="517288" cy="566736"/>
            </a:xfrm>
            <a:prstGeom prst="roundRect">
              <a:avLst/>
            </a:prstGeom>
            <a:solidFill>
              <a:schemeClr val="bg1"/>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kern="1200"/>
            </a:p>
          </xdr:txBody>
        </xdr:sp>
      </xdr:grpSp>
      <xdr:cxnSp macro="">
        <xdr:nvCxnSpPr>
          <xdr:cNvPr id="2957" name="Straight Connector 2956">
            <a:extLst>
              <a:ext uri="{FF2B5EF4-FFF2-40B4-BE49-F238E27FC236}">
                <a16:creationId xmlns:a16="http://schemas.microsoft.com/office/drawing/2014/main" id="{BB6E57AB-6037-535C-AFB7-B55F0F814219}"/>
              </a:ext>
            </a:extLst>
          </xdr:cNvPr>
          <xdr:cNvCxnSpPr/>
        </xdr:nvCxnSpPr>
        <xdr:spPr>
          <a:xfrm>
            <a:off x="7853363" y="25765127"/>
            <a:ext cx="428624"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958" name="Straight Connector 2957">
            <a:extLst>
              <a:ext uri="{FF2B5EF4-FFF2-40B4-BE49-F238E27FC236}">
                <a16:creationId xmlns:a16="http://schemas.microsoft.com/office/drawing/2014/main" id="{BF47F5E5-46CD-245A-BCB4-D6CB5F67A3DA}"/>
              </a:ext>
            </a:extLst>
          </xdr:cNvPr>
          <xdr:cNvCxnSpPr/>
        </xdr:nvCxnSpPr>
        <xdr:spPr>
          <a:xfrm>
            <a:off x="7934325" y="25703213"/>
            <a:ext cx="0" cy="83343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959" name="Straight Connector 2958">
            <a:extLst>
              <a:ext uri="{FF2B5EF4-FFF2-40B4-BE49-F238E27FC236}">
                <a16:creationId xmlns:a16="http://schemas.microsoft.com/office/drawing/2014/main" id="{7EA1E57C-41EB-3A04-9E79-D30DAA01466F}"/>
              </a:ext>
            </a:extLst>
          </xdr:cNvPr>
          <xdr:cNvCxnSpPr/>
        </xdr:nvCxnSpPr>
        <xdr:spPr>
          <a:xfrm flipH="1">
            <a:off x="7896225" y="25731787"/>
            <a:ext cx="71438" cy="7143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960" name="Straight Connector 2959">
            <a:extLst>
              <a:ext uri="{FF2B5EF4-FFF2-40B4-BE49-F238E27FC236}">
                <a16:creationId xmlns:a16="http://schemas.microsoft.com/office/drawing/2014/main" id="{686436E7-2513-037A-BCB1-9F6A231705B5}"/>
              </a:ext>
            </a:extLst>
          </xdr:cNvPr>
          <xdr:cNvCxnSpPr/>
        </xdr:nvCxnSpPr>
        <xdr:spPr>
          <a:xfrm>
            <a:off x="7853360" y="26479506"/>
            <a:ext cx="428624"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961" name="Straight Connector 2960">
            <a:extLst>
              <a:ext uri="{FF2B5EF4-FFF2-40B4-BE49-F238E27FC236}">
                <a16:creationId xmlns:a16="http://schemas.microsoft.com/office/drawing/2014/main" id="{2442722F-C59B-2AAA-1501-2B1950649D2D}"/>
              </a:ext>
            </a:extLst>
          </xdr:cNvPr>
          <xdr:cNvCxnSpPr/>
        </xdr:nvCxnSpPr>
        <xdr:spPr>
          <a:xfrm flipH="1">
            <a:off x="7896222" y="26446166"/>
            <a:ext cx="71438" cy="7143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962" name="Straight Connector 2961">
            <a:extLst>
              <a:ext uri="{FF2B5EF4-FFF2-40B4-BE49-F238E27FC236}">
                <a16:creationId xmlns:a16="http://schemas.microsoft.com/office/drawing/2014/main" id="{117FC20A-F4AF-4DAE-BA8D-6FABD53A774E}"/>
              </a:ext>
            </a:extLst>
          </xdr:cNvPr>
          <xdr:cNvCxnSpPr/>
        </xdr:nvCxnSpPr>
        <xdr:spPr>
          <a:xfrm>
            <a:off x="8258175" y="26441400"/>
            <a:ext cx="0" cy="3905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963" name="Straight Connector 2962">
            <a:extLst>
              <a:ext uri="{FF2B5EF4-FFF2-40B4-BE49-F238E27FC236}">
                <a16:creationId xmlns:a16="http://schemas.microsoft.com/office/drawing/2014/main" id="{69840061-4369-CF21-0607-D998DF3B3F2A}"/>
              </a:ext>
            </a:extLst>
          </xdr:cNvPr>
          <xdr:cNvCxnSpPr/>
        </xdr:nvCxnSpPr>
        <xdr:spPr>
          <a:xfrm>
            <a:off x="8191501" y="26765250"/>
            <a:ext cx="776287"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964" name="Straight Connector 2963">
            <a:extLst>
              <a:ext uri="{FF2B5EF4-FFF2-40B4-BE49-F238E27FC236}">
                <a16:creationId xmlns:a16="http://schemas.microsoft.com/office/drawing/2014/main" id="{3FA1EC73-992A-5656-8377-EEEE3FAF2D98}"/>
              </a:ext>
            </a:extLst>
          </xdr:cNvPr>
          <xdr:cNvCxnSpPr/>
        </xdr:nvCxnSpPr>
        <xdr:spPr>
          <a:xfrm flipH="1">
            <a:off x="8220075" y="26731912"/>
            <a:ext cx="71438" cy="7143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965" name="Straight Connector 2964">
            <a:extLst>
              <a:ext uri="{FF2B5EF4-FFF2-40B4-BE49-F238E27FC236}">
                <a16:creationId xmlns:a16="http://schemas.microsoft.com/office/drawing/2014/main" id="{E4879B5A-EB66-E08E-27A2-798119F5B5F6}"/>
              </a:ext>
            </a:extLst>
          </xdr:cNvPr>
          <xdr:cNvCxnSpPr/>
        </xdr:nvCxnSpPr>
        <xdr:spPr>
          <a:xfrm>
            <a:off x="8905875" y="26441401"/>
            <a:ext cx="0" cy="3905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966" name="Straight Connector 2965">
            <a:extLst>
              <a:ext uri="{FF2B5EF4-FFF2-40B4-BE49-F238E27FC236}">
                <a16:creationId xmlns:a16="http://schemas.microsoft.com/office/drawing/2014/main" id="{93E08213-3D41-2439-5E04-0442C97E686D}"/>
              </a:ext>
            </a:extLst>
          </xdr:cNvPr>
          <xdr:cNvCxnSpPr/>
        </xdr:nvCxnSpPr>
        <xdr:spPr>
          <a:xfrm flipH="1">
            <a:off x="8867775" y="26731913"/>
            <a:ext cx="71438" cy="7143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967" name="Straight Connector 2966">
            <a:extLst>
              <a:ext uri="{FF2B5EF4-FFF2-40B4-BE49-F238E27FC236}">
                <a16:creationId xmlns:a16="http://schemas.microsoft.com/office/drawing/2014/main" id="{CB130D47-7540-7121-16AD-85A3F1999BFE}"/>
              </a:ext>
            </a:extLst>
          </xdr:cNvPr>
          <xdr:cNvCxnSpPr/>
        </xdr:nvCxnSpPr>
        <xdr:spPr>
          <a:xfrm>
            <a:off x="8791576" y="26098501"/>
            <a:ext cx="152400"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968" name="Straight Connector 2967">
            <a:extLst>
              <a:ext uri="{FF2B5EF4-FFF2-40B4-BE49-F238E27FC236}">
                <a16:creationId xmlns:a16="http://schemas.microsoft.com/office/drawing/2014/main" id="{544F476A-5AEF-B222-D00D-DC6EB59B11DA}"/>
              </a:ext>
            </a:extLst>
          </xdr:cNvPr>
          <xdr:cNvCxnSpPr/>
        </xdr:nvCxnSpPr>
        <xdr:spPr>
          <a:xfrm flipH="1">
            <a:off x="8801101" y="26065163"/>
            <a:ext cx="71438" cy="7143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969" name="Straight Connector 2968">
            <a:extLst>
              <a:ext uri="{FF2B5EF4-FFF2-40B4-BE49-F238E27FC236}">
                <a16:creationId xmlns:a16="http://schemas.microsoft.com/office/drawing/2014/main" id="{F17ABD7F-7BAD-6CE1-19CD-A61CC85B0DD4}"/>
              </a:ext>
            </a:extLst>
          </xdr:cNvPr>
          <xdr:cNvCxnSpPr/>
        </xdr:nvCxnSpPr>
        <xdr:spPr>
          <a:xfrm flipH="1">
            <a:off x="8863013" y="26065162"/>
            <a:ext cx="71438" cy="71438"/>
          </a:xfrm>
          <a:prstGeom prst="line">
            <a:avLst/>
          </a:prstGeom>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58</xdr:col>
      <xdr:colOff>80965</xdr:colOff>
      <xdr:row>263</xdr:row>
      <xdr:rowOff>80965</xdr:rowOff>
    </xdr:from>
    <xdr:to>
      <xdr:col>64</xdr:col>
      <xdr:colOff>114301</xdr:colOff>
      <xdr:row>269</xdr:row>
      <xdr:rowOff>57152</xdr:rowOff>
    </xdr:to>
    <xdr:grpSp>
      <xdr:nvGrpSpPr>
        <xdr:cNvPr id="2972" name="Group 2971">
          <a:extLst>
            <a:ext uri="{FF2B5EF4-FFF2-40B4-BE49-F238E27FC236}">
              <a16:creationId xmlns:a16="http://schemas.microsoft.com/office/drawing/2014/main" id="{2899BB9A-4039-40E2-AFCE-1CDE4ACDA0EF}"/>
            </a:ext>
          </a:extLst>
        </xdr:cNvPr>
        <xdr:cNvGrpSpPr/>
      </xdr:nvGrpSpPr>
      <xdr:grpSpPr>
        <a:xfrm>
          <a:off x="9472615" y="38514340"/>
          <a:ext cx="1004886" cy="833437"/>
          <a:chOff x="9634540" y="25703215"/>
          <a:chExt cx="1004886" cy="833437"/>
        </a:xfrm>
      </xdr:grpSpPr>
      <xdr:grpSp>
        <xdr:nvGrpSpPr>
          <xdr:cNvPr id="2973" name="Group 2972">
            <a:extLst>
              <a:ext uri="{FF2B5EF4-FFF2-40B4-BE49-F238E27FC236}">
                <a16:creationId xmlns:a16="http://schemas.microsoft.com/office/drawing/2014/main" id="{D93E7D49-0AE7-363D-B188-19401DCD65B1}"/>
              </a:ext>
            </a:extLst>
          </xdr:cNvPr>
          <xdr:cNvGrpSpPr/>
        </xdr:nvGrpSpPr>
        <xdr:grpSpPr>
          <a:xfrm>
            <a:off x="9891722" y="25769890"/>
            <a:ext cx="704850" cy="704850"/>
            <a:chOff x="9667876" y="25741312"/>
            <a:chExt cx="704850" cy="704850"/>
          </a:xfrm>
        </xdr:grpSpPr>
        <xdr:sp macro="" textlink="">
          <xdr:nvSpPr>
            <xdr:cNvPr id="2982" name="Oval 2981">
              <a:extLst>
                <a:ext uri="{FF2B5EF4-FFF2-40B4-BE49-F238E27FC236}">
                  <a16:creationId xmlns:a16="http://schemas.microsoft.com/office/drawing/2014/main" id="{ED3A5FEC-0530-24C1-148D-ABC125311C28}"/>
                </a:ext>
              </a:extLst>
            </xdr:cNvPr>
            <xdr:cNvSpPr/>
          </xdr:nvSpPr>
          <xdr:spPr>
            <a:xfrm>
              <a:off x="9667876" y="25741312"/>
              <a:ext cx="704850" cy="704850"/>
            </a:xfrm>
            <a:prstGeom prst="ellipse">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kern="1200"/>
            </a:p>
          </xdr:txBody>
        </xdr:sp>
        <xdr:sp macro="" textlink="">
          <xdr:nvSpPr>
            <xdr:cNvPr id="2983" name="Oval 2982">
              <a:extLst>
                <a:ext uri="{FF2B5EF4-FFF2-40B4-BE49-F238E27FC236}">
                  <a16:creationId xmlns:a16="http://schemas.microsoft.com/office/drawing/2014/main" id="{8A5621C5-0239-AF2E-39F8-E9331D5A97E8}"/>
                </a:ext>
              </a:extLst>
            </xdr:cNvPr>
            <xdr:cNvSpPr/>
          </xdr:nvSpPr>
          <xdr:spPr>
            <a:xfrm>
              <a:off x="9725023" y="25803223"/>
              <a:ext cx="590552" cy="590552"/>
            </a:xfrm>
            <a:prstGeom prst="ellipse">
              <a:avLst/>
            </a:prstGeom>
            <a:solidFill>
              <a:schemeClr val="bg1"/>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kern="1200"/>
            </a:p>
          </xdr:txBody>
        </xdr:sp>
      </xdr:grpSp>
      <xdr:cxnSp macro="">
        <xdr:nvCxnSpPr>
          <xdr:cNvPr id="2974" name="Straight Connector 2973">
            <a:extLst>
              <a:ext uri="{FF2B5EF4-FFF2-40B4-BE49-F238E27FC236}">
                <a16:creationId xmlns:a16="http://schemas.microsoft.com/office/drawing/2014/main" id="{64A39C93-64F3-D0BC-A938-7C5A0513F3F3}"/>
              </a:ext>
            </a:extLst>
          </xdr:cNvPr>
          <xdr:cNvCxnSpPr/>
        </xdr:nvCxnSpPr>
        <xdr:spPr>
          <a:xfrm>
            <a:off x="10487026" y="26122322"/>
            <a:ext cx="152400"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975" name="Straight Connector 2974">
            <a:extLst>
              <a:ext uri="{FF2B5EF4-FFF2-40B4-BE49-F238E27FC236}">
                <a16:creationId xmlns:a16="http://schemas.microsoft.com/office/drawing/2014/main" id="{6FF2BBDC-B762-2229-643E-6B9EA64DDBE3}"/>
              </a:ext>
            </a:extLst>
          </xdr:cNvPr>
          <xdr:cNvCxnSpPr/>
        </xdr:nvCxnSpPr>
        <xdr:spPr>
          <a:xfrm flipH="1">
            <a:off x="10496551" y="26088984"/>
            <a:ext cx="71438" cy="7143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976" name="Straight Connector 2975">
            <a:extLst>
              <a:ext uri="{FF2B5EF4-FFF2-40B4-BE49-F238E27FC236}">
                <a16:creationId xmlns:a16="http://schemas.microsoft.com/office/drawing/2014/main" id="{D28F753C-1C73-CB1D-148F-284BBDF3A00C}"/>
              </a:ext>
            </a:extLst>
          </xdr:cNvPr>
          <xdr:cNvCxnSpPr/>
        </xdr:nvCxnSpPr>
        <xdr:spPr>
          <a:xfrm flipH="1">
            <a:off x="10558463" y="26088983"/>
            <a:ext cx="71438" cy="7143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977" name="Straight Connector 2976">
            <a:extLst>
              <a:ext uri="{FF2B5EF4-FFF2-40B4-BE49-F238E27FC236}">
                <a16:creationId xmlns:a16="http://schemas.microsoft.com/office/drawing/2014/main" id="{9AFDC481-3F81-E3B9-82D1-ACB9E1F7701F}"/>
              </a:ext>
            </a:extLst>
          </xdr:cNvPr>
          <xdr:cNvCxnSpPr/>
        </xdr:nvCxnSpPr>
        <xdr:spPr>
          <a:xfrm>
            <a:off x="9634543" y="25765129"/>
            <a:ext cx="428624"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978" name="Straight Connector 2977">
            <a:extLst>
              <a:ext uri="{FF2B5EF4-FFF2-40B4-BE49-F238E27FC236}">
                <a16:creationId xmlns:a16="http://schemas.microsoft.com/office/drawing/2014/main" id="{8D606F88-3293-6A9A-CB66-293E060922C6}"/>
              </a:ext>
            </a:extLst>
          </xdr:cNvPr>
          <xdr:cNvCxnSpPr/>
        </xdr:nvCxnSpPr>
        <xdr:spPr>
          <a:xfrm>
            <a:off x="9715505" y="25703215"/>
            <a:ext cx="0" cy="83343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979" name="Straight Connector 2978">
            <a:extLst>
              <a:ext uri="{FF2B5EF4-FFF2-40B4-BE49-F238E27FC236}">
                <a16:creationId xmlns:a16="http://schemas.microsoft.com/office/drawing/2014/main" id="{DE29558D-87A5-0B46-5002-E5DB0E08541C}"/>
              </a:ext>
            </a:extLst>
          </xdr:cNvPr>
          <xdr:cNvCxnSpPr/>
        </xdr:nvCxnSpPr>
        <xdr:spPr>
          <a:xfrm flipH="1">
            <a:off x="9677405" y="25731789"/>
            <a:ext cx="71438" cy="7143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980" name="Straight Connector 2979">
            <a:extLst>
              <a:ext uri="{FF2B5EF4-FFF2-40B4-BE49-F238E27FC236}">
                <a16:creationId xmlns:a16="http://schemas.microsoft.com/office/drawing/2014/main" id="{9A0E6E68-8CF0-83BA-98E9-FE9E433F2F3F}"/>
              </a:ext>
            </a:extLst>
          </xdr:cNvPr>
          <xdr:cNvCxnSpPr/>
        </xdr:nvCxnSpPr>
        <xdr:spPr>
          <a:xfrm>
            <a:off x="9634540" y="26479508"/>
            <a:ext cx="428624"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981" name="Straight Connector 2980">
            <a:extLst>
              <a:ext uri="{FF2B5EF4-FFF2-40B4-BE49-F238E27FC236}">
                <a16:creationId xmlns:a16="http://schemas.microsoft.com/office/drawing/2014/main" id="{D577035B-C0A1-FFA2-2D43-37875DF88D33}"/>
              </a:ext>
            </a:extLst>
          </xdr:cNvPr>
          <xdr:cNvCxnSpPr/>
        </xdr:nvCxnSpPr>
        <xdr:spPr>
          <a:xfrm flipH="1">
            <a:off x="9677402" y="26446168"/>
            <a:ext cx="71438" cy="71438"/>
          </a:xfrm>
          <a:prstGeom prst="line">
            <a:avLst/>
          </a:prstGeom>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47626</xdr:colOff>
      <xdr:row>291</xdr:row>
      <xdr:rowOff>109547</xdr:rowOff>
    </xdr:from>
    <xdr:to>
      <xdr:col>15</xdr:col>
      <xdr:colOff>109538</xdr:colOff>
      <xdr:row>294</xdr:row>
      <xdr:rowOff>10</xdr:rowOff>
    </xdr:to>
    <xdr:sp macro="" textlink="">
      <xdr:nvSpPr>
        <xdr:cNvPr id="3083" name="Freeform: Shape 3082">
          <a:extLst>
            <a:ext uri="{FF2B5EF4-FFF2-40B4-BE49-F238E27FC236}">
              <a16:creationId xmlns:a16="http://schemas.microsoft.com/office/drawing/2014/main" id="{543D75E6-B4CA-493B-9980-78BD6B78B57D}"/>
            </a:ext>
          </a:extLst>
        </xdr:cNvPr>
        <xdr:cNvSpPr/>
      </xdr:nvSpPr>
      <xdr:spPr>
        <a:xfrm>
          <a:off x="1019176" y="15206672"/>
          <a:ext cx="1519237" cy="319088"/>
        </a:xfrm>
        <a:custGeom>
          <a:avLst/>
          <a:gdLst>
            <a:gd name="connsiteX0" fmla="*/ 0 w 1519237"/>
            <a:gd name="connsiteY0" fmla="*/ 9525 h 319088"/>
            <a:gd name="connsiteX1" fmla="*/ 0 w 1519237"/>
            <a:gd name="connsiteY1" fmla="*/ 319088 h 319088"/>
            <a:gd name="connsiteX2" fmla="*/ 1519237 w 1519237"/>
            <a:gd name="connsiteY2" fmla="*/ 319088 h 319088"/>
            <a:gd name="connsiteX3" fmla="*/ 1519237 w 1519237"/>
            <a:gd name="connsiteY3" fmla="*/ 0 h 319088"/>
          </a:gdLst>
          <a:ahLst/>
          <a:cxnLst>
            <a:cxn ang="0">
              <a:pos x="connsiteX0" y="connsiteY0"/>
            </a:cxn>
            <a:cxn ang="0">
              <a:pos x="connsiteX1" y="connsiteY1"/>
            </a:cxn>
            <a:cxn ang="0">
              <a:pos x="connsiteX2" y="connsiteY2"/>
            </a:cxn>
            <a:cxn ang="0">
              <a:pos x="connsiteX3" y="connsiteY3"/>
            </a:cxn>
          </a:cxnLst>
          <a:rect l="l" t="t" r="r" b="b"/>
          <a:pathLst>
            <a:path w="1519237" h="319088">
              <a:moveTo>
                <a:pt x="0" y="9525"/>
              </a:moveTo>
              <a:lnTo>
                <a:pt x="0" y="319088"/>
              </a:lnTo>
              <a:lnTo>
                <a:pt x="1519237" y="319088"/>
              </a:lnTo>
              <a:lnTo>
                <a:pt x="1519237" y="0"/>
              </a:lnTo>
            </a:path>
          </a:pathLst>
        </a:cu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kern="1200"/>
        </a:p>
      </xdr:txBody>
    </xdr:sp>
    <xdr:clientData/>
  </xdr:twoCellAnchor>
  <xdr:twoCellAnchor>
    <xdr:from>
      <xdr:col>9</xdr:col>
      <xdr:colOff>14287</xdr:colOff>
      <xdr:row>287</xdr:row>
      <xdr:rowOff>9529</xdr:rowOff>
    </xdr:from>
    <xdr:to>
      <xdr:col>11</xdr:col>
      <xdr:colOff>9525</xdr:colOff>
      <xdr:row>293</xdr:row>
      <xdr:rowOff>0</xdr:rowOff>
    </xdr:to>
    <xdr:sp macro="" textlink="">
      <xdr:nvSpPr>
        <xdr:cNvPr id="3084" name="Freeform: Shape 3083">
          <a:extLst>
            <a:ext uri="{FF2B5EF4-FFF2-40B4-BE49-F238E27FC236}">
              <a16:creationId xmlns:a16="http://schemas.microsoft.com/office/drawing/2014/main" id="{EC413980-39C6-4C40-8B06-BC2C82B11193}"/>
            </a:ext>
          </a:extLst>
        </xdr:cNvPr>
        <xdr:cNvSpPr/>
      </xdr:nvSpPr>
      <xdr:spPr>
        <a:xfrm rot="5400000">
          <a:off x="1207295" y="14799471"/>
          <a:ext cx="847721" cy="319088"/>
        </a:xfrm>
        <a:custGeom>
          <a:avLst/>
          <a:gdLst>
            <a:gd name="connsiteX0" fmla="*/ 0 w 1519237"/>
            <a:gd name="connsiteY0" fmla="*/ 9525 h 319088"/>
            <a:gd name="connsiteX1" fmla="*/ 0 w 1519237"/>
            <a:gd name="connsiteY1" fmla="*/ 319088 h 319088"/>
            <a:gd name="connsiteX2" fmla="*/ 1519237 w 1519237"/>
            <a:gd name="connsiteY2" fmla="*/ 319088 h 319088"/>
            <a:gd name="connsiteX3" fmla="*/ 1519237 w 1519237"/>
            <a:gd name="connsiteY3" fmla="*/ 0 h 319088"/>
          </a:gdLst>
          <a:ahLst/>
          <a:cxnLst>
            <a:cxn ang="0">
              <a:pos x="connsiteX0" y="connsiteY0"/>
            </a:cxn>
            <a:cxn ang="0">
              <a:pos x="connsiteX1" y="connsiteY1"/>
            </a:cxn>
            <a:cxn ang="0">
              <a:pos x="connsiteX2" y="connsiteY2"/>
            </a:cxn>
            <a:cxn ang="0">
              <a:pos x="connsiteX3" y="connsiteY3"/>
            </a:cxn>
          </a:cxnLst>
          <a:rect l="l" t="t" r="r" b="b"/>
          <a:pathLst>
            <a:path w="1519237" h="319088">
              <a:moveTo>
                <a:pt x="0" y="9525"/>
              </a:moveTo>
              <a:lnTo>
                <a:pt x="0" y="319088"/>
              </a:lnTo>
              <a:lnTo>
                <a:pt x="1519237" y="319088"/>
              </a:lnTo>
              <a:lnTo>
                <a:pt x="1519237" y="0"/>
              </a:lnTo>
            </a:path>
          </a:pathLst>
        </a:cu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kern="1200"/>
        </a:p>
      </xdr:txBody>
    </xdr:sp>
    <xdr:clientData/>
  </xdr:twoCellAnchor>
  <xdr:twoCellAnchor>
    <xdr:from>
      <xdr:col>21</xdr:col>
      <xdr:colOff>66675</xdr:colOff>
      <xdr:row>273</xdr:row>
      <xdr:rowOff>107947</xdr:rowOff>
    </xdr:from>
    <xdr:to>
      <xdr:col>48</xdr:col>
      <xdr:colOff>123812</xdr:colOff>
      <xdr:row>311</xdr:row>
      <xdr:rowOff>41289</xdr:rowOff>
    </xdr:to>
    <xdr:grpSp>
      <xdr:nvGrpSpPr>
        <xdr:cNvPr id="3086" name="Group 3085">
          <a:extLst>
            <a:ext uri="{FF2B5EF4-FFF2-40B4-BE49-F238E27FC236}">
              <a16:creationId xmlns:a16="http://schemas.microsoft.com/office/drawing/2014/main" id="{5CA9269D-6A99-4681-8CA1-E3834639630B}"/>
            </a:ext>
          </a:extLst>
        </xdr:cNvPr>
        <xdr:cNvGrpSpPr/>
      </xdr:nvGrpSpPr>
      <xdr:grpSpPr>
        <a:xfrm>
          <a:off x="3467100" y="39970072"/>
          <a:ext cx="4429112" cy="5381642"/>
          <a:chOff x="3467100" y="81384772"/>
          <a:chExt cx="4429112" cy="5362592"/>
        </a:xfrm>
      </xdr:grpSpPr>
      <xdr:sp macro="" textlink="">
        <xdr:nvSpPr>
          <xdr:cNvPr id="3087" name="Rectangle 3086">
            <a:extLst>
              <a:ext uri="{FF2B5EF4-FFF2-40B4-BE49-F238E27FC236}">
                <a16:creationId xmlns:a16="http://schemas.microsoft.com/office/drawing/2014/main" id="{0EDEE734-5DB5-460C-42F1-7308D08D30AC}"/>
              </a:ext>
            </a:extLst>
          </xdr:cNvPr>
          <xdr:cNvSpPr/>
        </xdr:nvSpPr>
        <xdr:spPr>
          <a:xfrm rot="5400000">
            <a:off x="5669757" y="84630418"/>
            <a:ext cx="64292" cy="3866356"/>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3088" name="Rectangle 3087">
            <a:extLst>
              <a:ext uri="{FF2B5EF4-FFF2-40B4-BE49-F238E27FC236}">
                <a16:creationId xmlns:a16="http://schemas.microsoft.com/office/drawing/2014/main" id="{D8F0387E-AFBA-B84C-F677-7C0418FB02E2}"/>
              </a:ext>
            </a:extLst>
          </xdr:cNvPr>
          <xdr:cNvSpPr/>
        </xdr:nvSpPr>
        <xdr:spPr>
          <a:xfrm>
            <a:off x="6137253" y="86386995"/>
            <a:ext cx="358778" cy="358778"/>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3089" name="Rectangle 3088">
            <a:extLst>
              <a:ext uri="{FF2B5EF4-FFF2-40B4-BE49-F238E27FC236}">
                <a16:creationId xmlns:a16="http://schemas.microsoft.com/office/drawing/2014/main" id="{703F75EC-E12C-C7A7-E74C-07F8D8327743}"/>
              </a:ext>
            </a:extLst>
          </xdr:cNvPr>
          <xdr:cNvSpPr/>
        </xdr:nvSpPr>
        <xdr:spPr>
          <a:xfrm>
            <a:off x="7432673" y="86385397"/>
            <a:ext cx="358778" cy="358778"/>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3090" name="Rectangle 3089">
            <a:extLst>
              <a:ext uri="{FF2B5EF4-FFF2-40B4-BE49-F238E27FC236}">
                <a16:creationId xmlns:a16="http://schemas.microsoft.com/office/drawing/2014/main" id="{1821A72B-41AA-8BF7-586E-D122A0FA5747}"/>
              </a:ext>
            </a:extLst>
          </xdr:cNvPr>
          <xdr:cNvSpPr/>
        </xdr:nvSpPr>
        <xdr:spPr>
          <a:xfrm>
            <a:off x="4841856" y="86386995"/>
            <a:ext cx="358778" cy="358778"/>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3091" name="Rectangle 3090">
            <a:extLst>
              <a:ext uri="{FF2B5EF4-FFF2-40B4-BE49-F238E27FC236}">
                <a16:creationId xmlns:a16="http://schemas.microsoft.com/office/drawing/2014/main" id="{D67D795A-639A-F090-C3E0-73AA2F7510B1}"/>
              </a:ext>
            </a:extLst>
          </xdr:cNvPr>
          <xdr:cNvSpPr/>
        </xdr:nvSpPr>
        <xdr:spPr>
          <a:xfrm>
            <a:off x="3967152" y="86388584"/>
            <a:ext cx="358778" cy="358778"/>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3092" name="Rectangle 3091">
            <a:extLst>
              <a:ext uri="{FF2B5EF4-FFF2-40B4-BE49-F238E27FC236}">
                <a16:creationId xmlns:a16="http://schemas.microsoft.com/office/drawing/2014/main" id="{977D1548-E4D3-710C-5250-300455BDF984}"/>
              </a:ext>
            </a:extLst>
          </xdr:cNvPr>
          <xdr:cNvSpPr/>
        </xdr:nvSpPr>
        <xdr:spPr>
          <a:xfrm>
            <a:off x="4405302" y="86388586"/>
            <a:ext cx="358778" cy="358778"/>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3093" name="Rectangle 3092">
            <a:extLst>
              <a:ext uri="{FF2B5EF4-FFF2-40B4-BE49-F238E27FC236}">
                <a16:creationId xmlns:a16="http://schemas.microsoft.com/office/drawing/2014/main" id="{202DB3D8-DF4C-D2A7-4BB9-72E1369C76FB}"/>
              </a:ext>
            </a:extLst>
          </xdr:cNvPr>
          <xdr:cNvSpPr/>
        </xdr:nvSpPr>
        <xdr:spPr>
          <a:xfrm>
            <a:off x="6577001" y="86388582"/>
            <a:ext cx="358778" cy="358778"/>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3094" name="Rectangle 3093">
            <a:extLst>
              <a:ext uri="{FF2B5EF4-FFF2-40B4-BE49-F238E27FC236}">
                <a16:creationId xmlns:a16="http://schemas.microsoft.com/office/drawing/2014/main" id="{D92C038A-F178-C050-5B96-883DDA94BD2C}"/>
              </a:ext>
            </a:extLst>
          </xdr:cNvPr>
          <xdr:cNvSpPr/>
        </xdr:nvSpPr>
        <xdr:spPr>
          <a:xfrm>
            <a:off x="7015151" y="86388584"/>
            <a:ext cx="358778" cy="358778"/>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3095" name="Rectangle 3094">
            <a:extLst>
              <a:ext uri="{FF2B5EF4-FFF2-40B4-BE49-F238E27FC236}">
                <a16:creationId xmlns:a16="http://schemas.microsoft.com/office/drawing/2014/main" id="{07A09BE9-78B0-1455-13D9-D52A2BB38E69}"/>
              </a:ext>
            </a:extLst>
          </xdr:cNvPr>
          <xdr:cNvSpPr/>
        </xdr:nvSpPr>
        <xdr:spPr>
          <a:xfrm>
            <a:off x="3546474" y="81384772"/>
            <a:ext cx="358778" cy="358778"/>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3096" name="Rectangle 3095">
            <a:extLst>
              <a:ext uri="{FF2B5EF4-FFF2-40B4-BE49-F238E27FC236}">
                <a16:creationId xmlns:a16="http://schemas.microsoft.com/office/drawing/2014/main" id="{191737FB-8E9F-BEAB-854A-B1415CB0FD9B}"/>
              </a:ext>
            </a:extLst>
          </xdr:cNvPr>
          <xdr:cNvSpPr/>
        </xdr:nvSpPr>
        <xdr:spPr>
          <a:xfrm>
            <a:off x="7432674" y="81384772"/>
            <a:ext cx="358778" cy="358778"/>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3097" name="Rectangle 3096">
            <a:extLst>
              <a:ext uri="{FF2B5EF4-FFF2-40B4-BE49-F238E27FC236}">
                <a16:creationId xmlns:a16="http://schemas.microsoft.com/office/drawing/2014/main" id="{7E2B424A-3B5C-9D10-E405-D0B40C45A3F4}"/>
              </a:ext>
            </a:extLst>
          </xdr:cNvPr>
          <xdr:cNvSpPr/>
        </xdr:nvSpPr>
        <xdr:spPr>
          <a:xfrm>
            <a:off x="4841865" y="81384772"/>
            <a:ext cx="358778" cy="358778"/>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3098" name="Rectangle 3097">
            <a:extLst>
              <a:ext uri="{FF2B5EF4-FFF2-40B4-BE49-F238E27FC236}">
                <a16:creationId xmlns:a16="http://schemas.microsoft.com/office/drawing/2014/main" id="{A6504461-5770-A171-B088-BF81EAE18B5A}"/>
              </a:ext>
            </a:extLst>
          </xdr:cNvPr>
          <xdr:cNvSpPr/>
        </xdr:nvSpPr>
        <xdr:spPr>
          <a:xfrm>
            <a:off x="6137262" y="81384772"/>
            <a:ext cx="358778" cy="358778"/>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3099" name="Rectangle 3098">
            <a:extLst>
              <a:ext uri="{FF2B5EF4-FFF2-40B4-BE49-F238E27FC236}">
                <a16:creationId xmlns:a16="http://schemas.microsoft.com/office/drawing/2014/main" id="{AC00B28F-40CE-7DEA-4BF4-C8E566E30654}"/>
              </a:ext>
            </a:extLst>
          </xdr:cNvPr>
          <xdr:cNvSpPr/>
        </xdr:nvSpPr>
        <xdr:spPr>
          <a:xfrm>
            <a:off x="3967161" y="81386361"/>
            <a:ext cx="358778" cy="358778"/>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3100" name="Rectangle 3099">
            <a:extLst>
              <a:ext uri="{FF2B5EF4-FFF2-40B4-BE49-F238E27FC236}">
                <a16:creationId xmlns:a16="http://schemas.microsoft.com/office/drawing/2014/main" id="{22DD9A3D-C17B-E1A7-B4F4-9E698972EFB7}"/>
              </a:ext>
            </a:extLst>
          </xdr:cNvPr>
          <xdr:cNvSpPr/>
        </xdr:nvSpPr>
        <xdr:spPr>
          <a:xfrm>
            <a:off x="4405311" y="81386363"/>
            <a:ext cx="358778" cy="358778"/>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3101" name="Rectangle 3100">
            <a:extLst>
              <a:ext uri="{FF2B5EF4-FFF2-40B4-BE49-F238E27FC236}">
                <a16:creationId xmlns:a16="http://schemas.microsoft.com/office/drawing/2014/main" id="{ECF76411-4F6D-DCEB-1280-151B301CB58D}"/>
              </a:ext>
            </a:extLst>
          </xdr:cNvPr>
          <xdr:cNvSpPr/>
        </xdr:nvSpPr>
        <xdr:spPr>
          <a:xfrm>
            <a:off x="6577010" y="81386359"/>
            <a:ext cx="358778" cy="358778"/>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3102" name="Rectangle 3101">
            <a:extLst>
              <a:ext uri="{FF2B5EF4-FFF2-40B4-BE49-F238E27FC236}">
                <a16:creationId xmlns:a16="http://schemas.microsoft.com/office/drawing/2014/main" id="{F9627B93-21AC-5296-4E1D-734B9157DFF2}"/>
              </a:ext>
            </a:extLst>
          </xdr:cNvPr>
          <xdr:cNvSpPr/>
        </xdr:nvSpPr>
        <xdr:spPr>
          <a:xfrm>
            <a:off x="7015160" y="81386361"/>
            <a:ext cx="358778" cy="358778"/>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3103" name="Rectangle 3102">
            <a:extLst>
              <a:ext uri="{FF2B5EF4-FFF2-40B4-BE49-F238E27FC236}">
                <a16:creationId xmlns:a16="http://schemas.microsoft.com/office/drawing/2014/main" id="{BC6FF8D2-6406-C488-542D-7B1ABEA3B637}"/>
              </a:ext>
            </a:extLst>
          </xdr:cNvPr>
          <xdr:cNvSpPr/>
        </xdr:nvSpPr>
        <xdr:spPr>
          <a:xfrm>
            <a:off x="3546473" y="82099147"/>
            <a:ext cx="358778" cy="358778"/>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3104" name="Rectangle 3103">
            <a:extLst>
              <a:ext uri="{FF2B5EF4-FFF2-40B4-BE49-F238E27FC236}">
                <a16:creationId xmlns:a16="http://schemas.microsoft.com/office/drawing/2014/main" id="{4B412B39-505A-A0AA-F5AA-188034FF4874}"/>
              </a:ext>
            </a:extLst>
          </xdr:cNvPr>
          <xdr:cNvSpPr/>
        </xdr:nvSpPr>
        <xdr:spPr>
          <a:xfrm>
            <a:off x="3546473" y="82813522"/>
            <a:ext cx="358778" cy="358778"/>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3105" name="Rectangle 3104">
            <a:extLst>
              <a:ext uri="{FF2B5EF4-FFF2-40B4-BE49-F238E27FC236}">
                <a16:creationId xmlns:a16="http://schemas.microsoft.com/office/drawing/2014/main" id="{7F5131E4-79FA-F9AD-44F2-ED0C19EF9A6D}"/>
              </a:ext>
            </a:extLst>
          </xdr:cNvPr>
          <xdr:cNvSpPr/>
        </xdr:nvSpPr>
        <xdr:spPr>
          <a:xfrm>
            <a:off x="3546473" y="83527897"/>
            <a:ext cx="358778" cy="358778"/>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3106" name="Rectangle 3105">
            <a:extLst>
              <a:ext uri="{FF2B5EF4-FFF2-40B4-BE49-F238E27FC236}">
                <a16:creationId xmlns:a16="http://schemas.microsoft.com/office/drawing/2014/main" id="{713E831A-0A05-4CA4-93F2-266C951AB810}"/>
              </a:ext>
            </a:extLst>
          </xdr:cNvPr>
          <xdr:cNvSpPr/>
        </xdr:nvSpPr>
        <xdr:spPr>
          <a:xfrm>
            <a:off x="3546473" y="84242272"/>
            <a:ext cx="358778" cy="358778"/>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3107" name="Rectangle 3106">
            <a:extLst>
              <a:ext uri="{FF2B5EF4-FFF2-40B4-BE49-F238E27FC236}">
                <a16:creationId xmlns:a16="http://schemas.microsoft.com/office/drawing/2014/main" id="{F414E9ED-B80A-5AB1-4E0E-C486C560992F}"/>
              </a:ext>
            </a:extLst>
          </xdr:cNvPr>
          <xdr:cNvSpPr/>
        </xdr:nvSpPr>
        <xdr:spPr>
          <a:xfrm>
            <a:off x="3546473" y="84956647"/>
            <a:ext cx="358778" cy="358778"/>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3108" name="Rectangle 3107">
            <a:extLst>
              <a:ext uri="{FF2B5EF4-FFF2-40B4-BE49-F238E27FC236}">
                <a16:creationId xmlns:a16="http://schemas.microsoft.com/office/drawing/2014/main" id="{0A5DEB0D-8487-4849-B719-0A8DD0145074}"/>
              </a:ext>
            </a:extLst>
          </xdr:cNvPr>
          <xdr:cNvSpPr/>
        </xdr:nvSpPr>
        <xdr:spPr>
          <a:xfrm>
            <a:off x="7432673" y="82813522"/>
            <a:ext cx="358778" cy="358778"/>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3109" name="Rectangle 3108">
            <a:extLst>
              <a:ext uri="{FF2B5EF4-FFF2-40B4-BE49-F238E27FC236}">
                <a16:creationId xmlns:a16="http://schemas.microsoft.com/office/drawing/2014/main" id="{68727644-578E-D544-80C6-59D9C1A0F8A9}"/>
              </a:ext>
            </a:extLst>
          </xdr:cNvPr>
          <xdr:cNvSpPr/>
        </xdr:nvSpPr>
        <xdr:spPr>
          <a:xfrm>
            <a:off x="7432673" y="83527897"/>
            <a:ext cx="358778" cy="358778"/>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3110" name="Rectangle 3109">
            <a:extLst>
              <a:ext uri="{FF2B5EF4-FFF2-40B4-BE49-F238E27FC236}">
                <a16:creationId xmlns:a16="http://schemas.microsoft.com/office/drawing/2014/main" id="{42792DA4-279D-19AB-564A-F84E304306B6}"/>
              </a:ext>
            </a:extLst>
          </xdr:cNvPr>
          <xdr:cNvSpPr/>
        </xdr:nvSpPr>
        <xdr:spPr>
          <a:xfrm>
            <a:off x="7432673" y="84242272"/>
            <a:ext cx="358778" cy="358778"/>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3111" name="Rectangle 3110">
            <a:extLst>
              <a:ext uri="{FF2B5EF4-FFF2-40B4-BE49-F238E27FC236}">
                <a16:creationId xmlns:a16="http://schemas.microsoft.com/office/drawing/2014/main" id="{3DCA6028-CE0E-FBE6-6A3C-06CFA49229EC}"/>
              </a:ext>
            </a:extLst>
          </xdr:cNvPr>
          <xdr:cNvSpPr/>
        </xdr:nvSpPr>
        <xdr:spPr>
          <a:xfrm>
            <a:off x="7432673" y="84956647"/>
            <a:ext cx="358778" cy="358778"/>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3112" name="Rectangle 3111">
            <a:extLst>
              <a:ext uri="{FF2B5EF4-FFF2-40B4-BE49-F238E27FC236}">
                <a16:creationId xmlns:a16="http://schemas.microsoft.com/office/drawing/2014/main" id="{377E9872-4744-BFB0-D829-7A5DE3C7DDE3}"/>
              </a:ext>
            </a:extLst>
          </xdr:cNvPr>
          <xdr:cNvSpPr/>
        </xdr:nvSpPr>
        <xdr:spPr>
          <a:xfrm>
            <a:off x="7432673" y="82099147"/>
            <a:ext cx="358778" cy="358778"/>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3113" name="Rectangle 3112">
            <a:extLst>
              <a:ext uri="{FF2B5EF4-FFF2-40B4-BE49-F238E27FC236}">
                <a16:creationId xmlns:a16="http://schemas.microsoft.com/office/drawing/2014/main" id="{A75BFB7B-EE05-A066-BE05-3A0789861E95}"/>
              </a:ext>
            </a:extLst>
          </xdr:cNvPr>
          <xdr:cNvSpPr/>
        </xdr:nvSpPr>
        <xdr:spPr>
          <a:xfrm>
            <a:off x="7432673" y="85671022"/>
            <a:ext cx="358778" cy="358778"/>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3114" name="Rectangle 3113">
            <a:extLst>
              <a:ext uri="{FF2B5EF4-FFF2-40B4-BE49-F238E27FC236}">
                <a16:creationId xmlns:a16="http://schemas.microsoft.com/office/drawing/2014/main" id="{23391F33-FF1F-A991-1AC3-39B7270CB51B}"/>
              </a:ext>
            </a:extLst>
          </xdr:cNvPr>
          <xdr:cNvSpPr/>
        </xdr:nvSpPr>
        <xdr:spPr>
          <a:xfrm>
            <a:off x="3546473" y="85671022"/>
            <a:ext cx="358778" cy="358778"/>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3115" name="Rectangle 3114">
            <a:extLst>
              <a:ext uri="{FF2B5EF4-FFF2-40B4-BE49-F238E27FC236}">
                <a16:creationId xmlns:a16="http://schemas.microsoft.com/office/drawing/2014/main" id="{2B2AC807-15E7-A53F-0974-8EE3A7DB1DC8}"/>
              </a:ext>
            </a:extLst>
          </xdr:cNvPr>
          <xdr:cNvSpPr/>
        </xdr:nvSpPr>
        <xdr:spPr>
          <a:xfrm>
            <a:off x="3546473" y="86385397"/>
            <a:ext cx="358778" cy="358778"/>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3116" name="Rectangle 3115">
            <a:extLst>
              <a:ext uri="{FF2B5EF4-FFF2-40B4-BE49-F238E27FC236}">
                <a16:creationId xmlns:a16="http://schemas.microsoft.com/office/drawing/2014/main" id="{62DC3A84-5DB9-B3F8-96FE-29115F94BD98}"/>
              </a:ext>
            </a:extLst>
          </xdr:cNvPr>
          <xdr:cNvSpPr/>
        </xdr:nvSpPr>
        <xdr:spPr>
          <a:xfrm rot="5400000">
            <a:off x="5664201" y="79629797"/>
            <a:ext cx="64292" cy="3866356"/>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3117" name="Rectangle 3116">
            <a:extLst>
              <a:ext uri="{FF2B5EF4-FFF2-40B4-BE49-F238E27FC236}">
                <a16:creationId xmlns:a16="http://schemas.microsoft.com/office/drawing/2014/main" id="{BDA854A1-83B6-7A71-CB6C-AF6250C92234}"/>
              </a:ext>
            </a:extLst>
          </xdr:cNvPr>
          <xdr:cNvSpPr/>
        </xdr:nvSpPr>
        <xdr:spPr>
          <a:xfrm>
            <a:off x="4948229" y="81489550"/>
            <a:ext cx="146050" cy="146050"/>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3118" name="Rectangle 3117">
            <a:extLst>
              <a:ext uri="{FF2B5EF4-FFF2-40B4-BE49-F238E27FC236}">
                <a16:creationId xmlns:a16="http://schemas.microsoft.com/office/drawing/2014/main" id="{50FE5267-DC5E-EB47-0F74-184DE1018905}"/>
              </a:ext>
            </a:extLst>
          </xdr:cNvPr>
          <xdr:cNvSpPr/>
        </xdr:nvSpPr>
        <xdr:spPr>
          <a:xfrm>
            <a:off x="6243626" y="81489550"/>
            <a:ext cx="146050" cy="146050"/>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3119" name="Rectangle 3118">
            <a:extLst>
              <a:ext uri="{FF2B5EF4-FFF2-40B4-BE49-F238E27FC236}">
                <a16:creationId xmlns:a16="http://schemas.microsoft.com/office/drawing/2014/main" id="{AE0E0EEC-EACE-38F0-2C9F-1D615FDFC73F}"/>
              </a:ext>
            </a:extLst>
          </xdr:cNvPr>
          <xdr:cNvSpPr/>
        </xdr:nvSpPr>
        <xdr:spPr>
          <a:xfrm>
            <a:off x="4073525" y="81491139"/>
            <a:ext cx="146050" cy="146050"/>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3120" name="Rectangle 3119">
            <a:extLst>
              <a:ext uri="{FF2B5EF4-FFF2-40B4-BE49-F238E27FC236}">
                <a16:creationId xmlns:a16="http://schemas.microsoft.com/office/drawing/2014/main" id="{272832F0-4266-571B-18E1-CCBE29A8CE02}"/>
              </a:ext>
            </a:extLst>
          </xdr:cNvPr>
          <xdr:cNvSpPr/>
        </xdr:nvSpPr>
        <xdr:spPr>
          <a:xfrm>
            <a:off x="4511675" y="81491141"/>
            <a:ext cx="146050" cy="146050"/>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3121" name="Rectangle 3120">
            <a:extLst>
              <a:ext uri="{FF2B5EF4-FFF2-40B4-BE49-F238E27FC236}">
                <a16:creationId xmlns:a16="http://schemas.microsoft.com/office/drawing/2014/main" id="{19DD142B-6D3D-B1FD-EDC2-162AF65C1E64}"/>
              </a:ext>
            </a:extLst>
          </xdr:cNvPr>
          <xdr:cNvSpPr/>
        </xdr:nvSpPr>
        <xdr:spPr>
          <a:xfrm>
            <a:off x="6683374" y="81491137"/>
            <a:ext cx="146050" cy="146050"/>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3122" name="Rectangle 3121">
            <a:extLst>
              <a:ext uri="{FF2B5EF4-FFF2-40B4-BE49-F238E27FC236}">
                <a16:creationId xmlns:a16="http://schemas.microsoft.com/office/drawing/2014/main" id="{53BBE414-5E53-9B23-C3CF-0D19AFEE9654}"/>
              </a:ext>
            </a:extLst>
          </xdr:cNvPr>
          <xdr:cNvSpPr/>
        </xdr:nvSpPr>
        <xdr:spPr>
          <a:xfrm>
            <a:off x="7121524" y="81491139"/>
            <a:ext cx="146050" cy="146050"/>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3123" name="Rectangle 3122">
            <a:extLst>
              <a:ext uri="{FF2B5EF4-FFF2-40B4-BE49-F238E27FC236}">
                <a16:creationId xmlns:a16="http://schemas.microsoft.com/office/drawing/2014/main" id="{7A3A36E9-AB4E-2F6D-D825-CC2CA4E46755}"/>
              </a:ext>
            </a:extLst>
          </xdr:cNvPr>
          <xdr:cNvSpPr/>
        </xdr:nvSpPr>
        <xdr:spPr>
          <a:xfrm>
            <a:off x="3690939" y="81607026"/>
            <a:ext cx="61911" cy="4908550"/>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3124" name="Rectangle 3123">
            <a:extLst>
              <a:ext uri="{FF2B5EF4-FFF2-40B4-BE49-F238E27FC236}">
                <a16:creationId xmlns:a16="http://schemas.microsoft.com/office/drawing/2014/main" id="{8DBB4F74-AB17-742E-F9E5-133AC1DF7F04}"/>
              </a:ext>
            </a:extLst>
          </xdr:cNvPr>
          <xdr:cNvSpPr/>
        </xdr:nvSpPr>
        <xdr:spPr>
          <a:xfrm>
            <a:off x="7581900" y="81629250"/>
            <a:ext cx="61911" cy="4908550"/>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cxnSp macro="">
        <xdr:nvCxnSpPr>
          <xdr:cNvPr id="3125" name="Straight Connector 3124">
            <a:extLst>
              <a:ext uri="{FF2B5EF4-FFF2-40B4-BE49-F238E27FC236}">
                <a16:creationId xmlns:a16="http://schemas.microsoft.com/office/drawing/2014/main" id="{89C7D4A4-0FA3-B066-921A-7E49C78E4045}"/>
              </a:ext>
            </a:extLst>
          </xdr:cNvPr>
          <xdr:cNvCxnSpPr/>
        </xdr:nvCxnSpPr>
        <xdr:spPr>
          <a:xfrm>
            <a:off x="3467100" y="81900712"/>
            <a:ext cx="542925" cy="0"/>
          </a:xfrm>
          <a:prstGeom prst="line">
            <a:avLst/>
          </a:prstGeom>
          <a:ln w="12700">
            <a:solidFill>
              <a:schemeClr val="accent6">
                <a:lumMod val="75000"/>
              </a:schemeClr>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3126" name="Straight Connector 3125">
            <a:extLst>
              <a:ext uri="{FF2B5EF4-FFF2-40B4-BE49-F238E27FC236}">
                <a16:creationId xmlns:a16="http://schemas.microsoft.com/office/drawing/2014/main" id="{8FC9B142-E0A8-6A7A-2CA0-79D20473C2B6}"/>
              </a:ext>
            </a:extLst>
          </xdr:cNvPr>
          <xdr:cNvCxnSpPr/>
        </xdr:nvCxnSpPr>
        <xdr:spPr>
          <a:xfrm>
            <a:off x="3467100" y="81934050"/>
            <a:ext cx="542925" cy="0"/>
          </a:xfrm>
          <a:prstGeom prst="line">
            <a:avLst/>
          </a:prstGeom>
          <a:ln w="12700">
            <a:solidFill>
              <a:schemeClr val="accent6">
                <a:lumMod val="75000"/>
              </a:schemeClr>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3127" name="Straight Connector 3126">
            <a:extLst>
              <a:ext uri="{FF2B5EF4-FFF2-40B4-BE49-F238E27FC236}">
                <a16:creationId xmlns:a16="http://schemas.microsoft.com/office/drawing/2014/main" id="{765806E9-02F8-AE78-B5AD-56891AA445F1}"/>
              </a:ext>
            </a:extLst>
          </xdr:cNvPr>
          <xdr:cNvCxnSpPr/>
        </xdr:nvCxnSpPr>
        <xdr:spPr>
          <a:xfrm>
            <a:off x="7353287" y="81910243"/>
            <a:ext cx="542925" cy="0"/>
          </a:xfrm>
          <a:prstGeom prst="line">
            <a:avLst/>
          </a:prstGeom>
          <a:ln w="12700">
            <a:solidFill>
              <a:schemeClr val="accent6">
                <a:lumMod val="75000"/>
              </a:schemeClr>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3128" name="Straight Connector 3127">
            <a:extLst>
              <a:ext uri="{FF2B5EF4-FFF2-40B4-BE49-F238E27FC236}">
                <a16:creationId xmlns:a16="http://schemas.microsoft.com/office/drawing/2014/main" id="{C9289EAF-622C-506E-30DD-F1F61E5895F1}"/>
              </a:ext>
            </a:extLst>
          </xdr:cNvPr>
          <xdr:cNvCxnSpPr/>
        </xdr:nvCxnSpPr>
        <xdr:spPr>
          <a:xfrm>
            <a:off x="7353287" y="81943581"/>
            <a:ext cx="542925" cy="0"/>
          </a:xfrm>
          <a:prstGeom prst="line">
            <a:avLst/>
          </a:prstGeom>
          <a:ln w="12700">
            <a:solidFill>
              <a:schemeClr val="accent6">
                <a:lumMod val="75000"/>
              </a:schemeClr>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3129" name="Rectangle 3128">
            <a:extLst>
              <a:ext uri="{FF2B5EF4-FFF2-40B4-BE49-F238E27FC236}">
                <a16:creationId xmlns:a16="http://schemas.microsoft.com/office/drawing/2014/main" id="{256282EB-C7A8-CB08-ABB8-B4EDF9CB3BE8}"/>
              </a:ext>
            </a:extLst>
          </xdr:cNvPr>
          <xdr:cNvSpPr/>
        </xdr:nvSpPr>
        <xdr:spPr>
          <a:xfrm>
            <a:off x="3652837" y="82203925"/>
            <a:ext cx="146050" cy="146050"/>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3130" name="Rectangle 3129">
            <a:extLst>
              <a:ext uri="{FF2B5EF4-FFF2-40B4-BE49-F238E27FC236}">
                <a16:creationId xmlns:a16="http://schemas.microsoft.com/office/drawing/2014/main" id="{FB959395-DDB1-631D-120D-559E14E1A966}"/>
              </a:ext>
            </a:extLst>
          </xdr:cNvPr>
          <xdr:cNvSpPr/>
        </xdr:nvSpPr>
        <xdr:spPr>
          <a:xfrm>
            <a:off x="3652837" y="82918300"/>
            <a:ext cx="146050" cy="146050"/>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3131" name="Rectangle 3130">
            <a:extLst>
              <a:ext uri="{FF2B5EF4-FFF2-40B4-BE49-F238E27FC236}">
                <a16:creationId xmlns:a16="http://schemas.microsoft.com/office/drawing/2014/main" id="{FEF3133F-5298-4A7A-0B79-931E0B518BF3}"/>
              </a:ext>
            </a:extLst>
          </xdr:cNvPr>
          <xdr:cNvSpPr/>
        </xdr:nvSpPr>
        <xdr:spPr>
          <a:xfrm>
            <a:off x="3652837" y="83632675"/>
            <a:ext cx="146050" cy="146050"/>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3132" name="Rectangle 3131">
            <a:extLst>
              <a:ext uri="{FF2B5EF4-FFF2-40B4-BE49-F238E27FC236}">
                <a16:creationId xmlns:a16="http://schemas.microsoft.com/office/drawing/2014/main" id="{A7F91DD9-475A-5F22-AAF2-5345D51667D4}"/>
              </a:ext>
            </a:extLst>
          </xdr:cNvPr>
          <xdr:cNvSpPr/>
        </xdr:nvSpPr>
        <xdr:spPr>
          <a:xfrm>
            <a:off x="3652837" y="84347050"/>
            <a:ext cx="146050" cy="146050"/>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3133" name="Rectangle 3132">
            <a:extLst>
              <a:ext uri="{FF2B5EF4-FFF2-40B4-BE49-F238E27FC236}">
                <a16:creationId xmlns:a16="http://schemas.microsoft.com/office/drawing/2014/main" id="{FAFF4B6B-B306-B3AD-8C45-56A426193C9E}"/>
              </a:ext>
            </a:extLst>
          </xdr:cNvPr>
          <xdr:cNvSpPr/>
        </xdr:nvSpPr>
        <xdr:spPr>
          <a:xfrm>
            <a:off x="7539038" y="81489550"/>
            <a:ext cx="146050" cy="146050"/>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3134" name="Rectangle 3133">
            <a:extLst>
              <a:ext uri="{FF2B5EF4-FFF2-40B4-BE49-F238E27FC236}">
                <a16:creationId xmlns:a16="http://schemas.microsoft.com/office/drawing/2014/main" id="{9EEBC2D5-1966-8A46-0B22-F4752C41AD8B}"/>
              </a:ext>
            </a:extLst>
          </xdr:cNvPr>
          <xdr:cNvSpPr/>
        </xdr:nvSpPr>
        <xdr:spPr>
          <a:xfrm>
            <a:off x="3652838" y="81489550"/>
            <a:ext cx="146050" cy="146050"/>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3135" name="Rectangle 3134">
            <a:extLst>
              <a:ext uri="{FF2B5EF4-FFF2-40B4-BE49-F238E27FC236}">
                <a16:creationId xmlns:a16="http://schemas.microsoft.com/office/drawing/2014/main" id="{E4FE9A00-DDE5-8A43-6EB3-A1C55A9062BF}"/>
              </a:ext>
            </a:extLst>
          </xdr:cNvPr>
          <xdr:cNvSpPr/>
        </xdr:nvSpPr>
        <xdr:spPr>
          <a:xfrm>
            <a:off x="7539037" y="82918300"/>
            <a:ext cx="146050" cy="146050"/>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3136" name="Rectangle 3135">
            <a:extLst>
              <a:ext uri="{FF2B5EF4-FFF2-40B4-BE49-F238E27FC236}">
                <a16:creationId xmlns:a16="http://schemas.microsoft.com/office/drawing/2014/main" id="{BE384560-8F64-5E5D-A1E7-F87D24E400CD}"/>
              </a:ext>
            </a:extLst>
          </xdr:cNvPr>
          <xdr:cNvSpPr/>
        </xdr:nvSpPr>
        <xdr:spPr>
          <a:xfrm>
            <a:off x="7539037" y="83632675"/>
            <a:ext cx="146050" cy="146050"/>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3137" name="Rectangle 3136">
            <a:extLst>
              <a:ext uri="{FF2B5EF4-FFF2-40B4-BE49-F238E27FC236}">
                <a16:creationId xmlns:a16="http://schemas.microsoft.com/office/drawing/2014/main" id="{0B2F38C5-61B7-1958-5C91-F684FCAD9293}"/>
              </a:ext>
            </a:extLst>
          </xdr:cNvPr>
          <xdr:cNvSpPr/>
        </xdr:nvSpPr>
        <xdr:spPr>
          <a:xfrm>
            <a:off x="7539037" y="84347050"/>
            <a:ext cx="146050" cy="146050"/>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3138" name="Rectangle 3137">
            <a:extLst>
              <a:ext uri="{FF2B5EF4-FFF2-40B4-BE49-F238E27FC236}">
                <a16:creationId xmlns:a16="http://schemas.microsoft.com/office/drawing/2014/main" id="{51122BF0-FBF2-E966-A3FE-464D57778956}"/>
              </a:ext>
            </a:extLst>
          </xdr:cNvPr>
          <xdr:cNvSpPr/>
        </xdr:nvSpPr>
        <xdr:spPr>
          <a:xfrm>
            <a:off x="7539037" y="82203925"/>
            <a:ext cx="146050" cy="146050"/>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3139" name="Rectangle 3138">
            <a:extLst>
              <a:ext uri="{FF2B5EF4-FFF2-40B4-BE49-F238E27FC236}">
                <a16:creationId xmlns:a16="http://schemas.microsoft.com/office/drawing/2014/main" id="{429F629A-B684-E2CC-EDF6-FEB21DF070B1}"/>
              </a:ext>
            </a:extLst>
          </xdr:cNvPr>
          <xdr:cNvSpPr/>
        </xdr:nvSpPr>
        <xdr:spPr>
          <a:xfrm>
            <a:off x="3652837" y="85061425"/>
            <a:ext cx="146050" cy="146050"/>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3140" name="Rectangle 3139">
            <a:extLst>
              <a:ext uri="{FF2B5EF4-FFF2-40B4-BE49-F238E27FC236}">
                <a16:creationId xmlns:a16="http://schemas.microsoft.com/office/drawing/2014/main" id="{45D8BF51-3E7B-2404-156E-97A56C6894E0}"/>
              </a:ext>
            </a:extLst>
          </xdr:cNvPr>
          <xdr:cNvSpPr/>
        </xdr:nvSpPr>
        <xdr:spPr>
          <a:xfrm>
            <a:off x="7539037" y="85061425"/>
            <a:ext cx="146050" cy="146050"/>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3141" name="Rectangle 3140">
            <a:extLst>
              <a:ext uri="{FF2B5EF4-FFF2-40B4-BE49-F238E27FC236}">
                <a16:creationId xmlns:a16="http://schemas.microsoft.com/office/drawing/2014/main" id="{2F7F57DC-BD12-C601-AE11-C653B1FDB8BD}"/>
              </a:ext>
            </a:extLst>
          </xdr:cNvPr>
          <xdr:cNvSpPr/>
        </xdr:nvSpPr>
        <xdr:spPr>
          <a:xfrm>
            <a:off x="7539037" y="85775800"/>
            <a:ext cx="146050" cy="146050"/>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3142" name="Rectangle 3141">
            <a:extLst>
              <a:ext uri="{FF2B5EF4-FFF2-40B4-BE49-F238E27FC236}">
                <a16:creationId xmlns:a16="http://schemas.microsoft.com/office/drawing/2014/main" id="{042916AB-6BCC-B879-E37C-FAD0FAC9ABC8}"/>
              </a:ext>
            </a:extLst>
          </xdr:cNvPr>
          <xdr:cNvSpPr/>
        </xdr:nvSpPr>
        <xdr:spPr>
          <a:xfrm>
            <a:off x="3652837" y="85775800"/>
            <a:ext cx="146050" cy="146050"/>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3143" name="Rectangle 3142">
            <a:extLst>
              <a:ext uri="{FF2B5EF4-FFF2-40B4-BE49-F238E27FC236}">
                <a16:creationId xmlns:a16="http://schemas.microsoft.com/office/drawing/2014/main" id="{F9ABDC8B-3356-9E80-84C5-33B494D8D8F5}"/>
              </a:ext>
            </a:extLst>
          </xdr:cNvPr>
          <xdr:cNvSpPr/>
        </xdr:nvSpPr>
        <xdr:spPr>
          <a:xfrm>
            <a:off x="6243617" y="86491773"/>
            <a:ext cx="146050" cy="146050"/>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3144" name="Rectangle 3143">
            <a:extLst>
              <a:ext uri="{FF2B5EF4-FFF2-40B4-BE49-F238E27FC236}">
                <a16:creationId xmlns:a16="http://schemas.microsoft.com/office/drawing/2014/main" id="{E47FD81D-27EA-220B-9D5E-057282368B17}"/>
              </a:ext>
            </a:extLst>
          </xdr:cNvPr>
          <xdr:cNvSpPr/>
        </xdr:nvSpPr>
        <xdr:spPr>
          <a:xfrm>
            <a:off x="7539037" y="86490175"/>
            <a:ext cx="146050" cy="146050"/>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3145" name="Rectangle 3144">
            <a:extLst>
              <a:ext uri="{FF2B5EF4-FFF2-40B4-BE49-F238E27FC236}">
                <a16:creationId xmlns:a16="http://schemas.microsoft.com/office/drawing/2014/main" id="{A5C17DE9-869E-3099-DE67-B8F2EC5B0369}"/>
              </a:ext>
            </a:extLst>
          </xdr:cNvPr>
          <xdr:cNvSpPr/>
        </xdr:nvSpPr>
        <xdr:spPr>
          <a:xfrm>
            <a:off x="4948220" y="86491773"/>
            <a:ext cx="146050" cy="146050"/>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3146" name="Rectangle 3145">
            <a:extLst>
              <a:ext uri="{FF2B5EF4-FFF2-40B4-BE49-F238E27FC236}">
                <a16:creationId xmlns:a16="http://schemas.microsoft.com/office/drawing/2014/main" id="{FDDF46B9-8D29-BCCA-43D7-0B05B28B707F}"/>
              </a:ext>
            </a:extLst>
          </xdr:cNvPr>
          <xdr:cNvSpPr/>
        </xdr:nvSpPr>
        <xdr:spPr>
          <a:xfrm>
            <a:off x="4073516" y="86493362"/>
            <a:ext cx="146050" cy="146050"/>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3147" name="Rectangle 3146">
            <a:extLst>
              <a:ext uri="{FF2B5EF4-FFF2-40B4-BE49-F238E27FC236}">
                <a16:creationId xmlns:a16="http://schemas.microsoft.com/office/drawing/2014/main" id="{67E32EF4-E203-597C-25AE-55865FCDA4EA}"/>
              </a:ext>
            </a:extLst>
          </xdr:cNvPr>
          <xdr:cNvSpPr/>
        </xdr:nvSpPr>
        <xdr:spPr>
          <a:xfrm>
            <a:off x="4511666" y="86493364"/>
            <a:ext cx="146050" cy="146050"/>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3148" name="Rectangle 3147">
            <a:extLst>
              <a:ext uri="{FF2B5EF4-FFF2-40B4-BE49-F238E27FC236}">
                <a16:creationId xmlns:a16="http://schemas.microsoft.com/office/drawing/2014/main" id="{C7892994-079F-ACB2-FFC1-C56982DE8C89}"/>
              </a:ext>
            </a:extLst>
          </xdr:cNvPr>
          <xdr:cNvSpPr/>
        </xdr:nvSpPr>
        <xdr:spPr>
          <a:xfrm>
            <a:off x="6683365" y="86493360"/>
            <a:ext cx="146050" cy="146050"/>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3149" name="Rectangle 3148">
            <a:extLst>
              <a:ext uri="{FF2B5EF4-FFF2-40B4-BE49-F238E27FC236}">
                <a16:creationId xmlns:a16="http://schemas.microsoft.com/office/drawing/2014/main" id="{0A8C06DD-AD2C-C159-1F5F-81BCDDDAEC73}"/>
              </a:ext>
            </a:extLst>
          </xdr:cNvPr>
          <xdr:cNvSpPr/>
        </xdr:nvSpPr>
        <xdr:spPr>
          <a:xfrm>
            <a:off x="7121515" y="86493362"/>
            <a:ext cx="146050" cy="146050"/>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3150" name="Rectangle 3149">
            <a:extLst>
              <a:ext uri="{FF2B5EF4-FFF2-40B4-BE49-F238E27FC236}">
                <a16:creationId xmlns:a16="http://schemas.microsoft.com/office/drawing/2014/main" id="{B27C3DFE-E8EA-FF7D-8843-9726D0565C33}"/>
              </a:ext>
            </a:extLst>
          </xdr:cNvPr>
          <xdr:cNvSpPr/>
        </xdr:nvSpPr>
        <xdr:spPr>
          <a:xfrm>
            <a:off x="3652837" y="86490175"/>
            <a:ext cx="146050" cy="146050"/>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3151" name="Rectangle 3150">
            <a:extLst>
              <a:ext uri="{FF2B5EF4-FFF2-40B4-BE49-F238E27FC236}">
                <a16:creationId xmlns:a16="http://schemas.microsoft.com/office/drawing/2014/main" id="{B430A27D-299C-110F-9A31-D248247E85E4}"/>
              </a:ext>
            </a:extLst>
          </xdr:cNvPr>
          <xdr:cNvSpPr/>
        </xdr:nvSpPr>
        <xdr:spPr>
          <a:xfrm>
            <a:off x="3724275" y="81562575"/>
            <a:ext cx="3886200" cy="5000625"/>
          </a:xfrm>
          <a:prstGeom prst="rect">
            <a:avLst/>
          </a:prstGeom>
          <a:noFill/>
          <a:ln w="6350">
            <a:prstDash val="dashDot"/>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kern="1200"/>
          </a:p>
        </xdr:txBody>
      </xdr:sp>
      <xdr:cxnSp macro="">
        <xdr:nvCxnSpPr>
          <xdr:cNvPr id="3152" name="Straight Connector 3151">
            <a:extLst>
              <a:ext uri="{FF2B5EF4-FFF2-40B4-BE49-F238E27FC236}">
                <a16:creationId xmlns:a16="http://schemas.microsoft.com/office/drawing/2014/main" id="{DF19FE2D-6758-1255-5263-8EF9824DDF29}"/>
              </a:ext>
            </a:extLst>
          </xdr:cNvPr>
          <xdr:cNvCxnSpPr/>
        </xdr:nvCxnSpPr>
        <xdr:spPr>
          <a:xfrm>
            <a:off x="3724275" y="82276950"/>
            <a:ext cx="3886200" cy="0"/>
          </a:xfrm>
          <a:prstGeom prst="line">
            <a:avLst/>
          </a:prstGeom>
          <a:noFill/>
          <a:ln w="6350">
            <a:prstDash val="dashDot"/>
          </a:ln>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3153" name="Straight Connector 3152">
            <a:extLst>
              <a:ext uri="{FF2B5EF4-FFF2-40B4-BE49-F238E27FC236}">
                <a16:creationId xmlns:a16="http://schemas.microsoft.com/office/drawing/2014/main" id="{4EF141A4-7CF3-1ACB-F97B-2C83BACE87B1}"/>
              </a:ext>
            </a:extLst>
          </xdr:cNvPr>
          <xdr:cNvCxnSpPr/>
        </xdr:nvCxnSpPr>
        <xdr:spPr>
          <a:xfrm>
            <a:off x="4143375" y="81562575"/>
            <a:ext cx="0" cy="5000625"/>
          </a:xfrm>
          <a:prstGeom prst="line">
            <a:avLst/>
          </a:prstGeom>
          <a:noFill/>
          <a:ln w="6350">
            <a:prstDash val="dashDot"/>
          </a:ln>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3154" name="Straight Connector 3153">
            <a:extLst>
              <a:ext uri="{FF2B5EF4-FFF2-40B4-BE49-F238E27FC236}">
                <a16:creationId xmlns:a16="http://schemas.microsoft.com/office/drawing/2014/main" id="{651F038A-2E2E-7602-3F10-D5D7A814B0DB}"/>
              </a:ext>
            </a:extLst>
          </xdr:cNvPr>
          <xdr:cNvCxnSpPr/>
        </xdr:nvCxnSpPr>
        <xdr:spPr>
          <a:xfrm>
            <a:off x="4581525" y="81562575"/>
            <a:ext cx="0" cy="5000625"/>
          </a:xfrm>
          <a:prstGeom prst="line">
            <a:avLst/>
          </a:prstGeom>
          <a:noFill/>
          <a:ln w="6350">
            <a:prstDash val="dashDot"/>
          </a:ln>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3155" name="Straight Connector 3154">
            <a:extLst>
              <a:ext uri="{FF2B5EF4-FFF2-40B4-BE49-F238E27FC236}">
                <a16:creationId xmlns:a16="http://schemas.microsoft.com/office/drawing/2014/main" id="{C57EED2B-04B7-891F-CC5D-1CD3B33FB86C}"/>
              </a:ext>
            </a:extLst>
          </xdr:cNvPr>
          <xdr:cNvCxnSpPr/>
        </xdr:nvCxnSpPr>
        <xdr:spPr>
          <a:xfrm>
            <a:off x="5019675" y="81562575"/>
            <a:ext cx="0" cy="5000625"/>
          </a:xfrm>
          <a:prstGeom prst="line">
            <a:avLst/>
          </a:prstGeom>
          <a:noFill/>
          <a:ln w="6350">
            <a:prstDash val="dashDot"/>
          </a:ln>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3156" name="Straight Connector 3155">
            <a:extLst>
              <a:ext uri="{FF2B5EF4-FFF2-40B4-BE49-F238E27FC236}">
                <a16:creationId xmlns:a16="http://schemas.microsoft.com/office/drawing/2014/main" id="{376BB45D-6C41-41F3-5ABA-F5A5F3AF7864}"/>
              </a:ext>
            </a:extLst>
          </xdr:cNvPr>
          <xdr:cNvCxnSpPr/>
        </xdr:nvCxnSpPr>
        <xdr:spPr>
          <a:xfrm>
            <a:off x="6315075" y="81567337"/>
            <a:ext cx="0" cy="5000625"/>
          </a:xfrm>
          <a:prstGeom prst="line">
            <a:avLst/>
          </a:prstGeom>
          <a:noFill/>
          <a:ln w="6350">
            <a:prstDash val="dashDot"/>
          </a:ln>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3157" name="Straight Connector 3156">
            <a:extLst>
              <a:ext uri="{FF2B5EF4-FFF2-40B4-BE49-F238E27FC236}">
                <a16:creationId xmlns:a16="http://schemas.microsoft.com/office/drawing/2014/main" id="{F59B2089-9945-3C1B-FC16-A75E06569C51}"/>
              </a:ext>
            </a:extLst>
          </xdr:cNvPr>
          <xdr:cNvCxnSpPr/>
        </xdr:nvCxnSpPr>
        <xdr:spPr>
          <a:xfrm>
            <a:off x="6753225" y="81562575"/>
            <a:ext cx="0" cy="5000625"/>
          </a:xfrm>
          <a:prstGeom prst="line">
            <a:avLst/>
          </a:prstGeom>
          <a:noFill/>
          <a:ln w="6350">
            <a:prstDash val="dashDot"/>
          </a:ln>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3158" name="Straight Connector 3157">
            <a:extLst>
              <a:ext uri="{FF2B5EF4-FFF2-40B4-BE49-F238E27FC236}">
                <a16:creationId xmlns:a16="http://schemas.microsoft.com/office/drawing/2014/main" id="{B0451817-F7A8-197C-B5F8-385C5CB1F3D3}"/>
              </a:ext>
            </a:extLst>
          </xdr:cNvPr>
          <xdr:cNvCxnSpPr/>
        </xdr:nvCxnSpPr>
        <xdr:spPr>
          <a:xfrm>
            <a:off x="7191375" y="81562575"/>
            <a:ext cx="0" cy="5000625"/>
          </a:xfrm>
          <a:prstGeom prst="line">
            <a:avLst/>
          </a:prstGeom>
          <a:noFill/>
          <a:ln w="6350">
            <a:prstDash val="dashDot"/>
          </a:ln>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3159" name="Straight Connector 3158">
            <a:extLst>
              <a:ext uri="{FF2B5EF4-FFF2-40B4-BE49-F238E27FC236}">
                <a16:creationId xmlns:a16="http://schemas.microsoft.com/office/drawing/2014/main" id="{E9E9E71C-CD2A-1673-A948-EB926713961B}"/>
              </a:ext>
            </a:extLst>
          </xdr:cNvPr>
          <xdr:cNvCxnSpPr/>
        </xdr:nvCxnSpPr>
        <xdr:spPr>
          <a:xfrm>
            <a:off x="3724275" y="82991325"/>
            <a:ext cx="3886200" cy="0"/>
          </a:xfrm>
          <a:prstGeom prst="line">
            <a:avLst/>
          </a:prstGeom>
          <a:noFill/>
          <a:ln w="6350">
            <a:prstDash val="dashDot"/>
          </a:ln>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3160" name="Straight Connector 3159">
            <a:extLst>
              <a:ext uri="{FF2B5EF4-FFF2-40B4-BE49-F238E27FC236}">
                <a16:creationId xmlns:a16="http://schemas.microsoft.com/office/drawing/2014/main" id="{2B892A23-EF9C-405A-BE43-F21E67AB5D99}"/>
              </a:ext>
            </a:extLst>
          </xdr:cNvPr>
          <xdr:cNvCxnSpPr/>
        </xdr:nvCxnSpPr>
        <xdr:spPr>
          <a:xfrm>
            <a:off x="3733800" y="83705700"/>
            <a:ext cx="3886200" cy="0"/>
          </a:xfrm>
          <a:prstGeom prst="line">
            <a:avLst/>
          </a:prstGeom>
          <a:noFill/>
          <a:ln w="6350">
            <a:prstDash val="dashDot"/>
          </a:ln>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3161" name="Straight Connector 3160">
            <a:extLst>
              <a:ext uri="{FF2B5EF4-FFF2-40B4-BE49-F238E27FC236}">
                <a16:creationId xmlns:a16="http://schemas.microsoft.com/office/drawing/2014/main" id="{34577100-0937-BF82-BF0C-AA6C5DF71B69}"/>
              </a:ext>
            </a:extLst>
          </xdr:cNvPr>
          <xdr:cNvCxnSpPr/>
        </xdr:nvCxnSpPr>
        <xdr:spPr>
          <a:xfrm>
            <a:off x="3724275" y="84420075"/>
            <a:ext cx="3886200" cy="0"/>
          </a:xfrm>
          <a:prstGeom prst="line">
            <a:avLst/>
          </a:prstGeom>
          <a:noFill/>
          <a:ln w="6350">
            <a:prstDash val="dashDot"/>
          </a:ln>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3162" name="Straight Connector 3161">
            <a:extLst>
              <a:ext uri="{FF2B5EF4-FFF2-40B4-BE49-F238E27FC236}">
                <a16:creationId xmlns:a16="http://schemas.microsoft.com/office/drawing/2014/main" id="{69623F16-F7D0-A1CF-F3BF-40E342BE758B}"/>
              </a:ext>
            </a:extLst>
          </xdr:cNvPr>
          <xdr:cNvCxnSpPr/>
        </xdr:nvCxnSpPr>
        <xdr:spPr>
          <a:xfrm>
            <a:off x="3724275" y="85134450"/>
            <a:ext cx="3886200" cy="0"/>
          </a:xfrm>
          <a:prstGeom prst="line">
            <a:avLst/>
          </a:prstGeom>
          <a:noFill/>
          <a:ln w="6350">
            <a:prstDash val="dashDot"/>
          </a:ln>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3163" name="Straight Connector 3162">
            <a:extLst>
              <a:ext uri="{FF2B5EF4-FFF2-40B4-BE49-F238E27FC236}">
                <a16:creationId xmlns:a16="http://schemas.microsoft.com/office/drawing/2014/main" id="{1F74BBD0-7311-DD0D-75EA-378FBA5B5D33}"/>
              </a:ext>
            </a:extLst>
          </xdr:cNvPr>
          <xdr:cNvCxnSpPr/>
        </xdr:nvCxnSpPr>
        <xdr:spPr>
          <a:xfrm>
            <a:off x="3733800" y="85848825"/>
            <a:ext cx="3886200" cy="0"/>
          </a:xfrm>
          <a:prstGeom prst="line">
            <a:avLst/>
          </a:prstGeom>
          <a:noFill/>
          <a:ln w="6350">
            <a:prstDash val="dashDot"/>
          </a:ln>
        </xdr:spPr>
        <xdr:style>
          <a:lnRef idx="2">
            <a:schemeClr val="accent1">
              <a:shade val="15000"/>
            </a:schemeClr>
          </a:lnRef>
          <a:fillRef idx="1">
            <a:schemeClr val="accent1"/>
          </a:fillRef>
          <a:effectRef idx="0">
            <a:schemeClr val="accent1"/>
          </a:effectRef>
          <a:fontRef idx="minor">
            <a:schemeClr val="lt1"/>
          </a:fontRef>
        </xdr:style>
      </xdr:cxnSp>
    </xdr:grpSp>
    <xdr:clientData/>
  </xdr:twoCellAnchor>
  <xdr:twoCellAnchor>
    <xdr:from>
      <xdr:col>1</xdr:col>
      <xdr:colOff>152400</xdr:colOff>
      <xdr:row>272</xdr:row>
      <xdr:rowOff>80963</xdr:rowOff>
    </xdr:from>
    <xdr:to>
      <xdr:col>18</xdr:col>
      <xdr:colOff>61913</xdr:colOff>
      <xdr:row>286</xdr:row>
      <xdr:rowOff>76200</xdr:rowOff>
    </xdr:to>
    <xdr:grpSp>
      <xdr:nvGrpSpPr>
        <xdr:cNvPr id="3164" name="Group 3163">
          <a:extLst>
            <a:ext uri="{FF2B5EF4-FFF2-40B4-BE49-F238E27FC236}">
              <a16:creationId xmlns:a16="http://schemas.microsoft.com/office/drawing/2014/main" id="{F60BD65D-9BBF-44D3-8465-B837845B2BAA}"/>
            </a:ext>
          </a:extLst>
        </xdr:cNvPr>
        <xdr:cNvGrpSpPr/>
      </xdr:nvGrpSpPr>
      <xdr:grpSpPr>
        <a:xfrm>
          <a:off x="314325" y="39800213"/>
          <a:ext cx="2662238" cy="2014537"/>
          <a:chOff x="314325" y="12463463"/>
          <a:chExt cx="2662238" cy="1995487"/>
        </a:xfrm>
      </xdr:grpSpPr>
      <xdr:sp macro="" textlink="">
        <xdr:nvSpPr>
          <xdr:cNvPr id="3165" name="Rectangle 3164">
            <a:extLst>
              <a:ext uri="{FF2B5EF4-FFF2-40B4-BE49-F238E27FC236}">
                <a16:creationId xmlns:a16="http://schemas.microsoft.com/office/drawing/2014/main" id="{C5D8F46B-A261-3D08-79EC-87416B6F7957}"/>
              </a:ext>
            </a:extLst>
          </xdr:cNvPr>
          <xdr:cNvSpPr/>
        </xdr:nvSpPr>
        <xdr:spPr>
          <a:xfrm>
            <a:off x="319088" y="12954000"/>
            <a:ext cx="1138237" cy="1143000"/>
          </a:xfrm>
          <a:prstGeom prst="rect">
            <a:avLst/>
          </a:prstGeom>
          <a:blipFill>
            <a:blip xmlns:r="http://schemas.openxmlformats.org/officeDocument/2006/relationships" r:embed="rId1"/>
            <a:tile tx="0" ty="0" sx="100000" sy="100000" flip="none" algn="tl"/>
          </a:blip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kern="1200"/>
          </a:p>
        </xdr:txBody>
      </xdr:sp>
      <xdr:grpSp>
        <xdr:nvGrpSpPr>
          <xdr:cNvPr id="3166" name="Group 3165">
            <a:extLst>
              <a:ext uri="{FF2B5EF4-FFF2-40B4-BE49-F238E27FC236}">
                <a16:creationId xmlns:a16="http://schemas.microsoft.com/office/drawing/2014/main" id="{68BC5764-B2D0-E4F1-6DC6-5DCBC5B5C964}"/>
              </a:ext>
            </a:extLst>
          </xdr:cNvPr>
          <xdr:cNvGrpSpPr/>
        </xdr:nvGrpSpPr>
        <xdr:grpSpPr>
          <a:xfrm>
            <a:off x="966788" y="12954000"/>
            <a:ext cx="1624011" cy="1143000"/>
            <a:chOff x="966788" y="79276575"/>
            <a:chExt cx="1624011" cy="1143000"/>
          </a:xfrm>
          <a:blipFill>
            <a:blip xmlns:r="http://schemas.openxmlformats.org/officeDocument/2006/relationships" r:embed="rId1"/>
            <a:tile tx="0" ty="0" sx="100000" sy="100000" flip="none" algn="tl"/>
          </a:blipFill>
        </xdr:grpSpPr>
        <xdr:sp macro="" textlink="">
          <xdr:nvSpPr>
            <xdr:cNvPr id="3205" name="Rectangle 3204">
              <a:extLst>
                <a:ext uri="{FF2B5EF4-FFF2-40B4-BE49-F238E27FC236}">
                  <a16:creationId xmlns:a16="http://schemas.microsoft.com/office/drawing/2014/main" id="{F596407D-CC35-0A88-4AD3-FD55C575FE27}"/>
                </a:ext>
              </a:extLst>
            </xdr:cNvPr>
            <xdr:cNvSpPr/>
          </xdr:nvSpPr>
          <xdr:spPr>
            <a:xfrm>
              <a:off x="1457325" y="79276575"/>
              <a:ext cx="642938" cy="719138"/>
            </a:xfrm>
            <a:prstGeom prst="rect">
              <a:avLst/>
            </a:prstGeom>
            <a:grp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kern="1200"/>
            </a:p>
          </xdr:txBody>
        </xdr:sp>
        <xdr:sp macro="" textlink="">
          <xdr:nvSpPr>
            <xdr:cNvPr id="3206" name="Rectangle 3205">
              <a:extLst>
                <a:ext uri="{FF2B5EF4-FFF2-40B4-BE49-F238E27FC236}">
                  <a16:creationId xmlns:a16="http://schemas.microsoft.com/office/drawing/2014/main" id="{C8A71416-6939-6288-67DF-DDCC53552A96}"/>
                </a:ext>
              </a:extLst>
            </xdr:cNvPr>
            <xdr:cNvSpPr/>
          </xdr:nvSpPr>
          <xdr:spPr>
            <a:xfrm>
              <a:off x="966788" y="79995714"/>
              <a:ext cx="1624011" cy="423861"/>
            </a:xfrm>
            <a:prstGeom prst="rect">
              <a:avLst/>
            </a:prstGeom>
            <a:grp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kern="1200"/>
            </a:p>
          </xdr:txBody>
        </xdr:sp>
      </xdr:grpSp>
      <xdr:cxnSp macro="">
        <xdr:nvCxnSpPr>
          <xdr:cNvPr id="3167" name="Straight Connector 3166">
            <a:extLst>
              <a:ext uri="{FF2B5EF4-FFF2-40B4-BE49-F238E27FC236}">
                <a16:creationId xmlns:a16="http://schemas.microsoft.com/office/drawing/2014/main" id="{F1456789-7776-F0CC-895E-E065B7D63A79}"/>
              </a:ext>
            </a:extLst>
          </xdr:cNvPr>
          <xdr:cNvCxnSpPr/>
        </xdr:nvCxnSpPr>
        <xdr:spPr>
          <a:xfrm>
            <a:off x="2914652" y="12873035"/>
            <a:ext cx="0" cy="128587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3168" name="Straight Connector 3167">
            <a:extLst>
              <a:ext uri="{FF2B5EF4-FFF2-40B4-BE49-F238E27FC236}">
                <a16:creationId xmlns:a16="http://schemas.microsoft.com/office/drawing/2014/main" id="{2D3E5F89-098B-D752-8B53-DD7EFF2418A8}"/>
              </a:ext>
            </a:extLst>
          </xdr:cNvPr>
          <xdr:cNvCxnSpPr/>
        </xdr:nvCxnSpPr>
        <xdr:spPr>
          <a:xfrm>
            <a:off x="2176461" y="12954001"/>
            <a:ext cx="800102"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3169" name="Straight Connector 3168">
            <a:extLst>
              <a:ext uri="{FF2B5EF4-FFF2-40B4-BE49-F238E27FC236}">
                <a16:creationId xmlns:a16="http://schemas.microsoft.com/office/drawing/2014/main" id="{C147DED2-6AB4-8BD0-40E1-D7C96B9DC0A6}"/>
              </a:ext>
            </a:extLst>
          </xdr:cNvPr>
          <xdr:cNvCxnSpPr/>
        </xdr:nvCxnSpPr>
        <xdr:spPr>
          <a:xfrm flipH="1">
            <a:off x="2876550" y="12920663"/>
            <a:ext cx="76200" cy="762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3170" name="Straight Connector 3169">
            <a:extLst>
              <a:ext uri="{FF2B5EF4-FFF2-40B4-BE49-F238E27FC236}">
                <a16:creationId xmlns:a16="http://schemas.microsoft.com/office/drawing/2014/main" id="{CEB74137-77EA-9BE0-2FE8-25398193DB0B}"/>
              </a:ext>
            </a:extLst>
          </xdr:cNvPr>
          <xdr:cNvCxnSpPr/>
        </xdr:nvCxnSpPr>
        <xdr:spPr>
          <a:xfrm>
            <a:off x="2676525" y="13668377"/>
            <a:ext cx="2952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3171" name="Straight Connector 3170">
            <a:extLst>
              <a:ext uri="{FF2B5EF4-FFF2-40B4-BE49-F238E27FC236}">
                <a16:creationId xmlns:a16="http://schemas.microsoft.com/office/drawing/2014/main" id="{9C351872-BC85-E449-EC8D-E835E3EBD91C}"/>
              </a:ext>
            </a:extLst>
          </xdr:cNvPr>
          <xdr:cNvCxnSpPr/>
        </xdr:nvCxnSpPr>
        <xdr:spPr>
          <a:xfrm flipH="1">
            <a:off x="2871785" y="13635039"/>
            <a:ext cx="76200" cy="762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3172" name="Straight Connector 3171">
            <a:extLst>
              <a:ext uri="{FF2B5EF4-FFF2-40B4-BE49-F238E27FC236}">
                <a16:creationId xmlns:a16="http://schemas.microsoft.com/office/drawing/2014/main" id="{7CD64B09-CB42-CF12-029A-21F919DC063C}"/>
              </a:ext>
            </a:extLst>
          </xdr:cNvPr>
          <xdr:cNvCxnSpPr/>
        </xdr:nvCxnSpPr>
        <xdr:spPr>
          <a:xfrm>
            <a:off x="2676525" y="14097002"/>
            <a:ext cx="2952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3173" name="Straight Connector 3172">
            <a:extLst>
              <a:ext uri="{FF2B5EF4-FFF2-40B4-BE49-F238E27FC236}">
                <a16:creationId xmlns:a16="http://schemas.microsoft.com/office/drawing/2014/main" id="{629BAADD-BC87-E581-1260-75ADFBDCFF67}"/>
              </a:ext>
            </a:extLst>
          </xdr:cNvPr>
          <xdr:cNvCxnSpPr/>
        </xdr:nvCxnSpPr>
        <xdr:spPr>
          <a:xfrm flipH="1">
            <a:off x="2871785" y="14063664"/>
            <a:ext cx="76200" cy="762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3174" name="Straight Connector 3173">
            <a:extLst>
              <a:ext uri="{FF2B5EF4-FFF2-40B4-BE49-F238E27FC236}">
                <a16:creationId xmlns:a16="http://schemas.microsoft.com/office/drawing/2014/main" id="{6B607EEE-558C-A7F8-C465-0C3C79037012}"/>
              </a:ext>
            </a:extLst>
          </xdr:cNvPr>
          <xdr:cNvCxnSpPr/>
        </xdr:nvCxnSpPr>
        <xdr:spPr>
          <a:xfrm>
            <a:off x="971550" y="14168438"/>
            <a:ext cx="0" cy="29051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3175" name="Straight Connector 3174">
            <a:extLst>
              <a:ext uri="{FF2B5EF4-FFF2-40B4-BE49-F238E27FC236}">
                <a16:creationId xmlns:a16="http://schemas.microsoft.com/office/drawing/2014/main" id="{8AFA1672-D1C1-CFD7-5A53-0D3C21DF522B}"/>
              </a:ext>
            </a:extLst>
          </xdr:cNvPr>
          <xdr:cNvCxnSpPr/>
        </xdr:nvCxnSpPr>
        <xdr:spPr>
          <a:xfrm>
            <a:off x="900112" y="14382751"/>
            <a:ext cx="17430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3176" name="Straight Connector 3175">
            <a:extLst>
              <a:ext uri="{FF2B5EF4-FFF2-40B4-BE49-F238E27FC236}">
                <a16:creationId xmlns:a16="http://schemas.microsoft.com/office/drawing/2014/main" id="{05E748A6-94A9-7EB8-8D9A-36E8B49F05E5}"/>
              </a:ext>
            </a:extLst>
          </xdr:cNvPr>
          <xdr:cNvCxnSpPr/>
        </xdr:nvCxnSpPr>
        <xdr:spPr>
          <a:xfrm flipH="1">
            <a:off x="933448" y="14344650"/>
            <a:ext cx="76200" cy="762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3177" name="Straight Connector 3176">
            <a:extLst>
              <a:ext uri="{FF2B5EF4-FFF2-40B4-BE49-F238E27FC236}">
                <a16:creationId xmlns:a16="http://schemas.microsoft.com/office/drawing/2014/main" id="{3FF2D39A-3EFB-A6A7-E95D-A85A592DAE5F}"/>
              </a:ext>
            </a:extLst>
          </xdr:cNvPr>
          <xdr:cNvCxnSpPr/>
        </xdr:nvCxnSpPr>
        <xdr:spPr>
          <a:xfrm>
            <a:off x="2590800" y="14168438"/>
            <a:ext cx="0" cy="29051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3178" name="Straight Connector 3177">
            <a:extLst>
              <a:ext uri="{FF2B5EF4-FFF2-40B4-BE49-F238E27FC236}">
                <a16:creationId xmlns:a16="http://schemas.microsoft.com/office/drawing/2014/main" id="{2EA14C62-92EE-4D8F-B38F-1452C8CE7190}"/>
              </a:ext>
            </a:extLst>
          </xdr:cNvPr>
          <xdr:cNvCxnSpPr/>
        </xdr:nvCxnSpPr>
        <xdr:spPr>
          <a:xfrm flipH="1">
            <a:off x="2552698" y="14344650"/>
            <a:ext cx="76200" cy="762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3179" name="Straight Connector 3178">
            <a:extLst>
              <a:ext uri="{FF2B5EF4-FFF2-40B4-BE49-F238E27FC236}">
                <a16:creationId xmlns:a16="http://schemas.microsoft.com/office/drawing/2014/main" id="{9A2B815A-80A0-2E72-3968-4E69B4886744}"/>
              </a:ext>
            </a:extLst>
          </xdr:cNvPr>
          <xdr:cNvCxnSpPr/>
        </xdr:nvCxnSpPr>
        <xdr:spPr>
          <a:xfrm>
            <a:off x="319088" y="12877800"/>
            <a:ext cx="0" cy="1343025"/>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3180" name="Straight Connector 3179">
            <a:extLst>
              <a:ext uri="{FF2B5EF4-FFF2-40B4-BE49-F238E27FC236}">
                <a16:creationId xmlns:a16="http://schemas.microsoft.com/office/drawing/2014/main" id="{36A4A42F-FB6A-23C2-FE94-4A157604CC18}"/>
              </a:ext>
            </a:extLst>
          </xdr:cNvPr>
          <xdr:cNvCxnSpPr/>
        </xdr:nvCxnSpPr>
        <xdr:spPr>
          <a:xfrm flipV="1">
            <a:off x="1819275" y="12668250"/>
            <a:ext cx="714375" cy="676275"/>
          </a:xfrm>
          <a:prstGeom prst="line">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181" name="Straight Connector 3180">
            <a:extLst>
              <a:ext uri="{FF2B5EF4-FFF2-40B4-BE49-F238E27FC236}">
                <a16:creationId xmlns:a16="http://schemas.microsoft.com/office/drawing/2014/main" id="{5B48AEFB-5CD7-E3A9-8B07-8EF0B8087FDC}"/>
              </a:ext>
            </a:extLst>
          </xdr:cNvPr>
          <xdr:cNvCxnSpPr/>
        </xdr:nvCxnSpPr>
        <xdr:spPr>
          <a:xfrm flipV="1">
            <a:off x="2085975" y="13535025"/>
            <a:ext cx="457200" cy="390525"/>
          </a:xfrm>
          <a:prstGeom prst="line">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182" name="Straight Connector 3181">
            <a:extLst>
              <a:ext uri="{FF2B5EF4-FFF2-40B4-BE49-F238E27FC236}">
                <a16:creationId xmlns:a16="http://schemas.microsoft.com/office/drawing/2014/main" id="{091DB8BD-0607-23E1-275D-5EA04EEC8627}"/>
              </a:ext>
            </a:extLst>
          </xdr:cNvPr>
          <xdr:cNvCxnSpPr/>
        </xdr:nvCxnSpPr>
        <xdr:spPr>
          <a:xfrm flipV="1">
            <a:off x="895350" y="12787313"/>
            <a:ext cx="314325" cy="523875"/>
          </a:xfrm>
          <a:prstGeom prst="line">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183" name="Straight Connector 3182">
            <a:extLst>
              <a:ext uri="{FF2B5EF4-FFF2-40B4-BE49-F238E27FC236}">
                <a16:creationId xmlns:a16="http://schemas.microsoft.com/office/drawing/2014/main" id="{D3871472-A692-BFB0-48AE-6AB890A9838D}"/>
              </a:ext>
            </a:extLst>
          </xdr:cNvPr>
          <xdr:cNvCxnSpPr/>
        </xdr:nvCxnSpPr>
        <xdr:spPr>
          <a:xfrm>
            <a:off x="314325" y="13101638"/>
            <a:ext cx="1143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184" name="Straight Connector 3183">
            <a:extLst>
              <a:ext uri="{FF2B5EF4-FFF2-40B4-BE49-F238E27FC236}">
                <a16:creationId xmlns:a16="http://schemas.microsoft.com/office/drawing/2014/main" id="{3CE72C25-0E07-D14F-710E-C80FEE344524}"/>
              </a:ext>
            </a:extLst>
          </xdr:cNvPr>
          <xdr:cNvCxnSpPr/>
        </xdr:nvCxnSpPr>
        <xdr:spPr>
          <a:xfrm>
            <a:off x="847725" y="12677775"/>
            <a:ext cx="57150" cy="390525"/>
          </a:xfrm>
          <a:prstGeom prst="line">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185" name="Straight Connector 3184">
            <a:extLst>
              <a:ext uri="{FF2B5EF4-FFF2-40B4-BE49-F238E27FC236}">
                <a16:creationId xmlns:a16="http://schemas.microsoft.com/office/drawing/2014/main" id="{144C9CBE-752C-5D43-1ECA-356A34210BA8}"/>
              </a:ext>
            </a:extLst>
          </xdr:cNvPr>
          <xdr:cNvCxnSpPr/>
        </xdr:nvCxnSpPr>
        <xdr:spPr>
          <a:xfrm>
            <a:off x="647700" y="12892088"/>
            <a:ext cx="0" cy="27146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3186" name="Straight Connector 3185">
            <a:extLst>
              <a:ext uri="{FF2B5EF4-FFF2-40B4-BE49-F238E27FC236}">
                <a16:creationId xmlns:a16="http://schemas.microsoft.com/office/drawing/2014/main" id="{0E23BDA2-B112-C406-F5F0-89BE1A5D75BF}"/>
              </a:ext>
            </a:extLst>
          </xdr:cNvPr>
          <xdr:cNvCxnSpPr/>
        </xdr:nvCxnSpPr>
        <xdr:spPr>
          <a:xfrm flipH="1">
            <a:off x="614362" y="12920661"/>
            <a:ext cx="76200" cy="762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3187" name="Straight Connector 3186">
            <a:extLst>
              <a:ext uri="{FF2B5EF4-FFF2-40B4-BE49-F238E27FC236}">
                <a16:creationId xmlns:a16="http://schemas.microsoft.com/office/drawing/2014/main" id="{9CAEC4EA-84FF-01D9-D16E-EC3092C516A5}"/>
              </a:ext>
            </a:extLst>
          </xdr:cNvPr>
          <xdr:cNvCxnSpPr/>
        </xdr:nvCxnSpPr>
        <xdr:spPr>
          <a:xfrm flipH="1">
            <a:off x="609600" y="13063538"/>
            <a:ext cx="76200" cy="76200"/>
          </a:xfrm>
          <a:prstGeom prst="line">
            <a:avLst/>
          </a:prstGeom>
        </xdr:spPr>
        <xdr:style>
          <a:lnRef idx="1">
            <a:schemeClr val="accent1"/>
          </a:lnRef>
          <a:fillRef idx="0">
            <a:schemeClr val="accent1"/>
          </a:fillRef>
          <a:effectRef idx="0">
            <a:schemeClr val="accent1"/>
          </a:effectRef>
          <a:fontRef idx="minor">
            <a:schemeClr val="tx1"/>
          </a:fontRef>
        </xdr:style>
      </xdr:cxnSp>
      <xdr:sp macro="" textlink="">
        <xdr:nvSpPr>
          <xdr:cNvPr id="3188" name="Freeform: Shape 3187">
            <a:extLst>
              <a:ext uri="{FF2B5EF4-FFF2-40B4-BE49-F238E27FC236}">
                <a16:creationId xmlns:a16="http://schemas.microsoft.com/office/drawing/2014/main" id="{E5D0C9B8-E646-1698-8D28-7AEB635487DE}"/>
              </a:ext>
            </a:extLst>
          </xdr:cNvPr>
          <xdr:cNvSpPr/>
        </xdr:nvSpPr>
        <xdr:spPr>
          <a:xfrm>
            <a:off x="1019175" y="13720762"/>
            <a:ext cx="1519237" cy="319088"/>
          </a:xfrm>
          <a:custGeom>
            <a:avLst/>
            <a:gdLst>
              <a:gd name="connsiteX0" fmla="*/ 0 w 1519237"/>
              <a:gd name="connsiteY0" fmla="*/ 9525 h 319088"/>
              <a:gd name="connsiteX1" fmla="*/ 0 w 1519237"/>
              <a:gd name="connsiteY1" fmla="*/ 319088 h 319088"/>
              <a:gd name="connsiteX2" fmla="*/ 1519237 w 1519237"/>
              <a:gd name="connsiteY2" fmla="*/ 319088 h 319088"/>
              <a:gd name="connsiteX3" fmla="*/ 1519237 w 1519237"/>
              <a:gd name="connsiteY3" fmla="*/ 0 h 319088"/>
            </a:gdLst>
            <a:ahLst/>
            <a:cxnLst>
              <a:cxn ang="0">
                <a:pos x="connsiteX0" y="connsiteY0"/>
              </a:cxn>
              <a:cxn ang="0">
                <a:pos x="connsiteX1" y="connsiteY1"/>
              </a:cxn>
              <a:cxn ang="0">
                <a:pos x="connsiteX2" y="connsiteY2"/>
              </a:cxn>
              <a:cxn ang="0">
                <a:pos x="connsiteX3" y="connsiteY3"/>
              </a:cxn>
            </a:cxnLst>
            <a:rect l="l" t="t" r="r" b="b"/>
            <a:pathLst>
              <a:path w="1519237" h="319088">
                <a:moveTo>
                  <a:pt x="0" y="9525"/>
                </a:moveTo>
                <a:lnTo>
                  <a:pt x="0" y="319088"/>
                </a:lnTo>
                <a:lnTo>
                  <a:pt x="1519237" y="319088"/>
                </a:lnTo>
                <a:lnTo>
                  <a:pt x="1519237" y="0"/>
                </a:lnTo>
              </a:path>
            </a:pathLst>
          </a:cu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kern="1200"/>
          </a:p>
        </xdr:txBody>
      </xdr:sp>
      <xdr:cxnSp macro="">
        <xdr:nvCxnSpPr>
          <xdr:cNvPr id="3189" name="Straight Connector 3188">
            <a:extLst>
              <a:ext uri="{FF2B5EF4-FFF2-40B4-BE49-F238E27FC236}">
                <a16:creationId xmlns:a16="http://schemas.microsoft.com/office/drawing/2014/main" id="{DF7FEC5A-C07B-AA9A-479F-87B97FBED396}"/>
              </a:ext>
            </a:extLst>
          </xdr:cNvPr>
          <xdr:cNvCxnSpPr/>
        </xdr:nvCxnSpPr>
        <xdr:spPr>
          <a:xfrm>
            <a:off x="328613" y="13011149"/>
            <a:ext cx="17526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3190" name="Oval 3189">
            <a:extLst>
              <a:ext uri="{FF2B5EF4-FFF2-40B4-BE49-F238E27FC236}">
                <a16:creationId xmlns:a16="http://schemas.microsoft.com/office/drawing/2014/main" id="{D13CEA87-C868-1561-DD9A-BEB6D3AA07F7}"/>
              </a:ext>
            </a:extLst>
          </xdr:cNvPr>
          <xdr:cNvSpPr/>
        </xdr:nvSpPr>
        <xdr:spPr>
          <a:xfrm>
            <a:off x="396241" y="13021626"/>
            <a:ext cx="45720" cy="45720"/>
          </a:xfrm>
          <a:prstGeom prst="ellipse">
            <a:avLst/>
          </a:prstGeom>
          <a:solidFill>
            <a:schemeClr val="tx1"/>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kern="1200"/>
          </a:p>
        </xdr:txBody>
      </xdr:sp>
      <xdr:sp macro="" textlink="">
        <xdr:nvSpPr>
          <xdr:cNvPr id="3191" name="Oval 3190">
            <a:extLst>
              <a:ext uri="{FF2B5EF4-FFF2-40B4-BE49-F238E27FC236}">
                <a16:creationId xmlns:a16="http://schemas.microsoft.com/office/drawing/2014/main" id="{4B5F29ED-C3A2-8ADE-D78E-5F0F85913534}"/>
              </a:ext>
            </a:extLst>
          </xdr:cNvPr>
          <xdr:cNvSpPr/>
        </xdr:nvSpPr>
        <xdr:spPr>
          <a:xfrm>
            <a:off x="748666" y="13021627"/>
            <a:ext cx="45720" cy="45720"/>
          </a:xfrm>
          <a:prstGeom prst="ellipse">
            <a:avLst/>
          </a:prstGeom>
          <a:solidFill>
            <a:schemeClr val="tx1"/>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kern="1200"/>
          </a:p>
        </xdr:txBody>
      </xdr:sp>
      <xdr:sp macro="" textlink="">
        <xdr:nvSpPr>
          <xdr:cNvPr id="3192" name="Oval 3191">
            <a:extLst>
              <a:ext uri="{FF2B5EF4-FFF2-40B4-BE49-F238E27FC236}">
                <a16:creationId xmlns:a16="http://schemas.microsoft.com/office/drawing/2014/main" id="{FE49F7FD-5CB9-B5AD-532D-0A503319DFBC}"/>
              </a:ext>
            </a:extLst>
          </xdr:cNvPr>
          <xdr:cNvSpPr/>
        </xdr:nvSpPr>
        <xdr:spPr>
          <a:xfrm>
            <a:off x="1267778" y="13021627"/>
            <a:ext cx="45720" cy="45720"/>
          </a:xfrm>
          <a:prstGeom prst="ellipse">
            <a:avLst/>
          </a:prstGeom>
          <a:solidFill>
            <a:schemeClr val="tx1"/>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kern="1200"/>
          </a:p>
        </xdr:txBody>
      </xdr:sp>
      <xdr:sp macro="" textlink="">
        <xdr:nvSpPr>
          <xdr:cNvPr id="3193" name="Oval 3192">
            <a:extLst>
              <a:ext uri="{FF2B5EF4-FFF2-40B4-BE49-F238E27FC236}">
                <a16:creationId xmlns:a16="http://schemas.microsoft.com/office/drawing/2014/main" id="{C289DDB0-555B-4887-08B7-AB03303E10D3}"/>
              </a:ext>
            </a:extLst>
          </xdr:cNvPr>
          <xdr:cNvSpPr/>
        </xdr:nvSpPr>
        <xdr:spPr>
          <a:xfrm>
            <a:off x="1029653" y="13021627"/>
            <a:ext cx="45720" cy="45720"/>
          </a:xfrm>
          <a:prstGeom prst="ellipse">
            <a:avLst/>
          </a:prstGeom>
          <a:solidFill>
            <a:schemeClr val="tx1"/>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kern="1200"/>
          </a:p>
        </xdr:txBody>
      </xdr:sp>
      <xdr:sp macro="" textlink="">
        <xdr:nvSpPr>
          <xdr:cNvPr id="3194" name="Freeform: Shape 3193">
            <a:extLst>
              <a:ext uri="{FF2B5EF4-FFF2-40B4-BE49-F238E27FC236}">
                <a16:creationId xmlns:a16="http://schemas.microsoft.com/office/drawing/2014/main" id="{5B74DE30-1E6B-56D6-FD8A-5DF8573692E7}"/>
              </a:ext>
            </a:extLst>
          </xdr:cNvPr>
          <xdr:cNvSpPr/>
        </xdr:nvSpPr>
        <xdr:spPr>
          <a:xfrm>
            <a:off x="1519237" y="13011150"/>
            <a:ext cx="495300" cy="1028700"/>
          </a:xfrm>
          <a:custGeom>
            <a:avLst/>
            <a:gdLst>
              <a:gd name="connsiteX0" fmla="*/ 0 w 495300"/>
              <a:gd name="connsiteY0" fmla="*/ 714375 h 714375"/>
              <a:gd name="connsiteX1" fmla="*/ 0 w 495300"/>
              <a:gd name="connsiteY1" fmla="*/ 0 h 714375"/>
              <a:gd name="connsiteX2" fmla="*/ 495300 w 495300"/>
              <a:gd name="connsiteY2" fmla="*/ 0 h 714375"/>
              <a:gd name="connsiteX3" fmla="*/ 495300 w 495300"/>
              <a:gd name="connsiteY3" fmla="*/ 714375 h 714375"/>
            </a:gdLst>
            <a:ahLst/>
            <a:cxnLst>
              <a:cxn ang="0">
                <a:pos x="connsiteX0" y="connsiteY0"/>
              </a:cxn>
              <a:cxn ang="0">
                <a:pos x="connsiteX1" y="connsiteY1"/>
              </a:cxn>
              <a:cxn ang="0">
                <a:pos x="connsiteX2" y="connsiteY2"/>
              </a:cxn>
              <a:cxn ang="0">
                <a:pos x="connsiteX3" y="connsiteY3"/>
              </a:cxn>
            </a:cxnLst>
            <a:rect l="l" t="t" r="r" b="b"/>
            <a:pathLst>
              <a:path w="495300" h="714375">
                <a:moveTo>
                  <a:pt x="0" y="714375"/>
                </a:moveTo>
                <a:lnTo>
                  <a:pt x="0" y="0"/>
                </a:lnTo>
                <a:lnTo>
                  <a:pt x="495300" y="0"/>
                </a:lnTo>
                <a:lnTo>
                  <a:pt x="495300" y="714375"/>
                </a:lnTo>
              </a:path>
            </a:pathLst>
          </a:cu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cxnSp macro="">
        <xdr:nvCxnSpPr>
          <xdr:cNvPr id="3195" name="Straight Connector 3194">
            <a:extLst>
              <a:ext uri="{FF2B5EF4-FFF2-40B4-BE49-F238E27FC236}">
                <a16:creationId xmlns:a16="http://schemas.microsoft.com/office/drawing/2014/main" id="{9F4BF265-C56C-99ED-B81C-2B0E078E8793}"/>
              </a:ext>
            </a:extLst>
          </xdr:cNvPr>
          <xdr:cNvCxnSpPr/>
        </xdr:nvCxnSpPr>
        <xdr:spPr>
          <a:xfrm>
            <a:off x="1685925" y="13011150"/>
            <a:ext cx="0" cy="1019175"/>
          </a:xfrm>
          <a:prstGeom prst="lin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3196" name="Straight Connector 3195">
            <a:extLst>
              <a:ext uri="{FF2B5EF4-FFF2-40B4-BE49-F238E27FC236}">
                <a16:creationId xmlns:a16="http://schemas.microsoft.com/office/drawing/2014/main" id="{617374C3-9AFB-2BE7-7551-CEC33A643CC5}"/>
              </a:ext>
            </a:extLst>
          </xdr:cNvPr>
          <xdr:cNvCxnSpPr/>
        </xdr:nvCxnSpPr>
        <xdr:spPr>
          <a:xfrm>
            <a:off x="1890712" y="13015913"/>
            <a:ext cx="0" cy="1019175"/>
          </a:xfrm>
          <a:prstGeom prst="lin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3197" name="Straight Connector 3196">
            <a:extLst>
              <a:ext uri="{FF2B5EF4-FFF2-40B4-BE49-F238E27FC236}">
                <a16:creationId xmlns:a16="http://schemas.microsoft.com/office/drawing/2014/main" id="{3FA60BD9-2B3E-2135-4859-D5DD6DEEEE7A}"/>
              </a:ext>
            </a:extLst>
          </xdr:cNvPr>
          <xdr:cNvCxnSpPr/>
        </xdr:nvCxnSpPr>
        <xdr:spPr>
          <a:xfrm>
            <a:off x="1519237" y="13201652"/>
            <a:ext cx="495301" cy="0"/>
          </a:xfrm>
          <a:prstGeom prst="lin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3198" name="Straight Connector 3197">
            <a:extLst>
              <a:ext uri="{FF2B5EF4-FFF2-40B4-BE49-F238E27FC236}">
                <a16:creationId xmlns:a16="http://schemas.microsoft.com/office/drawing/2014/main" id="{D54C31E1-AF49-EDE0-33F7-DE69FCEB67C7}"/>
              </a:ext>
            </a:extLst>
          </xdr:cNvPr>
          <xdr:cNvCxnSpPr/>
        </xdr:nvCxnSpPr>
        <xdr:spPr>
          <a:xfrm>
            <a:off x="1514474" y="13401676"/>
            <a:ext cx="495301" cy="0"/>
          </a:xfrm>
          <a:prstGeom prst="lin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3199" name="Straight Connector 3198">
            <a:extLst>
              <a:ext uri="{FF2B5EF4-FFF2-40B4-BE49-F238E27FC236}">
                <a16:creationId xmlns:a16="http://schemas.microsoft.com/office/drawing/2014/main" id="{F763FA1C-D867-38EF-63C9-D7DD75CE9B04}"/>
              </a:ext>
            </a:extLst>
          </xdr:cNvPr>
          <xdr:cNvCxnSpPr/>
        </xdr:nvCxnSpPr>
        <xdr:spPr>
          <a:xfrm>
            <a:off x="1514474" y="13611227"/>
            <a:ext cx="495301" cy="0"/>
          </a:xfrm>
          <a:prstGeom prst="lin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3200" name="Straight Connector 3199">
            <a:extLst>
              <a:ext uri="{FF2B5EF4-FFF2-40B4-BE49-F238E27FC236}">
                <a16:creationId xmlns:a16="http://schemas.microsoft.com/office/drawing/2014/main" id="{54899F29-D679-8293-1402-C99CF285043A}"/>
              </a:ext>
            </a:extLst>
          </xdr:cNvPr>
          <xdr:cNvCxnSpPr/>
        </xdr:nvCxnSpPr>
        <xdr:spPr>
          <a:xfrm>
            <a:off x="1519237" y="13854109"/>
            <a:ext cx="495301" cy="0"/>
          </a:xfrm>
          <a:prstGeom prst="lin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cxnSp>
      <xdr:sp macro="" textlink="">
        <xdr:nvSpPr>
          <xdr:cNvPr id="3201" name="Oval 3200">
            <a:extLst>
              <a:ext uri="{FF2B5EF4-FFF2-40B4-BE49-F238E27FC236}">
                <a16:creationId xmlns:a16="http://schemas.microsoft.com/office/drawing/2014/main" id="{D8F78B68-F5CC-4AA6-7FDD-092B952EB5B3}"/>
              </a:ext>
            </a:extLst>
          </xdr:cNvPr>
          <xdr:cNvSpPr/>
        </xdr:nvSpPr>
        <xdr:spPr>
          <a:xfrm>
            <a:off x="1524016" y="13020675"/>
            <a:ext cx="45720" cy="45720"/>
          </a:xfrm>
          <a:prstGeom prst="ellipse">
            <a:avLst/>
          </a:prstGeom>
          <a:solidFill>
            <a:schemeClr val="tx1"/>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kern="1200"/>
          </a:p>
        </xdr:txBody>
      </xdr:sp>
      <xdr:sp macro="" textlink="">
        <xdr:nvSpPr>
          <xdr:cNvPr id="3202" name="Oval 3201">
            <a:extLst>
              <a:ext uri="{FF2B5EF4-FFF2-40B4-BE49-F238E27FC236}">
                <a16:creationId xmlns:a16="http://schemas.microsoft.com/office/drawing/2014/main" id="{E0C7FF87-6D59-1F9B-D4E6-AC8E9EB6C89E}"/>
              </a:ext>
            </a:extLst>
          </xdr:cNvPr>
          <xdr:cNvSpPr/>
        </xdr:nvSpPr>
        <xdr:spPr>
          <a:xfrm>
            <a:off x="2038365" y="13020675"/>
            <a:ext cx="45720" cy="45720"/>
          </a:xfrm>
          <a:prstGeom prst="ellipse">
            <a:avLst/>
          </a:prstGeom>
          <a:solidFill>
            <a:schemeClr val="tx1"/>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kern="1200"/>
          </a:p>
        </xdr:txBody>
      </xdr:sp>
      <xdr:sp macro="" textlink="">
        <xdr:nvSpPr>
          <xdr:cNvPr id="3203" name="Oval 3202">
            <a:extLst>
              <a:ext uri="{FF2B5EF4-FFF2-40B4-BE49-F238E27FC236}">
                <a16:creationId xmlns:a16="http://schemas.microsoft.com/office/drawing/2014/main" id="{E1079B5B-83B3-4DE0-8D01-D27144E1EC74}"/>
              </a:ext>
            </a:extLst>
          </xdr:cNvPr>
          <xdr:cNvSpPr/>
        </xdr:nvSpPr>
        <xdr:spPr>
          <a:xfrm>
            <a:off x="1805003" y="13020675"/>
            <a:ext cx="45720" cy="45720"/>
          </a:xfrm>
          <a:prstGeom prst="ellipse">
            <a:avLst/>
          </a:prstGeom>
          <a:solidFill>
            <a:schemeClr val="tx1"/>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kern="1200"/>
          </a:p>
        </xdr:txBody>
      </xdr:sp>
      <xdr:cxnSp macro="">
        <xdr:nvCxnSpPr>
          <xdr:cNvPr id="3204" name="Straight Connector 3203">
            <a:extLst>
              <a:ext uri="{FF2B5EF4-FFF2-40B4-BE49-F238E27FC236}">
                <a16:creationId xmlns:a16="http://schemas.microsoft.com/office/drawing/2014/main" id="{8778EB0E-7960-30BE-02C8-58FC7DCA4AEC}"/>
              </a:ext>
            </a:extLst>
          </xdr:cNvPr>
          <xdr:cNvCxnSpPr/>
        </xdr:nvCxnSpPr>
        <xdr:spPr>
          <a:xfrm flipV="1">
            <a:off x="1352550" y="12463463"/>
            <a:ext cx="1233488" cy="542925"/>
          </a:xfrm>
          <a:prstGeom prst="line">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xdr:col>
      <xdr:colOff>90488</xdr:colOff>
      <xdr:row>294</xdr:row>
      <xdr:rowOff>138106</xdr:rowOff>
    </xdr:from>
    <xdr:to>
      <xdr:col>18</xdr:col>
      <xdr:colOff>57146</xdr:colOff>
      <xdr:row>311</xdr:row>
      <xdr:rowOff>66675</xdr:rowOff>
    </xdr:to>
    <xdr:grpSp>
      <xdr:nvGrpSpPr>
        <xdr:cNvPr id="3207" name="Group 3206">
          <a:extLst>
            <a:ext uri="{FF2B5EF4-FFF2-40B4-BE49-F238E27FC236}">
              <a16:creationId xmlns:a16="http://schemas.microsoft.com/office/drawing/2014/main" id="{783361DE-3D35-4F73-BC45-EEA7A23334DD}"/>
            </a:ext>
          </a:extLst>
        </xdr:cNvPr>
        <xdr:cNvGrpSpPr/>
      </xdr:nvGrpSpPr>
      <xdr:grpSpPr>
        <a:xfrm>
          <a:off x="414338" y="43019656"/>
          <a:ext cx="2557458" cy="2357444"/>
          <a:chOff x="414338" y="15663856"/>
          <a:chExt cx="2557458" cy="2357444"/>
        </a:xfrm>
      </xdr:grpSpPr>
      <xdr:cxnSp macro="">
        <xdr:nvCxnSpPr>
          <xdr:cNvPr id="3208" name="Straight Connector 3207">
            <a:extLst>
              <a:ext uri="{FF2B5EF4-FFF2-40B4-BE49-F238E27FC236}">
                <a16:creationId xmlns:a16="http://schemas.microsoft.com/office/drawing/2014/main" id="{5EF63EB6-6420-A107-3158-CCF087DAB81C}"/>
              </a:ext>
            </a:extLst>
          </xdr:cNvPr>
          <xdr:cNvCxnSpPr/>
        </xdr:nvCxnSpPr>
        <xdr:spPr>
          <a:xfrm>
            <a:off x="485779" y="16144877"/>
            <a:ext cx="0" cy="76199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3209" name="Straight Connector 3208">
            <a:extLst>
              <a:ext uri="{FF2B5EF4-FFF2-40B4-BE49-F238E27FC236}">
                <a16:creationId xmlns:a16="http://schemas.microsoft.com/office/drawing/2014/main" id="{8CE6EE23-9A60-EA78-79DD-65E4B2FD7AEE}"/>
              </a:ext>
            </a:extLst>
          </xdr:cNvPr>
          <xdr:cNvCxnSpPr/>
        </xdr:nvCxnSpPr>
        <xdr:spPr>
          <a:xfrm>
            <a:off x="2914650" y="15663856"/>
            <a:ext cx="0" cy="1738319"/>
          </a:xfrm>
          <a:prstGeom prst="line">
            <a:avLst/>
          </a:prstGeom>
        </xdr:spPr>
        <xdr:style>
          <a:lnRef idx="1">
            <a:schemeClr val="accent1"/>
          </a:lnRef>
          <a:fillRef idx="0">
            <a:schemeClr val="accent1"/>
          </a:fillRef>
          <a:effectRef idx="0">
            <a:schemeClr val="accent1"/>
          </a:effectRef>
          <a:fontRef idx="minor">
            <a:schemeClr val="tx1"/>
          </a:fontRef>
        </xdr:style>
      </xdr:cxnSp>
      <xdr:grpSp>
        <xdr:nvGrpSpPr>
          <xdr:cNvPr id="3210" name="Group 3209">
            <a:extLst>
              <a:ext uri="{FF2B5EF4-FFF2-40B4-BE49-F238E27FC236}">
                <a16:creationId xmlns:a16="http://schemas.microsoft.com/office/drawing/2014/main" id="{97F6CCE6-E617-3010-6759-F0364373B6F7}"/>
              </a:ext>
            </a:extLst>
          </xdr:cNvPr>
          <xdr:cNvGrpSpPr/>
        </xdr:nvGrpSpPr>
        <xdr:grpSpPr>
          <a:xfrm>
            <a:off x="976310" y="15725776"/>
            <a:ext cx="1609728" cy="1609728"/>
            <a:chOff x="976310" y="80905351"/>
            <a:chExt cx="1609728" cy="1609728"/>
          </a:xfrm>
          <a:blipFill>
            <a:blip xmlns:r="http://schemas.openxmlformats.org/officeDocument/2006/relationships" r:embed="rId1"/>
            <a:tile tx="0" ty="0" sx="100000" sy="100000" flip="none" algn="tl"/>
          </a:blipFill>
        </xdr:grpSpPr>
        <xdr:sp macro="" textlink="">
          <xdr:nvSpPr>
            <xdr:cNvPr id="3235" name="Rectangle 3234">
              <a:extLst>
                <a:ext uri="{FF2B5EF4-FFF2-40B4-BE49-F238E27FC236}">
                  <a16:creationId xmlns:a16="http://schemas.microsoft.com/office/drawing/2014/main" id="{42308849-72B7-4DBF-9FC6-600C2FB064F9}"/>
                </a:ext>
              </a:extLst>
            </xdr:cNvPr>
            <xdr:cNvSpPr/>
          </xdr:nvSpPr>
          <xdr:spPr>
            <a:xfrm>
              <a:off x="976310" y="80905351"/>
              <a:ext cx="1609728" cy="1609728"/>
            </a:xfrm>
            <a:prstGeom prst="rect">
              <a:avLst/>
            </a:prstGeom>
            <a:grp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3236" name="Rectangle 3235">
              <a:extLst>
                <a:ext uri="{FF2B5EF4-FFF2-40B4-BE49-F238E27FC236}">
                  <a16:creationId xmlns:a16="http://schemas.microsoft.com/office/drawing/2014/main" id="{9CC43449-4521-A3B5-D220-2B8DE50BEB0C}"/>
                </a:ext>
              </a:extLst>
            </xdr:cNvPr>
            <xdr:cNvSpPr/>
          </xdr:nvSpPr>
          <xdr:spPr>
            <a:xfrm>
              <a:off x="1457324" y="81386362"/>
              <a:ext cx="647698" cy="647698"/>
            </a:xfrm>
            <a:prstGeom prst="rect">
              <a:avLst/>
            </a:prstGeom>
            <a:grp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grpSp>
      <xdr:cxnSp macro="">
        <xdr:nvCxnSpPr>
          <xdr:cNvPr id="3211" name="Straight Connector 3210">
            <a:extLst>
              <a:ext uri="{FF2B5EF4-FFF2-40B4-BE49-F238E27FC236}">
                <a16:creationId xmlns:a16="http://schemas.microsoft.com/office/drawing/2014/main" id="{8A2B070F-02A8-2AA6-8D36-8DE2A3BA302E}"/>
              </a:ext>
            </a:extLst>
          </xdr:cNvPr>
          <xdr:cNvCxnSpPr/>
        </xdr:nvCxnSpPr>
        <xdr:spPr>
          <a:xfrm>
            <a:off x="2643188" y="15725771"/>
            <a:ext cx="328607"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3212" name="Straight Connector 3211">
            <a:extLst>
              <a:ext uri="{FF2B5EF4-FFF2-40B4-BE49-F238E27FC236}">
                <a16:creationId xmlns:a16="http://schemas.microsoft.com/office/drawing/2014/main" id="{F66EDD0F-2A47-3C1E-050F-C0BFC159F9DB}"/>
              </a:ext>
            </a:extLst>
          </xdr:cNvPr>
          <xdr:cNvCxnSpPr/>
        </xdr:nvCxnSpPr>
        <xdr:spPr>
          <a:xfrm flipH="1">
            <a:off x="2871782" y="15692433"/>
            <a:ext cx="76200" cy="762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3213" name="Straight Connector 3212">
            <a:extLst>
              <a:ext uri="{FF2B5EF4-FFF2-40B4-BE49-F238E27FC236}">
                <a16:creationId xmlns:a16="http://schemas.microsoft.com/office/drawing/2014/main" id="{E8F3F875-7C75-6A24-3E30-5A2C0BA47139}"/>
              </a:ext>
            </a:extLst>
          </xdr:cNvPr>
          <xdr:cNvCxnSpPr/>
        </xdr:nvCxnSpPr>
        <xdr:spPr>
          <a:xfrm>
            <a:off x="2643189" y="17335501"/>
            <a:ext cx="328607"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3214" name="Straight Connector 3213">
            <a:extLst>
              <a:ext uri="{FF2B5EF4-FFF2-40B4-BE49-F238E27FC236}">
                <a16:creationId xmlns:a16="http://schemas.microsoft.com/office/drawing/2014/main" id="{9077A514-3B81-08DB-0471-6B4FBB297CA1}"/>
              </a:ext>
            </a:extLst>
          </xdr:cNvPr>
          <xdr:cNvCxnSpPr/>
        </xdr:nvCxnSpPr>
        <xdr:spPr>
          <a:xfrm flipH="1">
            <a:off x="2871783" y="17302163"/>
            <a:ext cx="76200" cy="762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3215" name="Straight Connector 3214">
            <a:extLst>
              <a:ext uri="{FF2B5EF4-FFF2-40B4-BE49-F238E27FC236}">
                <a16:creationId xmlns:a16="http://schemas.microsoft.com/office/drawing/2014/main" id="{BA6E7B86-5CD9-65DC-57BE-BA12D5D677DD}"/>
              </a:ext>
            </a:extLst>
          </xdr:cNvPr>
          <xdr:cNvCxnSpPr/>
        </xdr:nvCxnSpPr>
        <xdr:spPr>
          <a:xfrm flipH="1">
            <a:off x="423863" y="16206787"/>
            <a:ext cx="476250"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3216" name="Straight Connector 3215">
            <a:extLst>
              <a:ext uri="{FF2B5EF4-FFF2-40B4-BE49-F238E27FC236}">
                <a16:creationId xmlns:a16="http://schemas.microsoft.com/office/drawing/2014/main" id="{B3C80889-70ED-E19B-86F4-52E45A3AC1A6}"/>
              </a:ext>
            </a:extLst>
          </xdr:cNvPr>
          <xdr:cNvCxnSpPr/>
        </xdr:nvCxnSpPr>
        <xdr:spPr>
          <a:xfrm flipH="1">
            <a:off x="442911" y="16173454"/>
            <a:ext cx="76200" cy="762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3217" name="Straight Connector 3216">
            <a:extLst>
              <a:ext uri="{FF2B5EF4-FFF2-40B4-BE49-F238E27FC236}">
                <a16:creationId xmlns:a16="http://schemas.microsoft.com/office/drawing/2014/main" id="{EDB88771-21B5-5644-3405-AD0B43123B7B}"/>
              </a:ext>
            </a:extLst>
          </xdr:cNvPr>
          <xdr:cNvCxnSpPr/>
        </xdr:nvCxnSpPr>
        <xdr:spPr>
          <a:xfrm flipH="1">
            <a:off x="414338" y="16854488"/>
            <a:ext cx="495300"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3218" name="Straight Connector 3217">
            <a:extLst>
              <a:ext uri="{FF2B5EF4-FFF2-40B4-BE49-F238E27FC236}">
                <a16:creationId xmlns:a16="http://schemas.microsoft.com/office/drawing/2014/main" id="{8D6CAFEE-1A49-878E-E20A-1578E8E57104}"/>
              </a:ext>
            </a:extLst>
          </xdr:cNvPr>
          <xdr:cNvCxnSpPr/>
        </xdr:nvCxnSpPr>
        <xdr:spPr>
          <a:xfrm flipH="1">
            <a:off x="442907" y="16821155"/>
            <a:ext cx="76200" cy="762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3219" name="Straight Connector 3218">
            <a:extLst>
              <a:ext uri="{FF2B5EF4-FFF2-40B4-BE49-F238E27FC236}">
                <a16:creationId xmlns:a16="http://schemas.microsoft.com/office/drawing/2014/main" id="{96525B14-C55F-6B3D-D52B-30AAC983140B}"/>
              </a:ext>
            </a:extLst>
          </xdr:cNvPr>
          <xdr:cNvCxnSpPr/>
        </xdr:nvCxnSpPr>
        <xdr:spPr>
          <a:xfrm>
            <a:off x="1457325" y="17392650"/>
            <a:ext cx="0" cy="62388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3220" name="Straight Connector 3219">
            <a:extLst>
              <a:ext uri="{FF2B5EF4-FFF2-40B4-BE49-F238E27FC236}">
                <a16:creationId xmlns:a16="http://schemas.microsoft.com/office/drawing/2014/main" id="{C522C112-6E47-4B0E-A0C3-B241BE145F74}"/>
              </a:ext>
            </a:extLst>
          </xdr:cNvPr>
          <xdr:cNvCxnSpPr/>
        </xdr:nvCxnSpPr>
        <xdr:spPr>
          <a:xfrm>
            <a:off x="2105025" y="17392650"/>
            <a:ext cx="0" cy="62865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3221" name="Straight Connector 3220">
            <a:extLst>
              <a:ext uri="{FF2B5EF4-FFF2-40B4-BE49-F238E27FC236}">
                <a16:creationId xmlns:a16="http://schemas.microsoft.com/office/drawing/2014/main" id="{4203D4FD-83D5-356E-1D60-368DFCC06249}"/>
              </a:ext>
            </a:extLst>
          </xdr:cNvPr>
          <xdr:cNvCxnSpPr/>
        </xdr:nvCxnSpPr>
        <xdr:spPr>
          <a:xfrm>
            <a:off x="1385887" y="17954626"/>
            <a:ext cx="785813"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3222" name="Straight Connector 3221">
            <a:extLst>
              <a:ext uri="{FF2B5EF4-FFF2-40B4-BE49-F238E27FC236}">
                <a16:creationId xmlns:a16="http://schemas.microsoft.com/office/drawing/2014/main" id="{E02F8EFA-9971-42E4-BA4C-CC0BBDEAA75D}"/>
              </a:ext>
            </a:extLst>
          </xdr:cNvPr>
          <xdr:cNvCxnSpPr/>
        </xdr:nvCxnSpPr>
        <xdr:spPr>
          <a:xfrm flipH="1">
            <a:off x="1419223" y="17916525"/>
            <a:ext cx="76200" cy="762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3223" name="Straight Connector 3222">
            <a:extLst>
              <a:ext uri="{FF2B5EF4-FFF2-40B4-BE49-F238E27FC236}">
                <a16:creationId xmlns:a16="http://schemas.microsoft.com/office/drawing/2014/main" id="{D83B4971-E689-A518-7EC2-53637749FC67}"/>
              </a:ext>
            </a:extLst>
          </xdr:cNvPr>
          <xdr:cNvCxnSpPr/>
        </xdr:nvCxnSpPr>
        <xdr:spPr>
          <a:xfrm flipH="1">
            <a:off x="2066922" y="17916526"/>
            <a:ext cx="76200" cy="76200"/>
          </a:xfrm>
          <a:prstGeom prst="line">
            <a:avLst/>
          </a:prstGeom>
        </xdr:spPr>
        <xdr:style>
          <a:lnRef idx="1">
            <a:schemeClr val="accent1"/>
          </a:lnRef>
          <a:fillRef idx="0">
            <a:schemeClr val="accent1"/>
          </a:fillRef>
          <a:effectRef idx="0">
            <a:schemeClr val="accent1"/>
          </a:effectRef>
          <a:fontRef idx="minor">
            <a:schemeClr val="tx1"/>
          </a:fontRef>
        </xdr:style>
      </xdr:cxnSp>
      <xdr:sp macro="" textlink="">
        <xdr:nvSpPr>
          <xdr:cNvPr id="3224" name="Rectangle 3223">
            <a:extLst>
              <a:ext uri="{FF2B5EF4-FFF2-40B4-BE49-F238E27FC236}">
                <a16:creationId xmlns:a16="http://schemas.microsoft.com/office/drawing/2014/main" id="{554A406A-6BFC-68FE-C2DE-43C2B2D65527}"/>
              </a:ext>
            </a:extLst>
          </xdr:cNvPr>
          <xdr:cNvSpPr/>
        </xdr:nvSpPr>
        <xdr:spPr>
          <a:xfrm>
            <a:off x="804863" y="16430626"/>
            <a:ext cx="652463" cy="190500"/>
          </a:xfrm>
          <a:prstGeom prst="rect">
            <a:avLst/>
          </a:prstGeom>
          <a:blipFill>
            <a:blip xmlns:r="http://schemas.openxmlformats.org/officeDocument/2006/relationships" r:embed="rId1"/>
            <a:tile tx="0" ty="0" sx="100000" sy="100000" flip="none" algn="tl"/>
          </a:blip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cxnSp macro="">
        <xdr:nvCxnSpPr>
          <xdr:cNvPr id="3225" name="Straight Connector 3224">
            <a:extLst>
              <a:ext uri="{FF2B5EF4-FFF2-40B4-BE49-F238E27FC236}">
                <a16:creationId xmlns:a16="http://schemas.microsoft.com/office/drawing/2014/main" id="{E6A3B45D-AA78-D3B3-49A7-0C1E1ADDF57F}"/>
              </a:ext>
            </a:extLst>
          </xdr:cNvPr>
          <xdr:cNvCxnSpPr/>
        </xdr:nvCxnSpPr>
        <xdr:spPr>
          <a:xfrm>
            <a:off x="809625" y="16325846"/>
            <a:ext cx="0" cy="414341"/>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3226" name="Rectangle 3225">
            <a:extLst>
              <a:ext uri="{FF2B5EF4-FFF2-40B4-BE49-F238E27FC236}">
                <a16:creationId xmlns:a16="http://schemas.microsoft.com/office/drawing/2014/main" id="{C1333DB8-3E17-747F-67D6-7F1DD8A3E2BE}"/>
              </a:ext>
            </a:extLst>
          </xdr:cNvPr>
          <xdr:cNvSpPr/>
        </xdr:nvSpPr>
        <xdr:spPr>
          <a:xfrm rot="16200000">
            <a:off x="1475186" y="17060465"/>
            <a:ext cx="607219" cy="190500"/>
          </a:xfrm>
          <a:prstGeom prst="rect">
            <a:avLst/>
          </a:prstGeom>
          <a:blipFill>
            <a:blip xmlns:r="http://schemas.openxmlformats.org/officeDocument/2006/relationships" r:embed="rId1"/>
            <a:tile tx="0" ty="0" sx="100000" sy="100000" flip="none" algn="tl"/>
          </a:blip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cxnSp macro="">
        <xdr:nvCxnSpPr>
          <xdr:cNvPr id="3227" name="Straight Connector 3226">
            <a:extLst>
              <a:ext uri="{FF2B5EF4-FFF2-40B4-BE49-F238E27FC236}">
                <a16:creationId xmlns:a16="http://schemas.microsoft.com/office/drawing/2014/main" id="{B223444E-5FF1-0A46-3AC1-1D78424DBB77}"/>
              </a:ext>
            </a:extLst>
          </xdr:cNvPr>
          <xdr:cNvCxnSpPr/>
        </xdr:nvCxnSpPr>
        <xdr:spPr>
          <a:xfrm>
            <a:off x="1581151" y="17459325"/>
            <a:ext cx="409575" cy="0"/>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3228" name="Straight Connector 3227">
            <a:extLst>
              <a:ext uri="{FF2B5EF4-FFF2-40B4-BE49-F238E27FC236}">
                <a16:creationId xmlns:a16="http://schemas.microsoft.com/office/drawing/2014/main" id="{889439B6-D7A6-6328-C568-0BF1460E0977}"/>
              </a:ext>
            </a:extLst>
          </xdr:cNvPr>
          <xdr:cNvCxnSpPr/>
        </xdr:nvCxnSpPr>
        <xdr:spPr>
          <a:xfrm>
            <a:off x="1619252" y="17668875"/>
            <a:ext cx="319086"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3229" name="Straight Connector 3228">
            <a:extLst>
              <a:ext uri="{FF2B5EF4-FFF2-40B4-BE49-F238E27FC236}">
                <a16:creationId xmlns:a16="http://schemas.microsoft.com/office/drawing/2014/main" id="{63B6FB85-7D2B-B6F1-87D6-B8B64D5AAE64}"/>
              </a:ext>
            </a:extLst>
          </xdr:cNvPr>
          <xdr:cNvCxnSpPr/>
        </xdr:nvCxnSpPr>
        <xdr:spPr>
          <a:xfrm>
            <a:off x="1685926" y="17492664"/>
            <a:ext cx="0" cy="24765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3230" name="Straight Connector 3229">
            <a:extLst>
              <a:ext uri="{FF2B5EF4-FFF2-40B4-BE49-F238E27FC236}">
                <a16:creationId xmlns:a16="http://schemas.microsoft.com/office/drawing/2014/main" id="{371C7C8A-608A-BAD6-9CE1-73EBCB9EC063}"/>
              </a:ext>
            </a:extLst>
          </xdr:cNvPr>
          <xdr:cNvCxnSpPr/>
        </xdr:nvCxnSpPr>
        <xdr:spPr>
          <a:xfrm flipH="1">
            <a:off x="1647826" y="17630775"/>
            <a:ext cx="76200" cy="762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3231" name="Straight Connector 3230">
            <a:extLst>
              <a:ext uri="{FF2B5EF4-FFF2-40B4-BE49-F238E27FC236}">
                <a16:creationId xmlns:a16="http://schemas.microsoft.com/office/drawing/2014/main" id="{A2D54841-4FDC-3EE1-1E6B-47E3D227CCC8}"/>
              </a:ext>
            </a:extLst>
          </xdr:cNvPr>
          <xdr:cNvCxnSpPr/>
        </xdr:nvCxnSpPr>
        <xdr:spPr>
          <a:xfrm>
            <a:off x="1876426" y="17492669"/>
            <a:ext cx="0" cy="24765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3232" name="Straight Connector 3231">
            <a:extLst>
              <a:ext uri="{FF2B5EF4-FFF2-40B4-BE49-F238E27FC236}">
                <a16:creationId xmlns:a16="http://schemas.microsoft.com/office/drawing/2014/main" id="{A6488BF7-596B-ADA7-6973-F9CEBE6B58D0}"/>
              </a:ext>
            </a:extLst>
          </xdr:cNvPr>
          <xdr:cNvCxnSpPr/>
        </xdr:nvCxnSpPr>
        <xdr:spPr>
          <a:xfrm flipH="1">
            <a:off x="1838326" y="17630780"/>
            <a:ext cx="76200" cy="76200"/>
          </a:xfrm>
          <a:prstGeom prst="line">
            <a:avLst/>
          </a:prstGeom>
        </xdr:spPr>
        <xdr:style>
          <a:lnRef idx="1">
            <a:schemeClr val="accent1"/>
          </a:lnRef>
          <a:fillRef idx="0">
            <a:schemeClr val="accent1"/>
          </a:fillRef>
          <a:effectRef idx="0">
            <a:schemeClr val="accent1"/>
          </a:effectRef>
          <a:fontRef idx="minor">
            <a:schemeClr val="tx1"/>
          </a:fontRef>
        </xdr:style>
      </xdr:cxnSp>
      <xdr:sp macro="" textlink="">
        <xdr:nvSpPr>
          <xdr:cNvPr id="3233" name="Freeform: Shape 3232">
            <a:extLst>
              <a:ext uri="{FF2B5EF4-FFF2-40B4-BE49-F238E27FC236}">
                <a16:creationId xmlns:a16="http://schemas.microsoft.com/office/drawing/2014/main" id="{A5C115B1-8D8E-AF8C-8BB6-900BB050DA00}"/>
              </a:ext>
            </a:extLst>
          </xdr:cNvPr>
          <xdr:cNvSpPr/>
        </xdr:nvSpPr>
        <xdr:spPr>
          <a:xfrm>
            <a:off x="1028700" y="15954375"/>
            <a:ext cx="1519237" cy="261937"/>
          </a:xfrm>
          <a:custGeom>
            <a:avLst/>
            <a:gdLst>
              <a:gd name="connsiteX0" fmla="*/ 0 w 1519237"/>
              <a:gd name="connsiteY0" fmla="*/ 261937 h 261937"/>
              <a:gd name="connsiteX1" fmla="*/ 0 w 1519237"/>
              <a:gd name="connsiteY1" fmla="*/ 0 h 261937"/>
              <a:gd name="connsiteX2" fmla="*/ 1519237 w 1519237"/>
              <a:gd name="connsiteY2" fmla="*/ 0 h 261937"/>
              <a:gd name="connsiteX3" fmla="*/ 1519237 w 1519237"/>
              <a:gd name="connsiteY3" fmla="*/ 257175 h 261937"/>
            </a:gdLst>
            <a:ahLst/>
            <a:cxnLst>
              <a:cxn ang="0">
                <a:pos x="connsiteX0" y="connsiteY0"/>
              </a:cxn>
              <a:cxn ang="0">
                <a:pos x="connsiteX1" y="connsiteY1"/>
              </a:cxn>
              <a:cxn ang="0">
                <a:pos x="connsiteX2" y="connsiteY2"/>
              </a:cxn>
              <a:cxn ang="0">
                <a:pos x="connsiteX3" y="connsiteY3"/>
              </a:cxn>
            </a:cxnLst>
            <a:rect l="l" t="t" r="r" b="b"/>
            <a:pathLst>
              <a:path w="1519237" h="261937">
                <a:moveTo>
                  <a:pt x="0" y="261937"/>
                </a:moveTo>
                <a:lnTo>
                  <a:pt x="0" y="0"/>
                </a:lnTo>
                <a:lnTo>
                  <a:pt x="1519237" y="0"/>
                </a:lnTo>
                <a:lnTo>
                  <a:pt x="1519237" y="257175"/>
                </a:lnTo>
              </a:path>
            </a:pathLst>
          </a:cu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kern="1200"/>
          </a:p>
        </xdr:txBody>
      </xdr:sp>
      <xdr:sp macro="" textlink="">
        <xdr:nvSpPr>
          <xdr:cNvPr id="3234" name="Freeform: Shape 3233">
            <a:extLst>
              <a:ext uri="{FF2B5EF4-FFF2-40B4-BE49-F238E27FC236}">
                <a16:creationId xmlns:a16="http://schemas.microsoft.com/office/drawing/2014/main" id="{EE5C03AD-726E-D478-D2AE-A6C8A28D3D3B}"/>
              </a:ext>
            </a:extLst>
          </xdr:cNvPr>
          <xdr:cNvSpPr/>
        </xdr:nvSpPr>
        <xdr:spPr>
          <a:xfrm rot="5400000">
            <a:off x="1524000" y="16397287"/>
            <a:ext cx="1519237" cy="261937"/>
          </a:xfrm>
          <a:custGeom>
            <a:avLst/>
            <a:gdLst>
              <a:gd name="connsiteX0" fmla="*/ 0 w 1519237"/>
              <a:gd name="connsiteY0" fmla="*/ 261937 h 261937"/>
              <a:gd name="connsiteX1" fmla="*/ 0 w 1519237"/>
              <a:gd name="connsiteY1" fmla="*/ 0 h 261937"/>
              <a:gd name="connsiteX2" fmla="*/ 1519237 w 1519237"/>
              <a:gd name="connsiteY2" fmla="*/ 0 h 261937"/>
              <a:gd name="connsiteX3" fmla="*/ 1519237 w 1519237"/>
              <a:gd name="connsiteY3" fmla="*/ 257175 h 261937"/>
            </a:gdLst>
            <a:ahLst/>
            <a:cxnLst>
              <a:cxn ang="0">
                <a:pos x="connsiteX0" y="connsiteY0"/>
              </a:cxn>
              <a:cxn ang="0">
                <a:pos x="connsiteX1" y="connsiteY1"/>
              </a:cxn>
              <a:cxn ang="0">
                <a:pos x="connsiteX2" y="connsiteY2"/>
              </a:cxn>
              <a:cxn ang="0">
                <a:pos x="connsiteX3" y="connsiteY3"/>
              </a:cxn>
            </a:cxnLst>
            <a:rect l="l" t="t" r="r" b="b"/>
            <a:pathLst>
              <a:path w="1519237" h="261937">
                <a:moveTo>
                  <a:pt x="0" y="261937"/>
                </a:moveTo>
                <a:lnTo>
                  <a:pt x="0" y="0"/>
                </a:lnTo>
                <a:lnTo>
                  <a:pt x="1519237" y="0"/>
                </a:lnTo>
                <a:lnTo>
                  <a:pt x="1519237" y="257175"/>
                </a:lnTo>
              </a:path>
            </a:pathLst>
          </a:cu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kern="1200"/>
          </a:p>
        </xdr:txBody>
      </xdr:sp>
    </xdr:grpSp>
    <xdr:clientData/>
  </xdr:twoCellAnchor>
  <xdr:twoCellAnchor>
    <xdr:from>
      <xdr:col>73</xdr:col>
      <xdr:colOff>1</xdr:colOff>
      <xdr:row>280</xdr:row>
      <xdr:rowOff>119060</xdr:rowOff>
    </xdr:from>
    <xdr:to>
      <xdr:col>76</xdr:col>
      <xdr:colOff>28576</xdr:colOff>
      <xdr:row>285</xdr:row>
      <xdr:rowOff>4760</xdr:rowOff>
    </xdr:to>
    <xdr:grpSp>
      <xdr:nvGrpSpPr>
        <xdr:cNvPr id="3237" name="Group 3236">
          <a:extLst>
            <a:ext uri="{FF2B5EF4-FFF2-40B4-BE49-F238E27FC236}">
              <a16:creationId xmlns:a16="http://schemas.microsoft.com/office/drawing/2014/main" id="{5BCE9B36-D0C7-4AEB-AA17-4094E2646063}"/>
            </a:ext>
          </a:extLst>
        </xdr:cNvPr>
        <xdr:cNvGrpSpPr/>
      </xdr:nvGrpSpPr>
      <xdr:grpSpPr>
        <a:xfrm>
          <a:off x="11820526" y="40981310"/>
          <a:ext cx="514350" cy="619125"/>
          <a:chOff x="11820526" y="13644560"/>
          <a:chExt cx="514350" cy="600075"/>
        </a:xfrm>
      </xdr:grpSpPr>
      <xdr:cxnSp macro="">
        <xdr:nvCxnSpPr>
          <xdr:cNvPr id="3238" name="Straight Arrow Connector 3237">
            <a:extLst>
              <a:ext uri="{FF2B5EF4-FFF2-40B4-BE49-F238E27FC236}">
                <a16:creationId xmlns:a16="http://schemas.microsoft.com/office/drawing/2014/main" id="{05B68C8B-B90A-F733-4128-3DFB78B5609F}"/>
              </a:ext>
            </a:extLst>
          </xdr:cNvPr>
          <xdr:cNvCxnSpPr/>
        </xdr:nvCxnSpPr>
        <xdr:spPr>
          <a:xfrm flipV="1">
            <a:off x="11820527" y="13644560"/>
            <a:ext cx="0" cy="60007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239" name="Straight Arrow Connector 3238">
            <a:extLst>
              <a:ext uri="{FF2B5EF4-FFF2-40B4-BE49-F238E27FC236}">
                <a16:creationId xmlns:a16="http://schemas.microsoft.com/office/drawing/2014/main" id="{50F6CB3B-B3E7-5E16-23D7-91E2DDFD68E5}"/>
              </a:ext>
            </a:extLst>
          </xdr:cNvPr>
          <xdr:cNvCxnSpPr/>
        </xdr:nvCxnSpPr>
        <xdr:spPr>
          <a:xfrm>
            <a:off x="11820526" y="14239872"/>
            <a:ext cx="51435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46</xdr:col>
      <xdr:colOff>114300</xdr:colOff>
      <xdr:row>238</xdr:row>
      <xdr:rowOff>114300</xdr:rowOff>
    </xdr:from>
    <xdr:to>
      <xdr:col>67</xdr:col>
      <xdr:colOff>3176</xdr:colOff>
      <xdr:row>250</xdr:row>
      <xdr:rowOff>92075</xdr:rowOff>
    </xdr:to>
    <xdr:grpSp>
      <xdr:nvGrpSpPr>
        <xdr:cNvPr id="3240" name="Group 3239">
          <a:extLst>
            <a:ext uri="{FF2B5EF4-FFF2-40B4-BE49-F238E27FC236}">
              <a16:creationId xmlns:a16="http://schemas.microsoft.com/office/drawing/2014/main" id="{231CFB40-F6EF-4880-912B-3208E8B53368}"/>
            </a:ext>
          </a:extLst>
        </xdr:cNvPr>
        <xdr:cNvGrpSpPr/>
      </xdr:nvGrpSpPr>
      <xdr:grpSpPr>
        <a:xfrm>
          <a:off x="7562850" y="34975800"/>
          <a:ext cx="3289301" cy="1692275"/>
          <a:chOff x="8582025" y="4667250"/>
          <a:chExt cx="3289301" cy="1692275"/>
        </a:xfrm>
      </xdr:grpSpPr>
      <xdr:sp macro="" textlink="">
        <xdr:nvSpPr>
          <xdr:cNvPr id="3241" name="Rectangle 3240">
            <a:extLst>
              <a:ext uri="{FF2B5EF4-FFF2-40B4-BE49-F238E27FC236}">
                <a16:creationId xmlns:a16="http://schemas.microsoft.com/office/drawing/2014/main" id="{A78D1AFE-DD39-A703-BD68-C8504C6AE41F}"/>
              </a:ext>
            </a:extLst>
          </xdr:cNvPr>
          <xdr:cNvSpPr/>
        </xdr:nvSpPr>
        <xdr:spPr>
          <a:xfrm>
            <a:off x="8869363" y="5529264"/>
            <a:ext cx="1771650" cy="138112"/>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kern="1200"/>
          </a:p>
        </xdr:txBody>
      </xdr:sp>
      <xdr:sp macro="" textlink="">
        <xdr:nvSpPr>
          <xdr:cNvPr id="3242" name="Rectangle 3241">
            <a:extLst>
              <a:ext uri="{FF2B5EF4-FFF2-40B4-BE49-F238E27FC236}">
                <a16:creationId xmlns:a16="http://schemas.microsoft.com/office/drawing/2014/main" id="{F212E0D4-B2C3-0503-5B41-E626CD4508A1}"/>
              </a:ext>
            </a:extLst>
          </xdr:cNvPr>
          <xdr:cNvSpPr/>
        </xdr:nvSpPr>
        <xdr:spPr>
          <a:xfrm>
            <a:off x="9355138" y="4667251"/>
            <a:ext cx="800100" cy="428624"/>
          </a:xfrm>
          <a:prstGeom prst="rect">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cxnSp macro="">
        <xdr:nvCxnSpPr>
          <xdr:cNvPr id="3243" name="Straight Connector 3242">
            <a:extLst>
              <a:ext uri="{FF2B5EF4-FFF2-40B4-BE49-F238E27FC236}">
                <a16:creationId xmlns:a16="http://schemas.microsoft.com/office/drawing/2014/main" id="{9048756B-C24A-69EB-BDB4-E58DDB159D83}"/>
              </a:ext>
            </a:extLst>
          </xdr:cNvPr>
          <xdr:cNvCxnSpPr/>
        </xdr:nvCxnSpPr>
        <xdr:spPr>
          <a:xfrm>
            <a:off x="9464679" y="4670425"/>
            <a:ext cx="0" cy="4254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244" name="Straight Connector 3243">
            <a:extLst>
              <a:ext uri="{FF2B5EF4-FFF2-40B4-BE49-F238E27FC236}">
                <a16:creationId xmlns:a16="http://schemas.microsoft.com/office/drawing/2014/main" id="{3FA96486-6559-4381-EF0D-809AFD36EE94}"/>
              </a:ext>
            </a:extLst>
          </xdr:cNvPr>
          <xdr:cNvCxnSpPr/>
        </xdr:nvCxnSpPr>
        <xdr:spPr>
          <a:xfrm>
            <a:off x="10050460" y="4667250"/>
            <a:ext cx="0" cy="43338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3245" name="Freeform: Shape 3244">
            <a:extLst>
              <a:ext uri="{FF2B5EF4-FFF2-40B4-BE49-F238E27FC236}">
                <a16:creationId xmlns:a16="http://schemas.microsoft.com/office/drawing/2014/main" id="{2253FF27-48C1-6F8F-CBEA-3370E6DB2118}"/>
              </a:ext>
            </a:extLst>
          </xdr:cNvPr>
          <xdr:cNvSpPr/>
        </xdr:nvSpPr>
        <xdr:spPr>
          <a:xfrm>
            <a:off x="8993188" y="5095875"/>
            <a:ext cx="1633537" cy="433388"/>
          </a:xfrm>
          <a:custGeom>
            <a:avLst/>
            <a:gdLst>
              <a:gd name="connsiteX0" fmla="*/ 309562 w 1633537"/>
              <a:gd name="connsiteY0" fmla="*/ 0 h 433388"/>
              <a:gd name="connsiteX1" fmla="*/ 1223962 w 1633537"/>
              <a:gd name="connsiteY1" fmla="*/ 0 h 433388"/>
              <a:gd name="connsiteX2" fmla="*/ 1538287 w 1633537"/>
              <a:gd name="connsiteY2" fmla="*/ 147638 h 433388"/>
              <a:gd name="connsiteX3" fmla="*/ 1538287 w 1633537"/>
              <a:gd name="connsiteY3" fmla="*/ 433388 h 433388"/>
              <a:gd name="connsiteX4" fmla="*/ 1633537 w 1633537"/>
              <a:gd name="connsiteY4" fmla="*/ 433388 h 433388"/>
              <a:gd name="connsiteX5" fmla="*/ 0 w 1633537"/>
              <a:gd name="connsiteY5" fmla="*/ 433388 h 433388"/>
              <a:gd name="connsiteX6" fmla="*/ 0 w 1633537"/>
              <a:gd name="connsiteY6" fmla="*/ 142875 h 433388"/>
              <a:gd name="connsiteX7" fmla="*/ 309562 w 1633537"/>
              <a:gd name="connsiteY7" fmla="*/ 0 h 43338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1633537" h="433388">
                <a:moveTo>
                  <a:pt x="309562" y="0"/>
                </a:moveTo>
                <a:lnTo>
                  <a:pt x="1223962" y="0"/>
                </a:lnTo>
                <a:lnTo>
                  <a:pt x="1538287" y="147638"/>
                </a:lnTo>
                <a:lnTo>
                  <a:pt x="1538287" y="433388"/>
                </a:lnTo>
                <a:lnTo>
                  <a:pt x="1633537" y="433388"/>
                </a:lnTo>
                <a:lnTo>
                  <a:pt x="0" y="433388"/>
                </a:lnTo>
                <a:lnTo>
                  <a:pt x="0" y="142875"/>
                </a:lnTo>
                <a:lnTo>
                  <a:pt x="309562" y="0"/>
                </a:lnTo>
                <a:close/>
              </a:path>
            </a:pathLst>
          </a:cu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cxnSp macro="">
        <xdr:nvCxnSpPr>
          <xdr:cNvPr id="3246" name="Straight Connector 3245">
            <a:extLst>
              <a:ext uri="{FF2B5EF4-FFF2-40B4-BE49-F238E27FC236}">
                <a16:creationId xmlns:a16="http://schemas.microsoft.com/office/drawing/2014/main" id="{CE8B9A1D-0B77-27F6-1F6D-830BA11CFB44}"/>
              </a:ext>
            </a:extLst>
          </xdr:cNvPr>
          <xdr:cNvCxnSpPr/>
        </xdr:nvCxnSpPr>
        <xdr:spPr>
          <a:xfrm>
            <a:off x="9464679" y="5100646"/>
            <a:ext cx="0" cy="423862"/>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3247" name="Straight Connector 3246">
            <a:extLst>
              <a:ext uri="{FF2B5EF4-FFF2-40B4-BE49-F238E27FC236}">
                <a16:creationId xmlns:a16="http://schemas.microsoft.com/office/drawing/2014/main" id="{9257B90D-E742-5F80-7361-CCF6FA42C5E7}"/>
              </a:ext>
            </a:extLst>
          </xdr:cNvPr>
          <xdr:cNvCxnSpPr/>
        </xdr:nvCxnSpPr>
        <xdr:spPr>
          <a:xfrm>
            <a:off x="10050460" y="5100647"/>
            <a:ext cx="0" cy="428624"/>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3248" name="Straight Connector 3247">
            <a:extLst>
              <a:ext uri="{FF2B5EF4-FFF2-40B4-BE49-F238E27FC236}">
                <a16:creationId xmlns:a16="http://schemas.microsoft.com/office/drawing/2014/main" id="{98E06BED-7320-EE14-6479-FD6195460422}"/>
              </a:ext>
            </a:extLst>
          </xdr:cNvPr>
          <xdr:cNvCxnSpPr/>
        </xdr:nvCxnSpPr>
        <xdr:spPr>
          <a:xfrm>
            <a:off x="9355142" y="5105408"/>
            <a:ext cx="0" cy="423862"/>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3249" name="Straight Connector 3248">
            <a:extLst>
              <a:ext uri="{FF2B5EF4-FFF2-40B4-BE49-F238E27FC236}">
                <a16:creationId xmlns:a16="http://schemas.microsoft.com/office/drawing/2014/main" id="{17E72171-0B77-4F97-6C84-15E41A2F04F5}"/>
              </a:ext>
            </a:extLst>
          </xdr:cNvPr>
          <xdr:cNvCxnSpPr/>
        </xdr:nvCxnSpPr>
        <xdr:spPr>
          <a:xfrm>
            <a:off x="10155241" y="5105413"/>
            <a:ext cx="0" cy="423862"/>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grpSp>
        <xdr:nvGrpSpPr>
          <xdr:cNvPr id="3250" name="Group 3249">
            <a:extLst>
              <a:ext uri="{FF2B5EF4-FFF2-40B4-BE49-F238E27FC236}">
                <a16:creationId xmlns:a16="http://schemas.microsoft.com/office/drawing/2014/main" id="{D147771E-B2AC-997C-6453-416C896B8ECB}"/>
              </a:ext>
            </a:extLst>
          </xdr:cNvPr>
          <xdr:cNvGrpSpPr/>
        </xdr:nvGrpSpPr>
        <xdr:grpSpPr>
          <a:xfrm>
            <a:off x="9559925" y="5597525"/>
            <a:ext cx="403225" cy="403225"/>
            <a:chOff x="2800350" y="110067725"/>
            <a:chExt cx="403225" cy="403225"/>
          </a:xfrm>
        </xdr:grpSpPr>
        <xdr:sp macro="" textlink="">
          <xdr:nvSpPr>
            <xdr:cNvPr id="3269" name="Arc 3268">
              <a:extLst>
                <a:ext uri="{FF2B5EF4-FFF2-40B4-BE49-F238E27FC236}">
                  <a16:creationId xmlns:a16="http://schemas.microsoft.com/office/drawing/2014/main" id="{03786295-BC76-6289-064E-71C2A66BEA0D}"/>
                </a:ext>
              </a:extLst>
            </xdr:cNvPr>
            <xdr:cNvSpPr/>
          </xdr:nvSpPr>
          <xdr:spPr>
            <a:xfrm rot="5400000">
              <a:off x="3070225" y="110067725"/>
              <a:ext cx="133350" cy="133350"/>
            </a:xfrm>
            <a:prstGeom prst="arc">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tr-TR" sz="1100" kern="1200"/>
            </a:p>
          </xdr:txBody>
        </xdr:sp>
        <xdr:cxnSp macro="">
          <xdr:nvCxnSpPr>
            <xdr:cNvPr id="3270" name="Straight Connector 3269">
              <a:extLst>
                <a:ext uri="{FF2B5EF4-FFF2-40B4-BE49-F238E27FC236}">
                  <a16:creationId xmlns:a16="http://schemas.microsoft.com/office/drawing/2014/main" id="{0A5F50CD-5C46-61EF-66EC-166B8E148165}"/>
                </a:ext>
              </a:extLst>
            </xdr:cNvPr>
            <xdr:cNvCxnSpPr/>
          </xdr:nvCxnSpPr>
          <xdr:spPr>
            <a:xfrm>
              <a:off x="2997200" y="110199488"/>
              <a:ext cx="14446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271" name="Straight Connector 3270">
              <a:extLst>
                <a:ext uri="{FF2B5EF4-FFF2-40B4-BE49-F238E27FC236}">
                  <a16:creationId xmlns:a16="http://schemas.microsoft.com/office/drawing/2014/main" id="{82BAEC00-C710-7880-AD02-8276CAD79CF3}"/>
                </a:ext>
              </a:extLst>
            </xdr:cNvPr>
            <xdr:cNvCxnSpPr/>
          </xdr:nvCxnSpPr>
          <xdr:spPr>
            <a:xfrm rot="5400000">
              <a:off x="2701925" y="110305850"/>
              <a:ext cx="3302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272" name="Straight Connector 3271">
              <a:extLst>
                <a:ext uri="{FF2B5EF4-FFF2-40B4-BE49-F238E27FC236}">
                  <a16:creationId xmlns:a16="http://schemas.microsoft.com/office/drawing/2014/main" id="{BEC8A38A-6733-E030-46CC-BED608566FD3}"/>
                </a:ext>
              </a:extLst>
            </xdr:cNvPr>
            <xdr:cNvCxnSpPr/>
          </xdr:nvCxnSpPr>
          <xdr:spPr>
            <a:xfrm>
              <a:off x="2870200" y="110137575"/>
              <a:ext cx="3302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3273" name="Arc 3272">
              <a:extLst>
                <a:ext uri="{FF2B5EF4-FFF2-40B4-BE49-F238E27FC236}">
                  <a16:creationId xmlns:a16="http://schemas.microsoft.com/office/drawing/2014/main" id="{FAE80128-F9CC-6F90-399F-7FBFB06F2FE4}"/>
                </a:ext>
              </a:extLst>
            </xdr:cNvPr>
            <xdr:cNvSpPr/>
          </xdr:nvSpPr>
          <xdr:spPr>
            <a:xfrm rot="5400000">
              <a:off x="2800350" y="110334425"/>
              <a:ext cx="133350" cy="133350"/>
            </a:xfrm>
            <a:prstGeom prst="arc">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tr-TR" sz="1100" kern="1200"/>
            </a:p>
          </xdr:txBody>
        </xdr:sp>
        <xdr:cxnSp macro="">
          <xdr:nvCxnSpPr>
            <xdr:cNvPr id="3274" name="Straight Connector 3273">
              <a:extLst>
                <a:ext uri="{FF2B5EF4-FFF2-40B4-BE49-F238E27FC236}">
                  <a16:creationId xmlns:a16="http://schemas.microsoft.com/office/drawing/2014/main" id="{8760B43D-2C32-0826-01CF-7CB76717B929}"/>
                </a:ext>
              </a:extLst>
            </xdr:cNvPr>
            <xdr:cNvCxnSpPr/>
          </xdr:nvCxnSpPr>
          <xdr:spPr>
            <a:xfrm>
              <a:off x="2934494" y="110264575"/>
              <a:ext cx="0" cy="13731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3275" name="Arc 3274">
              <a:extLst>
                <a:ext uri="{FF2B5EF4-FFF2-40B4-BE49-F238E27FC236}">
                  <a16:creationId xmlns:a16="http://schemas.microsoft.com/office/drawing/2014/main" id="{CF2F85FA-E61B-2359-F5D1-C6EA4F6CFB97}"/>
                </a:ext>
              </a:extLst>
            </xdr:cNvPr>
            <xdr:cNvSpPr/>
          </xdr:nvSpPr>
          <xdr:spPr>
            <a:xfrm rot="16200000">
              <a:off x="2933700" y="110201075"/>
              <a:ext cx="133350" cy="133350"/>
            </a:xfrm>
            <a:prstGeom prst="arc">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tr-TR" sz="1100" kern="1200"/>
            </a:p>
          </xdr:txBody>
        </xdr:sp>
      </xdr:grpSp>
      <xdr:sp macro="" textlink="">
        <xdr:nvSpPr>
          <xdr:cNvPr id="3251" name="Freeform: Shape 3250">
            <a:extLst>
              <a:ext uri="{FF2B5EF4-FFF2-40B4-BE49-F238E27FC236}">
                <a16:creationId xmlns:a16="http://schemas.microsoft.com/office/drawing/2014/main" id="{4EEE1644-CC4C-F6EC-9D4D-FB5CD4724299}"/>
              </a:ext>
            </a:extLst>
          </xdr:cNvPr>
          <xdr:cNvSpPr/>
        </xdr:nvSpPr>
        <xdr:spPr>
          <a:xfrm>
            <a:off x="8582025" y="5810250"/>
            <a:ext cx="495300" cy="292100"/>
          </a:xfrm>
          <a:custGeom>
            <a:avLst/>
            <a:gdLst>
              <a:gd name="connsiteX0" fmla="*/ 0 w 495300"/>
              <a:gd name="connsiteY0" fmla="*/ 0 h 292100"/>
              <a:gd name="connsiteX1" fmla="*/ 495300 w 495300"/>
              <a:gd name="connsiteY1" fmla="*/ 0 h 292100"/>
              <a:gd name="connsiteX2" fmla="*/ 495300 w 495300"/>
              <a:gd name="connsiteY2" fmla="*/ 292100 h 292100"/>
            </a:gdLst>
            <a:ahLst/>
            <a:cxnLst>
              <a:cxn ang="0">
                <a:pos x="connsiteX0" y="connsiteY0"/>
              </a:cxn>
              <a:cxn ang="0">
                <a:pos x="connsiteX1" y="connsiteY1"/>
              </a:cxn>
              <a:cxn ang="0">
                <a:pos x="connsiteX2" y="connsiteY2"/>
              </a:cxn>
            </a:cxnLst>
            <a:rect l="l" t="t" r="r" b="b"/>
            <a:pathLst>
              <a:path w="495300" h="292100">
                <a:moveTo>
                  <a:pt x="0" y="0"/>
                </a:moveTo>
                <a:lnTo>
                  <a:pt x="495300" y="0"/>
                </a:lnTo>
                <a:lnTo>
                  <a:pt x="495300" y="292100"/>
                </a:lnTo>
              </a:path>
            </a:pathLst>
          </a:custGeom>
          <a:no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kern="1200"/>
          </a:p>
        </xdr:txBody>
      </xdr:sp>
      <xdr:sp macro="" textlink="">
        <xdr:nvSpPr>
          <xdr:cNvPr id="3252" name="Freeform: Shape 3251">
            <a:extLst>
              <a:ext uri="{FF2B5EF4-FFF2-40B4-BE49-F238E27FC236}">
                <a16:creationId xmlns:a16="http://schemas.microsoft.com/office/drawing/2014/main" id="{23573D49-684D-282A-C8D5-9445A72F0F2B}"/>
              </a:ext>
            </a:extLst>
          </xdr:cNvPr>
          <xdr:cNvSpPr/>
        </xdr:nvSpPr>
        <xdr:spPr>
          <a:xfrm>
            <a:off x="9255125" y="5810250"/>
            <a:ext cx="990600" cy="288925"/>
          </a:xfrm>
          <a:custGeom>
            <a:avLst/>
            <a:gdLst>
              <a:gd name="connsiteX0" fmla="*/ 0 w 990600"/>
              <a:gd name="connsiteY0" fmla="*/ 282575 h 288925"/>
              <a:gd name="connsiteX1" fmla="*/ 0 w 990600"/>
              <a:gd name="connsiteY1" fmla="*/ 0 h 288925"/>
              <a:gd name="connsiteX2" fmla="*/ 254000 w 990600"/>
              <a:gd name="connsiteY2" fmla="*/ 0 h 288925"/>
              <a:gd name="connsiteX3" fmla="*/ 254000 w 990600"/>
              <a:gd name="connsiteY3" fmla="*/ 282575 h 288925"/>
              <a:gd name="connsiteX4" fmla="*/ 825500 w 990600"/>
              <a:gd name="connsiteY4" fmla="*/ 282575 h 288925"/>
              <a:gd name="connsiteX5" fmla="*/ 825500 w 990600"/>
              <a:gd name="connsiteY5" fmla="*/ 0 h 288925"/>
              <a:gd name="connsiteX6" fmla="*/ 990600 w 990600"/>
              <a:gd name="connsiteY6" fmla="*/ 0 h 288925"/>
              <a:gd name="connsiteX7" fmla="*/ 990600 w 990600"/>
              <a:gd name="connsiteY7" fmla="*/ 288925 h 2889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990600" h="288925">
                <a:moveTo>
                  <a:pt x="0" y="282575"/>
                </a:moveTo>
                <a:lnTo>
                  <a:pt x="0" y="0"/>
                </a:lnTo>
                <a:lnTo>
                  <a:pt x="254000" y="0"/>
                </a:lnTo>
                <a:lnTo>
                  <a:pt x="254000" y="282575"/>
                </a:lnTo>
                <a:lnTo>
                  <a:pt x="825500" y="282575"/>
                </a:lnTo>
                <a:lnTo>
                  <a:pt x="825500" y="0"/>
                </a:lnTo>
                <a:lnTo>
                  <a:pt x="990600" y="0"/>
                </a:lnTo>
                <a:lnTo>
                  <a:pt x="990600" y="288925"/>
                </a:lnTo>
              </a:path>
            </a:pathLst>
          </a:custGeom>
          <a:no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kern="1200"/>
          </a:p>
        </xdr:txBody>
      </xdr:sp>
      <xdr:sp macro="" textlink="">
        <xdr:nvSpPr>
          <xdr:cNvPr id="3253" name="Freeform: Shape 3252">
            <a:extLst>
              <a:ext uri="{FF2B5EF4-FFF2-40B4-BE49-F238E27FC236}">
                <a16:creationId xmlns:a16="http://schemas.microsoft.com/office/drawing/2014/main" id="{DDC03F3F-F8A5-1DBD-B734-4C274BF842D8}"/>
              </a:ext>
            </a:extLst>
          </xdr:cNvPr>
          <xdr:cNvSpPr/>
        </xdr:nvSpPr>
        <xdr:spPr>
          <a:xfrm>
            <a:off x="10429875" y="5810250"/>
            <a:ext cx="498475" cy="288925"/>
          </a:xfrm>
          <a:custGeom>
            <a:avLst/>
            <a:gdLst>
              <a:gd name="connsiteX0" fmla="*/ 498475 w 498475"/>
              <a:gd name="connsiteY0" fmla="*/ 0 h 288925"/>
              <a:gd name="connsiteX1" fmla="*/ 0 w 498475"/>
              <a:gd name="connsiteY1" fmla="*/ 0 h 288925"/>
              <a:gd name="connsiteX2" fmla="*/ 0 w 498475"/>
              <a:gd name="connsiteY2" fmla="*/ 288925 h 288925"/>
            </a:gdLst>
            <a:ahLst/>
            <a:cxnLst>
              <a:cxn ang="0">
                <a:pos x="connsiteX0" y="connsiteY0"/>
              </a:cxn>
              <a:cxn ang="0">
                <a:pos x="connsiteX1" y="connsiteY1"/>
              </a:cxn>
              <a:cxn ang="0">
                <a:pos x="connsiteX2" y="connsiteY2"/>
              </a:cxn>
            </a:cxnLst>
            <a:rect l="l" t="t" r="r" b="b"/>
            <a:pathLst>
              <a:path w="498475" h="288925">
                <a:moveTo>
                  <a:pt x="498475" y="0"/>
                </a:moveTo>
                <a:lnTo>
                  <a:pt x="0" y="0"/>
                </a:lnTo>
                <a:lnTo>
                  <a:pt x="0" y="288925"/>
                </a:lnTo>
              </a:path>
            </a:pathLst>
          </a:custGeom>
          <a:no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kern="1200"/>
          </a:p>
        </xdr:txBody>
      </xdr:sp>
      <xdr:cxnSp macro="">
        <xdr:nvCxnSpPr>
          <xdr:cNvPr id="3254" name="Straight Connector 3253">
            <a:extLst>
              <a:ext uri="{FF2B5EF4-FFF2-40B4-BE49-F238E27FC236}">
                <a16:creationId xmlns:a16="http://schemas.microsoft.com/office/drawing/2014/main" id="{F37C026F-34AA-AAEC-E1FF-F6F198F75550}"/>
              </a:ext>
            </a:extLst>
          </xdr:cNvPr>
          <xdr:cNvCxnSpPr/>
        </xdr:nvCxnSpPr>
        <xdr:spPr>
          <a:xfrm flipH="1">
            <a:off x="8734425" y="5664995"/>
            <a:ext cx="138113" cy="145255"/>
          </a:xfrm>
          <a:prstGeom prst="line">
            <a:avLst/>
          </a:prstGeom>
          <a:no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3255" name="Straight Connector 3254">
            <a:extLst>
              <a:ext uri="{FF2B5EF4-FFF2-40B4-BE49-F238E27FC236}">
                <a16:creationId xmlns:a16="http://schemas.microsoft.com/office/drawing/2014/main" id="{CC8A2B8C-301A-CD60-F1FF-1C996FB8EA0F}"/>
              </a:ext>
            </a:extLst>
          </xdr:cNvPr>
          <xdr:cNvCxnSpPr/>
        </xdr:nvCxnSpPr>
        <xdr:spPr>
          <a:xfrm flipH="1" flipV="1">
            <a:off x="10645775" y="5667375"/>
            <a:ext cx="133350" cy="142875"/>
          </a:xfrm>
          <a:prstGeom prst="line">
            <a:avLst/>
          </a:prstGeom>
          <a:no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cxnSp>
      <xdr:grpSp>
        <xdr:nvGrpSpPr>
          <xdr:cNvPr id="3256" name="Group 3255">
            <a:extLst>
              <a:ext uri="{FF2B5EF4-FFF2-40B4-BE49-F238E27FC236}">
                <a16:creationId xmlns:a16="http://schemas.microsoft.com/office/drawing/2014/main" id="{ED2B42DE-133D-E125-9658-A3F9F8FCB953}"/>
              </a:ext>
            </a:extLst>
          </xdr:cNvPr>
          <xdr:cNvGrpSpPr/>
        </xdr:nvGrpSpPr>
        <xdr:grpSpPr>
          <a:xfrm>
            <a:off x="9109075" y="5448300"/>
            <a:ext cx="117475" cy="673100"/>
            <a:chOff x="2355850" y="109918500"/>
            <a:chExt cx="117475" cy="673100"/>
          </a:xfrm>
        </xdr:grpSpPr>
        <xdr:cxnSp macro="">
          <xdr:nvCxnSpPr>
            <xdr:cNvPr id="3266" name="Straight Connector 3265">
              <a:extLst>
                <a:ext uri="{FF2B5EF4-FFF2-40B4-BE49-F238E27FC236}">
                  <a16:creationId xmlns:a16="http://schemas.microsoft.com/office/drawing/2014/main" id="{1FF4B889-4E63-CC5F-4CA9-0C9DEC0F2C76}"/>
                </a:ext>
              </a:extLst>
            </xdr:cNvPr>
            <xdr:cNvCxnSpPr/>
          </xdr:nvCxnSpPr>
          <xdr:spPr>
            <a:xfrm>
              <a:off x="2416175" y="109918500"/>
              <a:ext cx="0" cy="67310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3267" name="Straight Connector 3266">
              <a:extLst>
                <a:ext uri="{FF2B5EF4-FFF2-40B4-BE49-F238E27FC236}">
                  <a16:creationId xmlns:a16="http://schemas.microsoft.com/office/drawing/2014/main" id="{F34BBEDE-EEF7-AC7C-4830-7A1336852763}"/>
                </a:ext>
              </a:extLst>
            </xdr:cNvPr>
            <xdr:cNvCxnSpPr/>
          </xdr:nvCxnSpPr>
          <xdr:spPr>
            <a:xfrm flipH="1" flipV="1">
              <a:off x="2355850" y="109943900"/>
              <a:ext cx="57150" cy="5715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3268" name="Straight Connector 3267">
              <a:extLst>
                <a:ext uri="{FF2B5EF4-FFF2-40B4-BE49-F238E27FC236}">
                  <a16:creationId xmlns:a16="http://schemas.microsoft.com/office/drawing/2014/main" id="{97C776F1-FCB6-2A61-E465-62DFFA257D96}"/>
                </a:ext>
              </a:extLst>
            </xdr:cNvPr>
            <xdr:cNvCxnSpPr/>
          </xdr:nvCxnSpPr>
          <xdr:spPr>
            <a:xfrm flipV="1">
              <a:off x="2416175" y="109943900"/>
              <a:ext cx="57150" cy="5715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grpSp>
      <xdr:grpSp>
        <xdr:nvGrpSpPr>
          <xdr:cNvPr id="3257" name="Group 3256">
            <a:extLst>
              <a:ext uri="{FF2B5EF4-FFF2-40B4-BE49-F238E27FC236}">
                <a16:creationId xmlns:a16="http://schemas.microsoft.com/office/drawing/2014/main" id="{19908949-187E-ADF3-F796-6CE56DDF3A4C}"/>
              </a:ext>
            </a:extLst>
          </xdr:cNvPr>
          <xdr:cNvGrpSpPr/>
        </xdr:nvGrpSpPr>
        <xdr:grpSpPr>
          <a:xfrm>
            <a:off x="10277475" y="5448300"/>
            <a:ext cx="117475" cy="673100"/>
            <a:chOff x="2355850" y="109918500"/>
            <a:chExt cx="117475" cy="673100"/>
          </a:xfrm>
        </xdr:grpSpPr>
        <xdr:cxnSp macro="">
          <xdr:nvCxnSpPr>
            <xdr:cNvPr id="3263" name="Straight Connector 3262">
              <a:extLst>
                <a:ext uri="{FF2B5EF4-FFF2-40B4-BE49-F238E27FC236}">
                  <a16:creationId xmlns:a16="http://schemas.microsoft.com/office/drawing/2014/main" id="{7B86F4F9-7257-046B-47C8-C2DE4A647F66}"/>
                </a:ext>
              </a:extLst>
            </xdr:cNvPr>
            <xdr:cNvCxnSpPr/>
          </xdr:nvCxnSpPr>
          <xdr:spPr>
            <a:xfrm>
              <a:off x="2416175" y="109918500"/>
              <a:ext cx="0" cy="67310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3264" name="Straight Connector 3263">
              <a:extLst>
                <a:ext uri="{FF2B5EF4-FFF2-40B4-BE49-F238E27FC236}">
                  <a16:creationId xmlns:a16="http://schemas.microsoft.com/office/drawing/2014/main" id="{4FFE8FB7-E754-04C8-3A72-8A28879CC8FB}"/>
                </a:ext>
              </a:extLst>
            </xdr:cNvPr>
            <xdr:cNvCxnSpPr/>
          </xdr:nvCxnSpPr>
          <xdr:spPr>
            <a:xfrm flipH="1" flipV="1">
              <a:off x="2355850" y="109943900"/>
              <a:ext cx="57150" cy="5715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3265" name="Straight Connector 3264">
              <a:extLst>
                <a:ext uri="{FF2B5EF4-FFF2-40B4-BE49-F238E27FC236}">
                  <a16:creationId xmlns:a16="http://schemas.microsoft.com/office/drawing/2014/main" id="{EB7BC800-339B-298B-03B6-5AD9395FF16C}"/>
                </a:ext>
              </a:extLst>
            </xdr:cNvPr>
            <xdr:cNvCxnSpPr/>
          </xdr:nvCxnSpPr>
          <xdr:spPr>
            <a:xfrm flipV="1">
              <a:off x="2416175" y="109943900"/>
              <a:ext cx="57150" cy="5715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grpSp>
      <xdr:cxnSp macro="">
        <xdr:nvCxnSpPr>
          <xdr:cNvPr id="3258" name="Straight Connector 3257">
            <a:extLst>
              <a:ext uri="{FF2B5EF4-FFF2-40B4-BE49-F238E27FC236}">
                <a16:creationId xmlns:a16="http://schemas.microsoft.com/office/drawing/2014/main" id="{B21E5A38-8A62-4349-F57D-80342A3332B7}"/>
              </a:ext>
            </a:extLst>
          </xdr:cNvPr>
          <xdr:cNvCxnSpPr/>
        </xdr:nvCxnSpPr>
        <xdr:spPr>
          <a:xfrm>
            <a:off x="9696450" y="5857875"/>
            <a:ext cx="288925" cy="314325"/>
          </a:xfrm>
          <a:prstGeom prst="line">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3259" name="TextBox 3258">
            <a:extLst>
              <a:ext uri="{FF2B5EF4-FFF2-40B4-BE49-F238E27FC236}">
                <a16:creationId xmlns:a16="http://schemas.microsoft.com/office/drawing/2014/main" id="{FD4D7101-7B74-6B22-4972-45004A84B179}"/>
              </a:ext>
            </a:extLst>
          </xdr:cNvPr>
          <xdr:cNvSpPr txBox="1"/>
        </xdr:nvSpPr>
        <xdr:spPr>
          <a:xfrm>
            <a:off x="9626599" y="6061075"/>
            <a:ext cx="974726" cy="298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lang="tr-TR" sz="800" kern="1200">
                <a:latin typeface="Arial" panose="020B0604020202020204" pitchFamily="34" charset="0"/>
                <a:cs typeface="Arial" panose="020B0604020202020204" pitchFamily="34" charset="0"/>
              </a:rPr>
              <a:t>kayma kaması</a:t>
            </a:r>
          </a:p>
        </xdr:txBody>
      </xdr:sp>
      <xdr:cxnSp macro="">
        <xdr:nvCxnSpPr>
          <xdr:cNvPr id="3260" name="Straight Connector 3259">
            <a:extLst>
              <a:ext uri="{FF2B5EF4-FFF2-40B4-BE49-F238E27FC236}">
                <a16:creationId xmlns:a16="http://schemas.microsoft.com/office/drawing/2014/main" id="{730231A2-1683-D41E-A67C-36DD941AC79F}"/>
              </a:ext>
            </a:extLst>
          </xdr:cNvPr>
          <xdr:cNvCxnSpPr/>
        </xdr:nvCxnSpPr>
        <xdr:spPr>
          <a:xfrm>
            <a:off x="9264650" y="4667250"/>
            <a:ext cx="996950" cy="0"/>
          </a:xfrm>
          <a:prstGeom prst="line">
            <a:avLst/>
          </a:prstGeom>
          <a:ln w="1270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3261" name="TextBox 3260">
            <a:extLst>
              <a:ext uri="{FF2B5EF4-FFF2-40B4-BE49-F238E27FC236}">
                <a16:creationId xmlns:a16="http://schemas.microsoft.com/office/drawing/2014/main" id="{2514BD8A-12E4-E964-534D-933EB86F10DF}"/>
              </a:ext>
            </a:extLst>
          </xdr:cNvPr>
          <xdr:cNvSpPr txBox="1"/>
        </xdr:nvSpPr>
        <xdr:spPr>
          <a:xfrm>
            <a:off x="10506076" y="5248275"/>
            <a:ext cx="1365250" cy="298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lang="tr-TR" sz="800" kern="1200">
                <a:latin typeface="Arial" panose="020B0604020202020204" pitchFamily="34" charset="0"/>
                <a:cs typeface="Arial" panose="020B0604020202020204" pitchFamily="34" charset="0"/>
              </a:rPr>
              <a:t>kolon ayağı nervür </a:t>
            </a:r>
          </a:p>
        </xdr:txBody>
      </xdr:sp>
      <xdr:cxnSp macro="">
        <xdr:nvCxnSpPr>
          <xdr:cNvPr id="3262" name="Straight Connector 3261">
            <a:extLst>
              <a:ext uri="{FF2B5EF4-FFF2-40B4-BE49-F238E27FC236}">
                <a16:creationId xmlns:a16="http://schemas.microsoft.com/office/drawing/2014/main" id="{AD05CA11-0392-8BC1-0671-DBFBC55AE870}"/>
              </a:ext>
            </a:extLst>
          </xdr:cNvPr>
          <xdr:cNvCxnSpPr/>
        </xdr:nvCxnSpPr>
        <xdr:spPr>
          <a:xfrm>
            <a:off x="10334625" y="5334000"/>
            <a:ext cx="381000" cy="57150"/>
          </a:xfrm>
          <a:prstGeom prst="line">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34</xdr:col>
      <xdr:colOff>79375</xdr:colOff>
      <xdr:row>192</xdr:row>
      <xdr:rowOff>9525</xdr:rowOff>
    </xdr:from>
    <xdr:to>
      <xdr:col>66</xdr:col>
      <xdr:colOff>14288</xdr:colOff>
      <xdr:row>210</xdr:row>
      <xdr:rowOff>0</xdr:rowOff>
    </xdr:to>
    <xdr:grpSp>
      <xdr:nvGrpSpPr>
        <xdr:cNvPr id="2984" name="Group 2983">
          <a:extLst>
            <a:ext uri="{FF2B5EF4-FFF2-40B4-BE49-F238E27FC236}">
              <a16:creationId xmlns:a16="http://schemas.microsoft.com/office/drawing/2014/main" id="{C839C8BA-9A71-F71E-9AA2-0571C12BADBE}"/>
            </a:ext>
          </a:extLst>
        </xdr:cNvPr>
        <xdr:cNvGrpSpPr/>
      </xdr:nvGrpSpPr>
      <xdr:grpSpPr>
        <a:xfrm>
          <a:off x="5584825" y="28298775"/>
          <a:ext cx="5116513" cy="2562225"/>
          <a:chOff x="5584825" y="27727275"/>
          <a:chExt cx="5116513" cy="2562225"/>
        </a:xfrm>
      </xdr:grpSpPr>
      <xdr:sp macro="" textlink="">
        <xdr:nvSpPr>
          <xdr:cNvPr id="2985" name="Rectangle 2984">
            <a:extLst>
              <a:ext uri="{FF2B5EF4-FFF2-40B4-BE49-F238E27FC236}">
                <a16:creationId xmlns:a16="http://schemas.microsoft.com/office/drawing/2014/main" id="{95367D54-DCA4-C536-1569-6C8C2D9CF757}"/>
              </a:ext>
            </a:extLst>
          </xdr:cNvPr>
          <xdr:cNvSpPr/>
        </xdr:nvSpPr>
        <xdr:spPr>
          <a:xfrm>
            <a:off x="5991224" y="27860626"/>
            <a:ext cx="4533901" cy="1714500"/>
          </a:xfrm>
          <a:prstGeom prst="rect">
            <a:avLst/>
          </a:prstGeom>
          <a:solidFill>
            <a:schemeClr val="bg1">
              <a:lumMod val="95000"/>
            </a:schemeClr>
          </a:solidFill>
          <a:ln w="63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kern="1200"/>
          </a:p>
        </xdr:txBody>
      </xdr:sp>
      <xdr:cxnSp macro="">
        <xdr:nvCxnSpPr>
          <xdr:cNvPr id="2986" name="Straight Connector 2985">
            <a:extLst>
              <a:ext uri="{FF2B5EF4-FFF2-40B4-BE49-F238E27FC236}">
                <a16:creationId xmlns:a16="http://schemas.microsoft.com/office/drawing/2014/main" id="{D0B5A57C-1DB8-360D-8E0A-A2B663AAAB05}"/>
              </a:ext>
            </a:extLst>
          </xdr:cNvPr>
          <xdr:cNvCxnSpPr/>
        </xdr:nvCxnSpPr>
        <xdr:spPr>
          <a:xfrm flipH="1">
            <a:off x="5991224" y="28903624"/>
            <a:ext cx="453390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987" name="Straight Connector 2986">
            <a:extLst>
              <a:ext uri="{FF2B5EF4-FFF2-40B4-BE49-F238E27FC236}">
                <a16:creationId xmlns:a16="http://schemas.microsoft.com/office/drawing/2014/main" id="{79F9B2B9-87D6-A636-FCAC-05D56FEF5586}"/>
              </a:ext>
            </a:extLst>
          </xdr:cNvPr>
          <xdr:cNvCxnSpPr/>
        </xdr:nvCxnSpPr>
        <xdr:spPr>
          <a:xfrm flipH="1">
            <a:off x="5989638" y="28432125"/>
            <a:ext cx="453548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988" name="Straight Connector 2987">
            <a:extLst>
              <a:ext uri="{FF2B5EF4-FFF2-40B4-BE49-F238E27FC236}">
                <a16:creationId xmlns:a16="http://schemas.microsoft.com/office/drawing/2014/main" id="{E283CC38-0029-D8AD-5773-113826A059BB}"/>
              </a:ext>
            </a:extLst>
          </xdr:cNvPr>
          <xdr:cNvCxnSpPr/>
        </xdr:nvCxnSpPr>
        <xdr:spPr>
          <a:xfrm flipH="1">
            <a:off x="5991225" y="28289253"/>
            <a:ext cx="452913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989" name="Straight Connector 2988">
            <a:extLst>
              <a:ext uri="{FF2B5EF4-FFF2-40B4-BE49-F238E27FC236}">
                <a16:creationId xmlns:a16="http://schemas.microsoft.com/office/drawing/2014/main" id="{3466E7AD-27C0-EC9A-F8C7-67A45DCF7249}"/>
              </a:ext>
            </a:extLst>
          </xdr:cNvPr>
          <xdr:cNvCxnSpPr/>
        </xdr:nvCxnSpPr>
        <xdr:spPr>
          <a:xfrm flipH="1">
            <a:off x="5991225" y="28146378"/>
            <a:ext cx="45243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990" name="Straight Connector 2989">
            <a:extLst>
              <a:ext uri="{FF2B5EF4-FFF2-40B4-BE49-F238E27FC236}">
                <a16:creationId xmlns:a16="http://schemas.microsoft.com/office/drawing/2014/main" id="{062F04B3-6E47-AD5C-2C95-28457DE4F581}"/>
              </a:ext>
            </a:extLst>
          </xdr:cNvPr>
          <xdr:cNvCxnSpPr/>
        </xdr:nvCxnSpPr>
        <xdr:spPr>
          <a:xfrm flipH="1">
            <a:off x="5991226" y="28003502"/>
            <a:ext cx="4533899"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991" name="Straight Connector 2990">
            <a:extLst>
              <a:ext uri="{FF2B5EF4-FFF2-40B4-BE49-F238E27FC236}">
                <a16:creationId xmlns:a16="http://schemas.microsoft.com/office/drawing/2014/main" id="{89423CF8-0FE8-28C6-944F-159B886B2F92}"/>
              </a:ext>
            </a:extLst>
          </xdr:cNvPr>
          <xdr:cNvCxnSpPr/>
        </xdr:nvCxnSpPr>
        <xdr:spPr>
          <a:xfrm>
            <a:off x="6638934" y="27860625"/>
            <a:ext cx="0" cy="17145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992" name="Straight Connector 2991">
            <a:extLst>
              <a:ext uri="{FF2B5EF4-FFF2-40B4-BE49-F238E27FC236}">
                <a16:creationId xmlns:a16="http://schemas.microsoft.com/office/drawing/2014/main" id="{81A9D3A6-BBCE-185C-63AC-18015802A0EF}"/>
              </a:ext>
            </a:extLst>
          </xdr:cNvPr>
          <xdr:cNvCxnSpPr/>
        </xdr:nvCxnSpPr>
        <xdr:spPr>
          <a:xfrm flipV="1">
            <a:off x="5992813" y="28147963"/>
            <a:ext cx="642937" cy="28098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993" name="Straight Connector 2992">
            <a:extLst>
              <a:ext uri="{FF2B5EF4-FFF2-40B4-BE49-F238E27FC236}">
                <a16:creationId xmlns:a16="http://schemas.microsoft.com/office/drawing/2014/main" id="{CF0B45B0-A376-6BD9-A952-A07C7017827E}"/>
              </a:ext>
            </a:extLst>
          </xdr:cNvPr>
          <xdr:cNvCxnSpPr/>
        </xdr:nvCxnSpPr>
        <xdr:spPr>
          <a:xfrm>
            <a:off x="5995988" y="28146375"/>
            <a:ext cx="647700" cy="2857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994" name="Straight Connector 2993">
            <a:extLst>
              <a:ext uri="{FF2B5EF4-FFF2-40B4-BE49-F238E27FC236}">
                <a16:creationId xmlns:a16="http://schemas.microsoft.com/office/drawing/2014/main" id="{5D478E7C-6061-4A26-9292-0512FB5ABA8B}"/>
              </a:ext>
            </a:extLst>
          </xdr:cNvPr>
          <xdr:cNvCxnSpPr/>
        </xdr:nvCxnSpPr>
        <xdr:spPr>
          <a:xfrm flipV="1">
            <a:off x="5992813" y="27859038"/>
            <a:ext cx="642937" cy="28098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995" name="Straight Connector 2994">
            <a:extLst>
              <a:ext uri="{FF2B5EF4-FFF2-40B4-BE49-F238E27FC236}">
                <a16:creationId xmlns:a16="http://schemas.microsoft.com/office/drawing/2014/main" id="{9E91CA41-DA73-15AF-4C08-A008C1F70CCD}"/>
              </a:ext>
            </a:extLst>
          </xdr:cNvPr>
          <xdr:cNvCxnSpPr/>
        </xdr:nvCxnSpPr>
        <xdr:spPr>
          <a:xfrm>
            <a:off x="5995988" y="27860625"/>
            <a:ext cx="647700" cy="2857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996" name="Straight Connector 2995">
            <a:extLst>
              <a:ext uri="{FF2B5EF4-FFF2-40B4-BE49-F238E27FC236}">
                <a16:creationId xmlns:a16="http://schemas.microsoft.com/office/drawing/2014/main" id="{71169BC6-32D8-3848-C2E9-3CD1C5C8C6EB}"/>
              </a:ext>
            </a:extLst>
          </xdr:cNvPr>
          <xdr:cNvCxnSpPr/>
        </xdr:nvCxnSpPr>
        <xdr:spPr>
          <a:xfrm flipH="1">
            <a:off x="5991225" y="29249701"/>
            <a:ext cx="453866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997" name="Straight Connector 2996">
            <a:extLst>
              <a:ext uri="{FF2B5EF4-FFF2-40B4-BE49-F238E27FC236}">
                <a16:creationId xmlns:a16="http://schemas.microsoft.com/office/drawing/2014/main" id="{D1E5A662-B8FF-FE5F-EC50-A3A415558EF7}"/>
              </a:ext>
            </a:extLst>
          </xdr:cNvPr>
          <xdr:cNvCxnSpPr/>
        </xdr:nvCxnSpPr>
        <xdr:spPr>
          <a:xfrm flipV="1">
            <a:off x="5991225" y="29254450"/>
            <a:ext cx="644525" cy="31909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998" name="Straight Connector 2997">
            <a:extLst>
              <a:ext uri="{FF2B5EF4-FFF2-40B4-BE49-F238E27FC236}">
                <a16:creationId xmlns:a16="http://schemas.microsoft.com/office/drawing/2014/main" id="{53056C28-B6D1-C7F1-0440-BB88EDFF6E20}"/>
              </a:ext>
            </a:extLst>
          </xdr:cNvPr>
          <xdr:cNvCxnSpPr/>
        </xdr:nvCxnSpPr>
        <xdr:spPr>
          <a:xfrm>
            <a:off x="5991225" y="29251275"/>
            <a:ext cx="646112" cy="32385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999" name="Straight Connector 2998">
            <a:extLst>
              <a:ext uri="{FF2B5EF4-FFF2-40B4-BE49-F238E27FC236}">
                <a16:creationId xmlns:a16="http://schemas.microsoft.com/office/drawing/2014/main" id="{E4096A6E-1D5C-66F9-F7BE-5B492CDD634A}"/>
              </a:ext>
            </a:extLst>
          </xdr:cNvPr>
          <xdr:cNvCxnSpPr/>
        </xdr:nvCxnSpPr>
        <xdr:spPr>
          <a:xfrm flipV="1">
            <a:off x="5991225" y="28905200"/>
            <a:ext cx="654050" cy="34449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000" name="Straight Connector 2999">
            <a:extLst>
              <a:ext uri="{FF2B5EF4-FFF2-40B4-BE49-F238E27FC236}">
                <a16:creationId xmlns:a16="http://schemas.microsoft.com/office/drawing/2014/main" id="{718713C3-D61D-8183-81A3-51F77714CAD4}"/>
              </a:ext>
            </a:extLst>
          </xdr:cNvPr>
          <xdr:cNvCxnSpPr/>
        </xdr:nvCxnSpPr>
        <xdr:spPr>
          <a:xfrm>
            <a:off x="5991225" y="28908375"/>
            <a:ext cx="647700" cy="3460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001" name="Straight Connector 3000">
            <a:extLst>
              <a:ext uri="{FF2B5EF4-FFF2-40B4-BE49-F238E27FC236}">
                <a16:creationId xmlns:a16="http://schemas.microsoft.com/office/drawing/2014/main" id="{E435A5C7-D4E0-8EC4-0DED-D3BAE4DC014F}"/>
              </a:ext>
            </a:extLst>
          </xdr:cNvPr>
          <xdr:cNvCxnSpPr/>
        </xdr:nvCxnSpPr>
        <xdr:spPr>
          <a:xfrm flipV="1">
            <a:off x="5991225" y="28571825"/>
            <a:ext cx="647700" cy="3365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003" name="Straight Connector 3002">
            <a:extLst>
              <a:ext uri="{FF2B5EF4-FFF2-40B4-BE49-F238E27FC236}">
                <a16:creationId xmlns:a16="http://schemas.microsoft.com/office/drawing/2014/main" id="{D084364D-E3CC-C3B2-AC6F-A17043028766}"/>
              </a:ext>
            </a:extLst>
          </xdr:cNvPr>
          <xdr:cNvCxnSpPr/>
        </xdr:nvCxnSpPr>
        <xdr:spPr>
          <a:xfrm flipV="1">
            <a:off x="7935921" y="28147963"/>
            <a:ext cx="642937" cy="28098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004" name="Straight Connector 3003">
            <a:extLst>
              <a:ext uri="{FF2B5EF4-FFF2-40B4-BE49-F238E27FC236}">
                <a16:creationId xmlns:a16="http://schemas.microsoft.com/office/drawing/2014/main" id="{B6D83CEB-D296-AE50-CDCB-731D6B20E4B0}"/>
              </a:ext>
            </a:extLst>
          </xdr:cNvPr>
          <xdr:cNvCxnSpPr/>
        </xdr:nvCxnSpPr>
        <xdr:spPr>
          <a:xfrm>
            <a:off x="7939096" y="28146375"/>
            <a:ext cx="647700" cy="2857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005" name="Straight Connector 3004">
            <a:extLst>
              <a:ext uri="{FF2B5EF4-FFF2-40B4-BE49-F238E27FC236}">
                <a16:creationId xmlns:a16="http://schemas.microsoft.com/office/drawing/2014/main" id="{331059F7-E86A-EEE3-D2F8-1A87DA13A871}"/>
              </a:ext>
            </a:extLst>
          </xdr:cNvPr>
          <xdr:cNvCxnSpPr/>
        </xdr:nvCxnSpPr>
        <xdr:spPr>
          <a:xfrm flipV="1">
            <a:off x="7935921" y="27859038"/>
            <a:ext cx="642937" cy="28098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006" name="Straight Connector 3005">
            <a:extLst>
              <a:ext uri="{FF2B5EF4-FFF2-40B4-BE49-F238E27FC236}">
                <a16:creationId xmlns:a16="http://schemas.microsoft.com/office/drawing/2014/main" id="{F47D0B58-3944-03FB-AB8A-F7857BE592EA}"/>
              </a:ext>
            </a:extLst>
          </xdr:cNvPr>
          <xdr:cNvCxnSpPr/>
        </xdr:nvCxnSpPr>
        <xdr:spPr>
          <a:xfrm>
            <a:off x="7939096" y="27860625"/>
            <a:ext cx="647700" cy="2857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013" name="Straight Connector 3012">
            <a:extLst>
              <a:ext uri="{FF2B5EF4-FFF2-40B4-BE49-F238E27FC236}">
                <a16:creationId xmlns:a16="http://schemas.microsoft.com/office/drawing/2014/main" id="{85663818-1B1A-D626-6888-9C6BEECC28BC}"/>
              </a:ext>
            </a:extLst>
          </xdr:cNvPr>
          <xdr:cNvCxnSpPr/>
        </xdr:nvCxnSpPr>
        <xdr:spPr>
          <a:xfrm flipV="1">
            <a:off x="9879013" y="28147963"/>
            <a:ext cx="642937" cy="28098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014" name="Straight Connector 3013">
            <a:extLst>
              <a:ext uri="{FF2B5EF4-FFF2-40B4-BE49-F238E27FC236}">
                <a16:creationId xmlns:a16="http://schemas.microsoft.com/office/drawing/2014/main" id="{D00C7DEF-D67F-8C9A-0BD4-CC6FA35646C2}"/>
              </a:ext>
            </a:extLst>
          </xdr:cNvPr>
          <xdr:cNvCxnSpPr/>
        </xdr:nvCxnSpPr>
        <xdr:spPr>
          <a:xfrm>
            <a:off x="9882188" y="28146375"/>
            <a:ext cx="647700" cy="2857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015" name="Straight Connector 3014">
            <a:extLst>
              <a:ext uri="{FF2B5EF4-FFF2-40B4-BE49-F238E27FC236}">
                <a16:creationId xmlns:a16="http://schemas.microsoft.com/office/drawing/2014/main" id="{83F3E8D5-F7C9-F0BB-EFFE-30CFE1F5E4DD}"/>
              </a:ext>
            </a:extLst>
          </xdr:cNvPr>
          <xdr:cNvCxnSpPr/>
        </xdr:nvCxnSpPr>
        <xdr:spPr>
          <a:xfrm flipV="1">
            <a:off x="9879013" y="27859038"/>
            <a:ext cx="642937" cy="28098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016" name="Straight Connector 3015">
            <a:extLst>
              <a:ext uri="{FF2B5EF4-FFF2-40B4-BE49-F238E27FC236}">
                <a16:creationId xmlns:a16="http://schemas.microsoft.com/office/drawing/2014/main" id="{83BB5047-9D14-1DB4-0171-E190A6ABC5FC}"/>
              </a:ext>
            </a:extLst>
          </xdr:cNvPr>
          <xdr:cNvCxnSpPr/>
        </xdr:nvCxnSpPr>
        <xdr:spPr>
          <a:xfrm>
            <a:off x="9882188" y="27860625"/>
            <a:ext cx="647700" cy="2857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023" name="Straight Connector 3022">
            <a:extLst>
              <a:ext uri="{FF2B5EF4-FFF2-40B4-BE49-F238E27FC236}">
                <a16:creationId xmlns:a16="http://schemas.microsoft.com/office/drawing/2014/main" id="{7C477704-C6D0-39C4-A03B-336ED7E041E1}"/>
              </a:ext>
            </a:extLst>
          </xdr:cNvPr>
          <xdr:cNvCxnSpPr/>
        </xdr:nvCxnSpPr>
        <xdr:spPr>
          <a:xfrm>
            <a:off x="7934325" y="27860625"/>
            <a:ext cx="0" cy="17145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024" name="Straight Connector 3023">
            <a:extLst>
              <a:ext uri="{FF2B5EF4-FFF2-40B4-BE49-F238E27FC236}">
                <a16:creationId xmlns:a16="http://schemas.microsoft.com/office/drawing/2014/main" id="{474433B2-8FAB-CA6B-5934-5F50B361ADA1}"/>
              </a:ext>
            </a:extLst>
          </xdr:cNvPr>
          <xdr:cNvCxnSpPr/>
        </xdr:nvCxnSpPr>
        <xdr:spPr>
          <a:xfrm>
            <a:off x="7286625" y="27860625"/>
            <a:ext cx="0" cy="17145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025" name="Straight Connector 3024">
            <a:extLst>
              <a:ext uri="{FF2B5EF4-FFF2-40B4-BE49-F238E27FC236}">
                <a16:creationId xmlns:a16="http://schemas.microsoft.com/office/drawing/2014/main" id="{DD584576-0598-9BA7-BC2C-81808B032C94}"/>
              </a:ext>
            </a:extLst>
          </xdr:cNvPr>
          <xdr:cNvCxnSpPr/>
        </xdr:nvCxnSpPr>
        <xdr:spPr>
          <a:xfrm>
            <a:off x="9229725" y="27860626"/>
            <a:ext cx="0" cy="17145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026" name="Straight Connector 3025">
            <a:extLst>
              <a:ext uri="{FF2B5EF4-FFF2-40B4-BE49-F238E27FC236}">
                <a16:creationId xmlns:a16="http://schemas.microsoft.com/office/drawing/2014/main" id="{4E5468B2-1089-4C85-49CB-0988C5277130}"/>
              </a:ext>
            </a:extLst>
          </xdr:cNvPr>
          <xdr:cNvCxnSpPr/>
        </xdr:nvCxnSpPr>
        <xdr:spPr>
          <a:xfrm>
            <a:off x="8582025" y="27860626"/>
            <a:ext cx="0" cy="17145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027" name="Straight Connector 3026">
            <a:extLst>
              <a:ext uri="{FF2B5EF4-FFF2-40B4-BE49-F238E27FC236}">
                <a16:creationId xmlns:a16="http://schemas.microsoft.com/office/drawing/2014/main" id="{8D5E1E43-CD14-2182-8624-6D5C40FA519B}"/>
              </a:ext>
            </a:extLst>
          </xdr:cNvPr>
          <xdr:cNvCxnSpPr/>
        </xdr:nvCxnSpPr>
        <xdr:spPr>
          <a:xfrm>
            <a:off x="9877425" y="27860626"/>
            <a:ext cx="0" cy="17145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028" name="Straight Connector 3027">
            <a:extLst>
              <a:ext uri="{FF2B5EF4-FFF2-40B4-BE49-F238E27FC236}">
                <a16:creationId xmlns:a16="http://schemas.microsoft.com/office/drawing/2014/main" id="{1308C560-0DD7-5A87-E522-F966D76D7D43}"/>
              </a:ext>
            </a:extLst>
          </xdr:cNvPr>
          <xdr:cNvCxnSpPr/>
        </xdr:nvCxnSpPr>
        <xdr:spPr>
          <a:xfrm>
            <a:off x="5991225" y="29684661"/>
            <a:ext cx="0" cy="5238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3029" name="Straight Connector 3028">
            <a:extLst>
              <a:ext uri="{FF2B5EF4-FFF2-40B4-BE49-F238E27FC236}">
                <a16:creationId xmlns:a16="http://schemas.microsoft.com/office/drawing/2014/main" id="{8D0C1701-FAC4-367F-F974-2D648F01E6B2}"/>
              </a:ext>
            </a:extLst>
          </xdr:cNvPr>
          <xdr:cNvCxnSpPr/>
        </xdr:nvCxnSpPr>
        <xdr:spPr>
          <a:xfrm>
            <a:off x="5938839" y="29860875"/>
            <a:ext cx="4633911"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3030" name="Straight Connector 3029">
            <a:extLst>
              <a:ext uri="{FF2B5EF4-FFF2-40B4-BE49-F238E27FC236}">
                <a16:creationId xmlns:a16="http://schemas.microsoft.com/office/drawing/2014/main" id="{AC1D5138-D4C7-A3E2-E35E-E7012C6E6276}"/>
              </a:ext>
            </a:extLst>
          </xdr:cNvPr>
          <xdr:cNvCxnSpPr/>
        </xdr:nvCxnSpPr>
        <xdr:spPr>
          <a:xfrm flipH="1">
            <a:off x="5962648" y="29837063"/>
            <a:ext cx="52388" cy="5238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3031" name="Straight Connector 3030">
            <a:extLst>
              <a:ext uri="{FF2B5EF4-FFF2-40B4-BE49-F238E27FC236}">
                <a16:creationId xmlns:a16="http://schemas.microsoft.com/office/drawing/2014/main" id="{F235D61C-9091-C888-48CF-15E1FBB02791}"/>
              </a:ext>
            </a:extLst>
          </xdr:cNvPr>
          <xdr:cNvCxnSpPr/>
        </xdr:nvCxnSpPr>
        <xdr:spPr>
          <a:xfrm>
            <a:off x="5938837" y="30146631"/>
            <a:ext cx="4629151"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3032" name="Straight Connector 3031">
            <a:extLst>
              <a:ext uri="{FF2B5EF4-FFF2-40B4-BE49-F238E27FC236}">
                <a16:creationId xmlns:a16="http://schemas.microsoft.com/office/drawing/2014/main" id="{35743626-08C1-2CB1-BAD4-F17E0213630E}"/>
              </a:ext>
            </a:extLst>
          </xdr:cNvPr>
          <xdr:cNvCxnSpPr/>
        </xdr:nvCxnSpPr>
        <xdr:spPr>
          <a:xfrm flipH="1">
            <a:off x="5962646" y="30122819"/>
            <a:ext cx="52388" cy="5238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3033" name="Straight Connector 3032">
            <a:extLst>
              <a:ext uri="{FF2B5EF4-FFF2-40B4-BE49-F238E27FC236}">
                <a16:creationId xmlns:a16="http://schemas.microsoft.com/office/drawing/2014/main" id="{A05526C0-AC48-78A7-0896-A52B4312692B}"/>
              </a:ext>
            </a:extLst>
          </xdr:cNvPr>
          <xdr:cNvCxnSpPr/>
        </xdr:nvCxnSpPr>
        <xdr:spPr>
          <a:xfrm>
            <a:off x="10525125" y="29679898"/>
            <a:ext cx="0" cy="5238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3034" name="Straight Connector 3033">
            <a:extLst>
              <a:ext uri="{FF2B5EF4-FFF2-40B4-BE49-F238E27FC236}">
                <a16:creationId xmlns:a16="http://schemas.microsoft.com/office/drawing/2014/main" id="{1C64B34C-E92E-A8B1-345E-D1CE594B0527}"/>
              </a:ext>
            </a:extLst>
          </xdr:cNvPr>
          <xdr:cNvCxnSpPr/>
        </xdr:nvCxnSpPr>
        <xdr:spPr>
          <a:xfrm flipH="1">
            <a:off x="10496548" y="29837063"/>
            <a:ext cx="52388" cy="5238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3035" name="Straight Connector 3034">
            <a:extLst>
              <a:ext uri="{FF2B5EF4-FFF2-40B4-BE49-F238E27FC236}">
                <a16:creationId xmlns:a16="http://schemas.microsoft.com/office/drawing/2014/main" id="{F6691A04-2453-B7AE-2AE4-1F67BA836606}"/>
              </a:ext>
            </a:extLst>
          </xdr:cNvPr>
          <xdr:cNvCxnSpPr/>
        </xdr:nvCxnSpPr>
        <xdr:spPr>
          <a:xfrm flipH="1">
            <a:off x="10496546" y="30122819"/>
            <a:ext cx="52388" cy="5238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3036" name="Straight Connector 3035">
            <a:extLst>
              <a:ext uri="{FF2B5EF4-FFF2-40B4-BE49-F238E27FC236}">
                <a16:creationId xmlns:a16="http://schemas.microsoft.com/office/drawing/2014/main" id="{7AC45B86-9AB5-8AB2-B9B7-9A3BFB0C8A19}"/>
              </a:ext>
            </a:extLst>
          </xdr:cNvPr>
          <xdr:cNvCxnSpPr/>
        </xdr:nvCxnSpPr>
        <xdr:spPr>
          <a:xfrm>
            <a:off x="6638925" y="29660850"/>
            <a:ext cx="0" cy="25717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3037" name="Straight Connector 3036">
            <a:extLst>
              <a:ext uri="{FF2B5EF4-FFF2-40B4-BE49-F238E27FC236}">
                <a16:creationId xmlns:a16="http://schemas.microsoft.com/office/drawing/2014/main" id="{22DE85A0-54B1-FF41-38FF-99BCE5F6742F}"/>
              </a:ext>
            </a:extLst>
          </xdr:cNvPr>
          <xdr:cNvCxnSpPr/>
        </xdr:nvCxnSpPr>
        <xdr:spPr>
          <a:xfrm flipH="1">
            <a:off x="6610346" y="29832306"/>
            <a:ext cx="52388" cy="5238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3038" name="Straight Connector 3037">
            <a:extLst>
              <a:ext uri="{FF2B5EF4-FFF2-40B4-BE49-F238E27FC236}">
                <a16:creationId xmlns:a16="http://schemas.microsoft.com/office/drawing/2014/main" id="{5EF384B1-7939-5B10-771F-94E6E8909A00}"/>
              </a:ext>
            </a:extLst>
          </xdr:cNvPr>
          <xdr:cNvCxnSpPr/>
        </xdr:nvCxnSpPr>
        <xdr:spPr>
          <a:xfrm>
            <a:off x="7286625" y="29660850"/>
            <a:ext cx="0" cy="25717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3039" name="Straight Connector 3038">
            <a:extLst>
              <a:ext uri="{FF2B5EF4-FFF2-40B4-BE49-F238E27FC236}">
                <a16:creationId xmlns:a16="http://schemas.microsoft.com/office/drawing/2014/main" id="{EEC99C76-B467-D62B-7A22-968C678FBCBE}"/>
              </a:ext>
            </a:extLst>
          </xdr:cNvPr>
          <xdr:cNvCxnSpPr/>
        </xdr:nvCxnSpPr>
        <xdr:spPr>
          <a:xfrm flipH="1">
            <a:off x="7258046" y="29832306"/>
            <a:ext cx="52388" cy="5238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3040" name="Straight Connector 3039">
            <a:extLst>
              <a:ext uri="{FF2B5EF4-FFF2-40B4-BE49-F238E27FC236}">
                <a16:creationId xmlns:a16="http://schemas.microsoft.com/office/drawing/2014/main" id="{81F5A39A-88A5-A933-FE7D-4465460E764F}"/>
              </a:ext>
            </a:extLst>
          </xdr:cNvPr>
          <xdr:cNvCxnSpPr/>
        </xdr:nvCxnSpPr>
        <xdr:spPr>
          <a:xfrm>
            <a:off x="7934325" y="29660850"/>
            <a:ext cx="0" cy="25717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3041" name="Straight Connector 3040">
            <a:extLst>
              <a:ext uri="{FF2B5EF4-FFF2-40B4-BE49-F238E27FC236}">
                <a16:creationId xmlns:a16="http://schemas.microsoft.com/office/drawing/2014/main" id="{615E27F5-62B0-4AF1-0536-C3992A9F1637}"/>
              </a:ext>
            </a:extLst>
          </xdr:cNvPr>
          <xdr:cNvCxnSpPr/>
        </xdr:nvCxnSpPr>
        <xdr:spPr>
          <a:xfrm flipH="1">
            <a:off x="7905746" y="29832306"/>
            <a:ext cx="52388" cy="5238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3042" name="Straight Connector 3041">
            <a:extLst>
              <a:ext uri="{FF2B5EF4-FFF2-40B4-BE49-F238E27FC236}">
                <a16:creationId xmlns:a16="http://schemas.microsoft.com/office/drawing/2014/main" id="{847A0444-CE61-252E-369C-B28D8DBB48FB}"/>
              </a:ext>
            </a:extLst>
          </xdr:cNvPr>
          <xdr:cNvCxnSpPr/>
        </xdr:nvCxnSpPr>
        <xdr:spPr>
          <a:xfrm>
            <a:off x="8582025" y="29660850"/>
            <a:ext cx="0" cy="25717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3043" name="Straight Connector 3042">
            <a:extLst>
              <a:ext uri="{FF2B5EF4-FFF2-40B4-BE49-F238E27FC236}">
                <a16:creationId xmlns:a16="http://schemas.microsoft.com/office/drawing/2014/main" id="{927BFD33-5B3A-53BE-6D06-5BF70323D95F}"/>
              </a:ext>
            </a:extLst>
          </xdr:cNvPr>
          <xdr:cNvCxnSpPr/>
        </xdr:nvCxnSpPr>
        <xdr:spPr>
          <a:xfrm flipH="1">
            <a:off x="8553446" y="29832306"/>
            <a:ext cx="52388" cy="5238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3044" name="Straight Connector 3043">
            <a:extLst>
              <a:ext uri="{FF2B5EF4-FFF2-40B4-BE49-F238E27FC236}">
                <a16:creationId xmlns:a16="http://schemas.microsoft.com/office/drawing/2014/main" id="{DBAAE05D-DB0B-99A0-E77F-94CF38E69B0C}"/>
              </a:ext>
            </a:extLst>
          </xdr:cNvPr>
          <xdr:cNvCxnSpPr/>
        </xdr:nvCxnSpPr>
        <xdr:spPr>
          <a:xfrm>
            <a:off x="9229725" y="29660850"/>
            <a:ext cx="0" cy="25717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3045" name="Straight Connector 3044">
            <a:extLst>
              <a:ext uri="{FF2B5EF4-FFF2-40B4-BE49-F238E27FC236}">
                <a16:creationId xmlns:a16="http://schemas.microsoft.com/office/drawing/2014/main" id="{CEC8B73D-94E1-D2AE-88E3-45C27E252252}"/>
              </a:ext>
            </a:extLst>
          </xdr:cNvPr>
          <xdr:cNvCxnSpPr/>
        </xdr:nvCxnSpPr>
        <xdr:spPr>
          <a:xfrm flipH="1">
            <a:off x="9201146" y="29832306"/>
            <a:ext cx="52388" cy="5238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3046" name="Straight Connector 3045">
            <a:extLst>
              <a:ext uri="{FF2B5EF4-FFF2-40B4-BE49-F238E27FC236}">
                <a16:creationId xmlns:a16="http://schemas.microsoft.com/office/drawing/2014/main" id="{332BCA16-B9C9-840B-6728-3B1C263E628A}"/>
              </a:ext>
            </a:extLst>
          </xdr:cNvPr>
          <xdr:cNvCxnSpPr/>
        </xdr:nvCxnSpPr>
        <xdr:spPr>
          <a:xfrm>
            <a:off x="9877425" y="29660850"/>
            <a:ext cx="0" cy="25717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3047" name="Straight Connector 3046">
            <a:extLst>
              <a:ext uri="{FF2B5EF4-FFF2-40B4-BE49-F238E27FC236}">
                <a16:creationId xmlns:a16="http://schemas.microsoft.com/office/drawing/2014/main" id="{416DB1F5-C3E9-0D08-DC36-C5C07B1A1CC8}"/>
              </a:ext>
            </a:extLst>
          </xdr:cNvPr>
          <xdr:cNvCxnSpPr/>
        </xdr:nvCxnSpPr>
        <xdr:spPr>
          <a:xfrm flipH="1">
            <a:off x="9848846" y="29832306"/>
            <a:ext cx="52388" cy="5238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3048" name="Straight Connector 3047">
            <a:extLst>
              <a:ext uri="{FF2B5EF4-FFF2-40B4-BE49-F238E27FC236}">
                <a16:creationId xmlns:a16="http://schemas.microsoft.com/office/drawing/2014/main" id="{DBDEC19E-158B-E496-440A-03BE5979349A}"/>
              </a:ext>
            </a:extLst>
          </xdr:cNvPr>
          <xdr:cNvCxnSpPr/>
        </xdr:nvCxnSpPr>
        <xdr:spPr>
          <a:xfrm>
            <a:off x="6872287" y="27765373"/>
            <a:ext cx="0" cy="323850"/>
          </a:xfrm>
          <a:prstGeom prst="line">
            <a:avLst/>
          </a:prstGeom>
          <a:ln w="9525">
            <a:solidFill>
              <a:schemeClr val="accent6">
                <a:lumMod val="75000"/>
              </a:schemeClr>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3049" name="Straight Connector 3048">
            <a:extLst>
              <a:ext uri="{FF2B5EF4-FFF2-40B4-BE49-F238E27FC236}">
                <a16:creationId xmlns:a16="http://schemas.microsoft.com/office/drawing/2014/main" id="{AF926BAD-1BA2-C6F1-1A3C-A0D2B8318744}"/>
              </a:ext>
            </a:extLst>
          </xdr:cNvPr>
          <xdr:cNvCxnSpPr/>
        </xdr:nvCxnSpPr>
        <xdr:spPr>
          <a:xfrm>
            <a:off x="6896100" y="27765373"/>
            <a:ext cx="0" cy="323850"/>
          </a:xfrm>
          <a:prstGeom prst="line">
            <a:avLst/>
          </a:prstGeom>
          <a:ln w="9525">
            <a:solidFill>
              <a:schemeClr val="accent6">
                <a:lumMod val="75000"/>
              </a:schemeClr>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3050" name="Straight Connector 3049">
            <a:extLst>
              <a:ext uri="{FF2B5EF4-FFF2-40B4-BE49-F238E27FC236}">
                <a16:creationId xmlns:a16="http://schemas.microsoft.com/office/drawing/2014/main" id="{3EFB1939-F67C-076F-D964-2565CCDD37E7}"/>
              </a:ext>
            </a:extLst>
          </xdr:cNvPr>
          <xdr:cNvCxnSpPr/>
        </xdr:nvCxnSpPr>
        <xdr:spPr>
          <a:xfrm>
            <a:off x="6872287" y="29370335"/>
            <a:ext cx="0" cy="323850"/>
          </a:xfrm>
          <a:prstGeom prst="line">
            <a:avLst/>
          </a:prstGeom>
          <a:ln w="9525">
            <a:solidFill>
              <a:schemeClr val="accent6">
                <a:lumMod val="75000"/>
              </a:schemeClr>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3051" name="Straight Connector 3050">
            <a:extLst>
              <a:ext uri="{FF2B5EF4-FFF2-40B4-BE49-F238E27FC236}">
                <a16:creationId xmlns:a16="http://schemas.microsoft.com/office/drawing/2014/main" id="{81FD0274-837A-1110-523E-410095F78388}"/>
              </a:ext>
            </a:extLst>
          </xdr:cNvPr>
          <xdr:cNvCxnSpPr/>
        </xdr:nvCxnSpPr>
        <xdr:spPr>
          <a:xfrm>
            <a:off x="6896100" y="29370335"/>
            <a:ext cx="0" cy="323850"/>
          </a:xfrm>
          <a:prstGeom prst="line">
            <a:avLst/>
          </a:prstGeom>
          <a:ln w="9525">
            <a:solidFill>
              <a:schemeClr val="accent6">
                <a:lumMod val="75000"/>
              </a:schemeClr>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3052" name="Straight Connector 3051">
            <a:extLst>
              <a:ext uri="{FF2B5EF4-FFF2-40B4-BE49-F238E27FC236}">
                <a16:creationId xmlns:a16="http://schemas.microsoft.com/office/drawing/2014/main" id="{024B5AB4-BD3A-1C59-BD71-E6933C0E80B5}"/>
              </a:ext>
            </a:extLst>
          </xdr:cNvPr>
          <xdr:cNvCxnSpPr/>
        </xdr:nvCxnSpPr>
        <xdr:spPr>
          <a:xfrm>
            <a:off x="5586410" y="27860626"/>
            <a:ext cx="347663"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3053" name="Straight Connector 3052">
            <a:extLst>
              <a:ext uri="{FF2B5EF4-FFF2-40B4-BE49-F238E27FC236}">
                <a16:creationId xmlns:a16="http://schemas.microsoft.com/office/drawing/2014/main" id="{78794BB1-E66C-C468-4AA4-E04FB8068F42}"/>
              </a:ext>
            </a:extLst>
          </xdr:cNvPr>
          <xdr:cNvCxnSpPr/>
        </xdr:nvCxnSpPr>
        <xdr:spPr>
          <a:xfrm>
            <a:off x="5667375" y="27793950"/>
            <a:ext cx="0" cy="184785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3054" name="Straight Connector 3053">
            <a:extLst>
              <a:ext uri="{FF2B5EF4-FFF2-40B4-BE49-F238E27FC236}">
                <a16:creationId xmlns:a16="http://schemas.microsoft.com/office/drawing/2014/main" id="{DE7B1DBB-0717-753C-A0F5-1C802F8E25D8}"/>
              </a:ext>
            </a:extLst>
          </xdr:cNvPr>
          <xdr:cNvCxnSpPr/>
        </xdr:nvCxnSpPr>
        <xdr:spPr>
          <a:xfrm flipH="1">
            <a:off x="5634043" y="27827286"/>
            <a:ext cx="66675" cy="666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3055" name="Straight Connector 3054">
            <a:extLst>
              <a:ext uri="{FF2B5EF4-FFF2-40B4-BE49-F238E27FC236}">
                <a16:creationId xmlns:a16="http://schemas.microsoft.com/office/drawing/2014/main" id="{6DB787A8-BDAD-7C2D-ACA7-56DCFC856806}"/>
              </a:ext>
            </a:extLst>
          </xdr:cNvPr>
          <xdr:cNvCxnSpPr/>
        </xdr:nvCxnSpPr>
        <xdr:spPr>
          <a:xfrm>
            <a:off x="5586410" y="28575007"/>
            <a:ext cx="347663"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3056" name="Straight Connector 3055">
            <a:extLst>
              <a:ext uri="{FF2B5EF4-FFF2-40B4-BE49-F238E27FC236}">
                <a16:creationId xmlns:a16="http://schemas.microsoft.com/office/drawing/2014/main" id="{4306C88C-1AC2-8E9C-3238-52FE62EC38A2}"/>
              </a:ext>
            </a:extLst>
          </xdr:cNvPr>
          <xdr:cNvCxnSpPr/>
        </xdr:nvCxnSpPr>
        <xdr:spPr>
          <a:xfrm flipH="1">
            <a:off x="5634043" y="28541667"/>
            <a:ext cx="66675" cy="666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3057" name="Straight Connector 3056">
            <a:extLst>
              <a:ext uri="{FF2B5EF4-FFF2-40B4-BE49-F238E27FC236}">
                <a16:creationId xmlns:a16="http://schemas.microsoft.com/office/drawing/2014/main" id="{9E4F970A-1225-A883-C799-97C3615D72BD}"/>
              </a:ext>
            </a:extLst>
          </xdr:cNvPr>
          <xdr:cNvCxnSpPr/>
        </xdr:nvCxnSpPr>
        <xdr:spPr>
          <a:xfrm>
            <a:off x="5586410" y="29256048"/>
            <a:ext cx="347663"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3058" name="Straight Connector 3057">
            <a:extLst>
              <a:ext uri="{FF2B5EF4-FFF2-40B4-BE49-F238E27FC236}">
                <a16:creationId xmlns:a16="http://schemas.microsoft.com/office/drawing/2014/main" id="{1F4407C3-1CC8-78E1-79CE-E4DFBD078729}"/>
              </a:ext>
            </a:extLst>
          </xdr:cNvPr>
          <xdr:cNvCxnSpPr/>
        </xdr:nvCxnSpPr>
        <xdr:spPr>
          <a:xfrm flipH="1">
            <a:off x="5634043" y="29222708"/>
            <a:ext cx="66675" cy="666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3059" name="Straight Connector 3058">
            <a:extLst>
              <a:ext uri="{FF2B5EF4-FFF2-40B4-BE49-F238E27FC236}">
                <a16:creationId xmlns:a16="http://schemas.microsoft.com/office/drawing/2014/main" id="{315BD2FE-D650-68B6-3D0A-62E6B7B2FAB1}"/>
              </a:ext>
            </a:extLst>
          </xdr:cNvPr>
          <xdr:cNvCxnSpPr/>
        </xdr:nvCxnSpPr>
        <xdr:spPr>
          <a:xfrm>
            <a:off x="5586410" y="28903614"/>
            <a:ext cx="347663"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3060" name="Straight Connector 3059">
            <a:extLst>
              <a:ext uri="{FF2B5EF4-FFF2-40B4-BE49-F238E27FC236}">
                <a16:creationId xmlns:a16="http://schemas.microsoft.com/office/drawing/2014/main" id="{42C1A229-6023-CDF5-9F91-8CE5B2D0856D}"/>
              </a:ext>
            </a:extLst>
          </xdr:cNvPr>
          <xdr:cNvCxnSpPr/>
        </xdr:nvCxnSpPr>
        <xdr:spPr>
          <a:xfrm flipH="1">
            <a:off x="5634043" y="28870274"/>
            <a:ext cx="66675" cy="666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3061" name="Straight Connector 3060">
            <a:extLst>
              <a:ext uri="{FF2B5EF4-FFF2-40B4-BE49-F238E27FC236}">
                <a16:creationId xmlns:a16="http://schemas.microsoft.com/office/drawing/2014/main" id="{B43C55C2-45E1-88C9-295B-5346588124D9}"/>
              </a:ext>
            </a:extLst>
          </xdr:cNvPr>
          <xdr:cNvCxnSpPr/>
        </xdr:nvCxnSpPr>
        <xdr:spPr>
          <a:xfrm>
            <a:off x="5586410" y="29575126"/>
            <a:ext cx="347663"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3062" name="Straight Connector 3061">
            <a:extLst>
              <a:ext uri="{FF2B5EF4-FFF2-40B4-BE49-F238E27FC236}">
                <a16:creationId xmlns:a16="http://schemas.microsoft.com/office/drawing/2014/main" id="{2BE8304C-A480-14EC-0599-11FC626CB6AC}"/>
              </a:ext>
            </a:extLst>
          </xdr:cNvPr>
          <xdr:cNvCxnSpPr/>
        </xdr:nvCxnSpPr>
        <xdr:spPr>
          <a:xfrm flipH="1">
            <a:off x="5634043" y="29541786"/>
            <a:ext cx="66675" cy="666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3063" name="Straight Connector 3062">
            <a:extLst>
              <a:ext uri="{FF2B5EF4-FFF2-40B4-BE49-F238E27FC236}">
                <a16:creationId xmlns:a16="http://schemas.microsoft.com/office/drawing/2014/main" id="{1D477925-F782-9643-F3E6-46ABA0502C85}"/>
              </a:ext>
            </a:extLst>
          </xdr:cNvPr>
          <xdr:cNvCxnSpPr/>
        </xdr:nvCxnSpPr>
        <xdr:spPr>
          <a:xfrm flipV="1">
            <a:off x="9401175" y="27727275"/>
            <a:ext cx="409575" cy="704850"/>
          </a:xfrm>
          <a:prstGeom prst="line">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064" name="Straight Connector 3063">
            <a:extLst>
              <a:ext uri="{FF2B5EF4-FFF2-40B4-BE49-F238E27FC236}">
                <a16:creationId xmlns:a16="http://schemas.microsoft.com/office/drawing/2014/main" id="{C6FF7E31-9603-03E6-A5F1-1A2DF97AD37A}"/>
              </a:ext>
            </a:extLst>
          </xdr:cNvPr>
          <xdr:cNvCxnSpPr/>
        </xdr:nvCxnSpPr>
        <xdr:spPr>
          <a:xfrm flipH="1" flipV="1">
            <a:off x="9369425" y="29251275"/>
            <a:ext cx="212725" cy="1028700"/>
          </a:xfrm>
          <a:prstGeom prst="line">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065" name="Straight Connector 3064">
            <a:extLst>
              <a:ext uri="{FF2B5EF4-FFF2-40B4-BE49-F238E27FC236}">
                <a16:creationId xmlns:a16="http://schemas.microsoft.com/office/drawing/2014/main" id="{B4FDD80B-4861-DFF8-7869-FD72E6D17315}"/>
              </a:ext>
            </a:extLst>
          </xdr:cNvPr>
          <xdr:cNvCxnSpPr/>
        </xdr:nvCxnSpPr>
        <xdr:spPr>
          <a:xfrm flipV="1">
            <a:off x="9582150" y="28905200"/>
            <a:ext cx="47625" cy="1365250"/>
          </a:xfrm>
          <a:prstGeom prst="line">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066" name="Straight Connector 3065">
            <a:extLst>
              <a:ext uri="{FF2B5EF4-FFF2-40B4-BE49-F238E27FC236}">
                <a16:creationId xmlns:a16="http://schemas.microsoft.com/office/drawing/2014/main" id="{258CCB0B-690B-8E22-DC13-EF09B85C0CD3}"/>
              </a:ext>
            </a:extLst>
          </xdr:cNvPr>
          <xdr:cNvCxnSpPr/>
        </xdr:nvCxnSpPr>
        <xdr:spPr>
          <a:xfrm flipV="1">
            <a:off x="10344150" y="28965525"/>
            <a:ext cx="328613" cy="381000"/>
          </a:xfrm>
          <a:prstGeom prst="line">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067" name="Straight Connector 3066">
            <a:extLst>
              <a:ext uri="{FF2B5EF4-FFF2-40B4-BE49-F238E27FC236}">
                <a16:creationId xmlns:a16="http://schemas.microsoft.com/office/drawing/2014/main" id="{E1E8AB63-9C8E-02DD-56A3-F507BFACB92F}"/>
              </a:ext>
            </a:extLst>
          </xdr:cNvPr>
          <xdr:cNvCxnSpPr/>
        </xdr:nvCxnSpPr>
        <xdr:spPr>
          <a:xfrm flipV="1">
            <a:off x="10353675" y="28970288"/>
            <a:ext cx="309563" cy="23812"/>
          </a:xfrm>
          <a:prstGeom prst="line">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068" name="Straight Connector 3067">
            <a:extLst>
              <a:ext uri="{FF2B5EF4-FFF2-40B4-BE49-F238E27FC236}">
                <a16:creationId xmlns:a16="http://schemas.microsoft.com/office/drawing/2014/main" id="{6C80CD40-8995-D27C-31B8-B1601FCBF2B4}"/>
              </a:ext>
            </a:extLst>
          </xdr:cNvPr>
          <xdr:cNvCxnSpPr/>
        </xdr:nvCxnSpPr>
        <xdr:spPr>
          <a:xfrm>
            <a:off x="10340975" y="28673425"/>
            <a:ext cx="331788" cy="301625"/>
          </a:xfrm>
          <a:prstGeom prst="line">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069" name="Straight Connector 3068">
            <a:extLst>
              <a:ext uri="{FF2B5EF4-FFF2-40B4-BE49-F238E27FC236}">
                <a16:creationId xmlns:a16="http://schemas.microsoft.com/office/drawing/2014/main" id="{D24FC466-221E-8366-BF07-D30210D3CD29}"/>
              </a:ext>
            </a:extLst>
          </xdr:cNvPr>
          <xdr:cNvCxnSpPr/>
        </xdr:nvCxnSpPr>
        <xdr:spPr>
          <a:xfrm flipV="1">
            <a:off x="10391775" y="28117800"/>
            <a:ext cx="309563" cy="252412"/>
          </a:xfrm>
          <a:prstGeom prst="line">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070" name="Straight Connector 3069">
            <a:extLst>
              <a:ext uri="{FF2B5EF4-FFF2-40B4-BE49-F238E27FC236}">
                <a16:creationId xmlns:a16="http://schemas.microsoft.com/office/drawing/2014/main" id="{7F7DC2F2-4D7E-9926-F7CB-0C77FBADC6B7}"/>
              </a:ext>
            </a:extLst>
          </xdr:cNvPr>
          <xdr:cNvCxnSpPr/>
        </xdr:nvCxnSpPr>
        <xdr:spPr>
          <a:xfrm>
            <a:off x="10358437" y="27932062"/>
            <a:ext cx="333376" cy="185738"/>
          </a:xfrm>
          <a:prstGeom prst="line">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071" name="Straight Connector 3070">
            <a:extLst>
              <a:ext uri="{FF2B5EF4-FFF2-40B4-BE49-F238E27FC236}">
                <a16:creationId xmlns:a16="http://schemas.microsoft.com/office/drawing/2014/main" id="{0FD7CEFA-377A-28AF-1EAC-4F94156A5EFB}"/>
              </a:ext>
            </a:extLst>
          </xdr:cNvPr>
          <xdr:cNvCxnSpPr/>
        </xdr:nvCxnSpPr>
        <xdr:spPr>
          <a:xfrm flipV="1">
            <a:off x="6638924" y="28152726"/>
            <a:ext cx="642937" cy="28098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072" name="Straight Connector 3071">
            <a:extLst>
              <a:ext uri="{FF2B5EF4-FFF2-40B4-BE49-F238E27FC236}">
                <a16:creationId xmlns:a16="http://schemas.microsoft.com/office/drawing/2014/main" id="{543FEBDA-30A6-6DF7-AA13-8DAFF79A98B5}"/>
              </a:ext>
            </a:extLst>
          </xdr:cNvPr>
          <xdr:cNvCxnSpPr/>
        </xdr:nvCxnSpPr>
        <xdr:spPr>
          <a:xfrm>
            <a:off x="6642099" y="28151138"/>
            <a:ext cx="647700" cy="2857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073" name="Straight Connector 3072">
            <a:extLst>
              <a:ext uri="{FF2B5EF4-FFF2-40B4-BE49-F238E27FC236}">
                <a16:creationId xmlns:a16="http://schemas.microsoft.com/office/drawing/2014/main" id="{A7361AFA-F046-6B87-D23B-6419EE4AC841}"/>
              </a:ext>
            </a:extLst>
          </xdr:cNvPr>
          <xdr:cNvCxnSpPr/>
        </xdr:nvCxnSpPr>
        <xdr:spPr>
          <a:xfrm flipV="1">
            <a:off x="7281861" y="28152726"/>
            <a:ext cx="642937" cy="28098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074" name="Straight Connector 3073">
            <a:extLst>
              <a:ext uri="{FF2B5EF4-FFF2-40B4-BE49-F238E27FC236}">
                <a16:creationId xmlns:a16="http://schemas.microsoft.com/office/drawing/2014/main" id="{993D759E-8446-A0D9-17B9-19C3199783D7}"/>
              </a:ext>
            </a:extLst>
          </xdr:cNvPr>
          <xdr:cNvCxnSpPr/>
        </xdr:nvCxnSpPr>
        <xdr:spPr>
          <a:xfrm>
            <a:off x="7285036" y="28151138"/>
            <a:ext cx="647700" cy="2857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075" name="Straight Connector 3074">
            <a:extLst>
              <a:ext uri="{FF2B5EF4-FFF2-40B4-BE49-F238E27FC236}">
                <a16:creationId xmlns:a16="http://schemas.microsoft.com/office/drawing/2014/main" id="{3C11CFE8-631D-F143-B149-159ECBE9B90A}"/>
              </a:ext>
            </a:extLst>
          </xdr:cNvPr>
          <xdr:cNvCxnSpPr/>
        </xdr:nvCxnSpPr>
        <xdr:spPr>
          <a:xfrm flipV="1">
            <a:off x="8582025" y="28152727"/>
            <a:ext cx="642937" cy="28098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076" name="Straight Connector 3075">
            <a:extLst>
              <a:ext uri="{FF2B5EF4-FFF2-40B4-BE49-F238E27FC236}">
                <a16:creationId xmlns:a16="http://schemas.microsoft.com/office/drawing/2014/main" id="{E08173BF-B8F2-620E-D977-4C854E1806E1}"/>
              </a:ext>
            </a:extLst>
          </xdr:cNvPr>
          <xdr:cNvCxnSpPr/>
        </xdr:nvCxnSpPr>
        <xdr:spPr>
          <a:xfrm>
            <a:off x="8585200" y="28151139"/>
            <a:ext cx="647700" cy="2857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077" name="Straight Connector 3076">
            <a:extLst>
              <a:ext uri="{FF2B5EF4-FFF2-40B4-BE49-F238E27FC236}">
                <a16:creationId xmlns:a16="http://schemas.microsoft.com/office/drawing/2014/main" id="{13332811-11A3-2653-538B-2460BE4243FE}"/>
              </a:ext>
            </a:extLst>
          </xdr:cNvPr>
          <xdr:cNvCxnSpPr/>
        </xdr:nvCxnSpPr>
        <xdr:spPr>
          <a:xfrm flipV="1">
            <a:off x="9229725" y="28152727"/>
            <a:ext cx="642937" cy="28098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078" name="Straight Connector 3077">
            <a:extLst>
              <a:ext uri="{FF2B5EF4-FFF2-40B4-BE49-F238E27FC236}">
                <a16:creationId xmlns:a16="http://schemas.microsoft.com/office/drawing/2014/main" id="{92A9C56F-6DDC-98E7-2605-FBF304DC47F8}"/>
              </a:ext>
            </a:extLst>
          </xdr:cNvPr>
          <xdr:cNvCxnSpPr/>
        </xdr:nvCxnSpPr>
        <xdr:spPr>
          <a:xfrm>
            <a:off x="9232900" y="28151139"/>
            <a:ext cx="647700" cy="2857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nvGrpSpPr>
          <xdr:cNvPr id="3079" name="Group 3078">
            <a:extLst>
              <a:ext uri="{FF2B5EF4-FFF2-40B4-BE49-F238E27FC236}">
                <a16:creationId xmlns:a16="http://schemas.microsoft.com/office/drawing/2014/main" id="{B68A19C7-E5B6-92E2-F2F3-F08962665581}"/>
              </a:ext>
            </a:extLst>
          </xdr:cNvPr>
          <xdr:cNvGrpSpPr/>
        </xdr:nvGrpSpPr>
        <xdr:grpSpPr>
          <a:xfrm>
            <a:off x="6645275" y="28965525"/>
            <a:ext cx="1289050" cy="1323975"/>
            <a:chOff x="6645275" y="2200275"/>
            <a:chExt cx="1289050" cy="1323975"/>
          </a:xfrm>
        </xdr:grpSpPr>
        <xdr:cxnSp macro="">
          <xdr:nvCxnSpPr>
            <xdr:cNvPr id="3080" name="Straight Connector 3079">
              <a:extLst>
                <a:ext uri="{FF2B5EF4-FFF2-40B4-BE49-F238E27FC236}">
                  <a16:creationId xmlns:a16="http://schemas.microsoft.com/office/drawing/2014/main" id="{4BD9BDBB-60D5-384D-99B3-BDCA304BEE0B}"/>
                </a:ext>
              </a:extLst>
            </xdr:cNvPr>
            <xdr:cNvCxnSpPr/>
          </xdr:nvCxnSpPr>
          <xdr:spPr>
            <a:xfrm flipH="1" flipV="1">
              <a:off x="6645275" y="2327275"/>
              <a:ext cx="241300" cy="1196975"/>
            </a:xfrm>
            <a:prstGeom prst="line">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081" name="Straight Connector 3080">
              <a:extLst>
                <a:ext uri="{FF2B5EF4-FFF2-40B4-BE49-F238E27FC236}">
                  <a16:creationId xmlns:a16="http://schemas.microsoft.com/office/drawing/2014/main" id="{015DA327-7EC5-340F-5074-8DA7FE1F3FE4}"/>
                </a:ext>
              </a:extLst>
            </xdr:cNvPr>
            <xdr:cNvCxnSpPr/>
          </xdr:nvCxnSpPr>
          <xdr:spPr>
            <a:xfrm flipV="1">
              <a:off x="6886575" y="2200275"/>
              <a:ext cx="400050" cy="1323975"/>
            </a:xfrm>
            <a:prstGeom prst="line">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082" name="Straight Connector 3081">
              <a:extLst>
                <a:ext uri="{FF2B5EF4-FFF2-40B4-BE49-F238E27FC236}">
                  <a16:creationId xmlns:a16="http://schemas.microsoft.com/office/drawing/2014/main" id="{8218B448-C070-9845-BD6B-178ACFC902F8}"/>
                </a:ext>
              </a:extLst>
            </xdr:cNvPr>
            <xdr:cNvCxnSpPr/>
          </xdr:nvCxnSpPr>
          <xdr:spPr>
            <a:xfrm flipV="1">
              <a:off x="6886575" y="2247900"/>
              <a:ext cx="1047750" cy="1276350"/>
            </a:xfrm>
            <a:prstGeom prst="line">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grpSp>
      <xdr:cxnSp macro="">
        <xdr:nvCxnSpPr>
          <xdr:cNvPr id="3276" name="Straight Connector 3275">
            <a:extLst>
              <a:ext uri="{FF2B5EF4-FFF2-40B4-BE49-F238E27FC236}">
                <a16:creationId xmlns:a16="http://schemas.microsoft.com/office/drawing/2014/main" id="{DCE01FD3-4D65-497D-ABB2-D98C7C20BA06}"/>
              </a:ext>
            </a:extLst>
          </xdr:cNvPr>
          <xdr:cNvCxnSpPr/>
        </xdr:nvCxnSpPr>
        <xdr:spPr>
          <a:xfrm flipH="1">
            <a:off x="5991225" y="28575001"/>
            <a:ext cx="453548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279" name="Straight Connector 3278">
            <a:extLst>
              <a:ext uri="{FF2B5EF4-FFF2-40B4-BE49-F238E27FC236}">
                <a16:creationId xmlns:a16="http://schemas.microsoft.com/office/drawing/2014/main" id="{B38E3B5B-E15B-9820-56DD-714C34EE796A}"/>
              </a:ext>
            </a:extLst>
          </xdr:cNvPr>
          <xdr:cNvCxnSpPr/>
        </xdr:nvCxnSpPr>
        <xdr:spPr>
          <a:xfrm>
            <a:off x="6800851" y="28432125"/>
            <a:ext cx="0" cy="1428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282" name="Straight Connector 3281">
            <a:extLst>
              <a:ext uri="{FF2B5EF4-FFF2-40B4-BE49-F238E27FC236}">
                <a16:creationId xmlns:a16="http://schemas.microsoft.com/office/drawing/2014/main" id="{30B68010-5045-3A3F-B15E-6664B5C66035}"/>
              </a:ext>
            </a:extLst>
          </xdr:cNvPr>
          <xdr:cNvCxnSpPr/>
        </xdr:nvCxnSpPr>
        <xdr:spPr>
          <a:xfrm flipH="1">
            <a:off x="6637339" y="28432125"/>
            <a:ext cx="161924" cy="13811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284" name="Straight Connector 3283">
            <a:extLst>
              <a:ext uri="{FF2B5EF4-FFF2-40B4-BE49-F238E27FC236}">
                <a16:creationId xmlns:a16="http://schemas.microsoft.com/office/drawing/2014/main" id="{2D8707A5-425C-4F3D-966E-94664B490F73}"/>
              </a:ext>
            </a:extLst>
          </xdr:cNvPr>
          <xdr:cNvCxnSpPr/>
        </xdr:nvCxnSpPr>
        <xdr:spPr>
          <a:xfrm>
            <a:off x="6959601" y="28435300"/>
            <a:ext cx="0" cy="1397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285" name="Straight Connector 3284">
            <a:extLst>
              <a:ext uri="{FF2B5EF4-FFF2-40B4-BE49-F238E27FC236}">
                <a16:creationId xmlns:a16="http://schemas.microsoft.com/office/drawing/2014/main" id="{0ABD3947-5466-4334-8836-57F5DE3A0D60}"/>
              </a:ext>
            </a:extLst>
          </xdr:cNvPr>
          <xdr:cNvCxnSpPr/>
        </xdr:nvCxnSpPr>
        <xdr:spPr>
          <a:xfrm flipH="1">
            <a:off x="6800850" y="28432125"/>
            <a:ext cx="157163" cy="1397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289" name="Straight Connector 3288">
            <a:extLst>
              <a:ext uri="{FF2B5EF4-FFF2-40B4-BE49-F238E27FC236}">
                <a16:creationId xmlns:a16="http://schemas.microsoft.com/office/drawing/2014/main" id="{A9732D70-7AAF-49B1-BE7D-C2EE93CA8B92}"/>
              </a:ext>
            </a:extLst>
          </xdr:cNvPr>
          <xdr:cNvCxnSpPr/>
        </xdr:nvCxnSpPr>
        <xdr:spPr>
          <a:xfrm>
            <a:off x="7124701" y="28432125"/>
            <a:ext cx="0" cy="1428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290" name="Straight Connector 3289">
            <a:extLst>
              <a:ext uri="{FF2B5EF4-FFF2-40B4-BE49-F238E27FC236}">
                <a16:creationId xmlns:a16="http://schemas.microsoft.com/office/drawing/2014/main" id="{74A65FE7-032E-46C2-A555-32980DB2DD31}"/>
              </a:ext>
            </a:extLst>
          </xdr:cNvPr>
          <xdr:cNvCxnSpPr/>
        </xdr:nvCxnSpPr>
        <xdr:spPr>
          <a:xfrm flipH="1">
            <a:off x="6961189" y="28432125"/>
            <a:ext cx="161924" cy="13811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291" name="Straight Connector 3290">
            <a:extLst>
              <a:ext uri="{FF2B5EF4-FFF2-40B4-BE49-F238E27FC236}">
                <a16:creationId xmlns:a16="http://schemas.microsoft.com/office/drawing/2014/main" id="{A7E7CBC9-461D-4535-86EC-FB0655C8F273}"/>
              </a:ext>
            </a:extLst>
          </xdr:cNvPr>
          <xdr:cNvCxnSpPr/>
        </xdr:nvCxnSpPr>
        <xdr:spPr>
          <a:xfrm flipH="1">
            <a:off x="7124700" y="28432125"/>
            <a:ext cx="157163" cy="1397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304" name="Straight Connector 3303">
            <a:extLst>
              <a:ext uri="{FF2B5EF4-FFF2-40B4-BE49-F238E27FC236}">
                <a16:creationId xmlns:a16="http://schemas.microsoft.com/office/drawing/2014/main" id="{A1569256-B398-4D2D-A980-4EA364438A31}"/>
              </a:ext>
            </a:extLst>
          </xdr:cNvPr>
          <xdr:cNvCxnSpPr/>
        </xdr:nvCxnSpPr>
        <xdr:spPr>
          <a:xfrm>
            <a:off x="5988050" y="28571825"/>
            <a:ext cx="647700" cy="3302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306" name="Straight Connector 3305">
            <a:extLst>
              <a:ext uri="{FF2B5EF4-FFF2-40B4-BE49-F238E27FC236}">
                <a16:creationId xmlns:a16="http://schemas.microsoft.com/office/drawing/2014/main" id="{95F8A99E-3489-41FD-9E61-B9D763E4D51E}"/>
              </a:ext>
            </a:extLst>
          </xdr:cNvPr>
          <xdr:cNvCxnSpPr/>
        </xdr:nvCxnSpPr>
        <xdr:spPr>
          <a:xfrm>
            <a:off x="6153151" y="28432125"/>
            <a:ext cx="0" cy="1428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307" name="Straight Connector 3306">
            <a:extLst>
              <a:ext uri="{FF2B5EF4-FFF2-40B4-BE49-F238E27FC236}">
                <a16:creationId xmlns:a16="http://schemas.microsoft.com/office/drawing/2014/main" id="{4311512E-5AC2-4ED5-8B08-300B53127C61}"/>
              </a:ext>
            </a:extLst>
          </xdr:cNvPr>
          <xdr:cNvCxnSpPr/>
        </xdr:nvCxnSpPr>
        <xdr:spPr>
          <a:xfrm flipH="1">
            <a:off x="5989639" y="28432125"/>
            <a:ext cx="161924" cy="13811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308" name="Straight Connector 3307">
            <a:extLst>
              <a:ext uri="{FF2B5EF4-FFF2-40B4-BE49-F238E27FC236}">
                <a16:creationId xmlns:a16="http://schemas.microsoft.com/office/drawing/2014/main" id="{2ED98B1F-D6D4-4772-B95C-D3E0CCB66C1F}"/>
              </a:ext>
            </a:extLst>
          </xdr:cNvPr>
          <xdr:cNvCxnSpPr/>
        </xdr:nvCxnSpPr>
        <xdr:spPr>
          <a:xfrm>
            <a:off x="6311901" y="28435300"/>
            <a:ext cx="0" cy="1397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309" name="Straight Connector 3308">
            <a:extLst>
              <a:ext uri="{FF2B5EF4-FFF2-40B4-BE49-F238E27FC236}">
                <a16:creationId xmlns:a16="http://schemas.microsoft.com/office/drawing/2014/main" id="{DC8694C6-5914-419B-AE1B-4F57ADD1BDDB}"/>
              </a:ext>
            </a:extLst>
          </xdr:cNvPr>
          <xdr:cNvCxnSpPr/>
        </xdr:nvCxnSpPr>
        <xdr:spPr>
          <a:xfrm flipH="1">
            <a:off x="6153150" y="28432125"/>
            <a:ext cx="157163" cy="1397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310" name="Straight Connector 3309">
            <a:extLst>
              <a:ext uri="{FF2B5EF4-FFF2-40B4-BE49-F238E27FC236}">
                <a16:creationId xmlns:a16="http://schemas.microsoft.com/office/drawing/2014/main" id="{F2DA2B24-D9C9-4FD5-8D74-5BCF8C7B9BC5}"/>
              </a:ext>
            </a:extLst>
          </xdr:cNvPr>
          <xdr:cNvCxnSpPr/>
        </xdr:nvCxnSpPr>
        <xdr:spPr>
          <a:xfrm>
            <a:off x="6477001" y="28432125"/>
            <a:ext cx="0" cy="1428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311" name="Straight Connector 3310">
            <a:extLst>
              <a:ext uri="{FF2B5EF4-FFF2-40B4-BE49-F238E27FC236}">
                <a16:creationId xmlns:a16="http://schemas.microsoft.com/office/drawing/2014/main" id="{57A9278C-73D6-4FEB-B508-DFDCC1219802}"/>
              </a:ext>
            </a:extLst>
          </xdr:cNvPr>
          <xdr:cNvCxnSpPr/>
        </xdr:nvCxnSpPr>
        <xdr:spPr>
          <a:xfrm flipH="1">
            <a:off x="6313489" y="28432125"/>
            <a:ext cx="161924" cy="13811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312" name="Straight Connector 3311">
            <a:extLst>
              <a:ext uri="{FF2B5EF4-FFF2-40B4-BE49-F238E27FC236}">
                <a16:creationId xmlns:a16="http://schemas.microsoft.com/office/drawing/2014/main" id="{23BCEE75-F7F0-4166-B422-5D0EEA141D21}"/>
              </a:ext>
            </a:extLst>
          </xdr:cNvPr>
          <xdr:cNvCxnSpPr/>
        </xdr:nvCxnSpPr>
        <xdr:spPr>
          <a:xfrm flipH="1">
            <a:off x="6477000" y="28432125"/>
            <a:ext cx="157163" cy="1397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313" name="Straight Connector 3312">
            <a:extLst>
              <a:ext uri="{FF2B5EF4-FFF2-40B4-BE49-F238E27FC236}">
                <a16:creationId xmlns:a16="http://schemas.microsoft.com/office/drawing/2014/main" id="{8B73CBD9-C2C3-45A7-BFB2-2BE003FA6C9C}"/>
              </a:ext>
            </a:extLst>
          </xdr:cNvPr>
          <xdr:cNvCxnSpPr/>
        </xdr:nvCxnSpPr>
        <xdr:spPr>
          <a:xfrm>
            <a:off x="8096251" y="28432125"/>
            <a:ext cx="0" cy="1428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314" name="Straight Connector 3313">
            <a:extLst>
              <a:ext uri="{FF2B5EF4-FFF2-40B4-BE49-F238E27FC236}">
                <a16:creationId xmlns:a16="http://schemas.microsoft.com/office/drawing/2014/main" id="{8D136B72-C392-4284-ACB8-2DA241D9CCE5}"/>
              </a:ext>
            </a:extLst>
          </xdr:cNvPr>
          <xdr:cNvCxnSpPr/>
        </xdr:nvCxnSpPr>
        <xdr:spPr>
          <a:xfrm flipH="1">
            <a:off x="7932739" y="28432125"/>
            <a:ext cx="161924" cy="13811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315" name="Straight Connector 3314">
            <a:extLst>
              <a:ext uri="{FF2B5EF4-FFF2-40B4-BE49-F238E27FC236}">
                <a16:creationId xmlns:a16="http://schemas.microsoft.com/office/drawing/2014/main" id="{6B07A9E6-4ED9-4C1C-A5AD-3FEBA7F70375}"/>
              </a:ext>
            </a:extLst>
          </xdr:cNvPr>
          <xdr:cNvCxnSpPr/>
        </xdr:nvCxnSpPr>
        <xdr:spPr>
          <a:xfrm>
            <a:off x="8255001" y="28435300"/>
            <a:ext cx="0" cy="1397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316" name="Straight Connector 3315">
            <a:extLst>
              <a:ext uri="{FF2B5EF4-FFF2-40B4-BE49-F238E27FC236}">
                <a16:creationId xmlns:a16="http://schemas.microsoft.com/office/drawing/2014/main" id="{A7117DD4-D71A-4AC9-BBB3-DE3FB45F4D6F}"/>
              </a:ext>
            </a:extLst>
          </xdr:cNvPr>
          <xdr:cNvCxnSpPr/>
        </xdr:nvCxnSpPr>
        <xdr:spPr>
          <a:xfrm flipH="1">
            <a:off x="8096250" y="28432125"/>
            <a:ext cx="157163" cy="1397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317" name="Straight Connector 3316">
            <a:extLst>
              <a:ext uri="{FF2B5EF4-FFF2-40B4-BE49-F238E27FC236}">
                <a16:creationId xmlns:a16="http://schemas.microsoft.com/office/drawing/2014/main" id="{A37308BC-D10B-4ED1-842B-7A6CA67086AF}"/>
              </a:ext>
            </a:extLst>
          </xdr:cNvPr>
          <xdr:cNvCxnSpPr/>
        </xdr:nvCxnSpPr>
        <xdr:spPr>
          <a:xfrm>
            <a:off x="8420101" y="28432125"/>
            <a:ext cx="0" cy="1428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318" name="Straight Connector 3317">
            <a:extLst>
              <a:ext uri="{FF2B5EF4-FFF2-40B4-BE49-F238E27FC236}">
                <a16:creationId xmlns:a16="http://schemas.microsoft.com/office/drawing/2014/main" id="{C6923989-B574-4473-BF3B-B61F3D92D77B}"/>
              </a:ext>
            </a:extLst>
          </xdr:cNvPr>
          <xdr:cNvCxnSpPr/>
        </xdr:nvCxnSpPr>
        <xdr:spPr>
          <a:xfrm flipH="1">
            <a:off x="8256589" y="28432125"/>
            <a:ext cx="161924" cy="13811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319" name="Straight Connector 3318">
            <a:extLst>
              <a:ext uri="{FF2B5EF4-FFF2-40B4-BE49-F238E27FC236}">
                <a16:creationId xmlns:a16="http://schemas.microsoft.com/office/drawing/2014/main" id="{D2182DCF-7B32-4F68-85EF-C2512F118A5C}"/>
              </a:ext>
            </a:extLst>
          </xdr:cNvPr>
          <xdr:cNvCxnSpPr/>
        </xdr:nvCxnSpPr>
        <xdr:spPr>
          <a:xfrm flipH="1">
            <a:off x="8420100" y="28432125"/>
            <a:ext cx="157163" cy="1397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320" name="Straight Connector 3319">
            <a:extLst>
              <a:ext uri="{FF2B5EF4-FFF2-40B4-BE49-F238E27FC236}">
                <a16:creationId xmlns:a16="http://schemas.microsoft.com/office/drawing/2014/main" id="{448DA4C1-31E0-4C94-8775-0F769D0A915A}"/>
              </a:ext>
            </a:extLst>
          </xdr:cNvPr>
          <xdr:cNvCxnSpPr/>
        </xdr:nvCxnSpPr>
        <xdr:spPr>
          <a:xfrm>
            <a:off x="7448551" y="28432125"/>
            <a:ext cx="0" cy="1428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321" name="Straight Connector 3320">
            <a:extLst>
              <a:ext uri="{FF2B5EF4-FFF2-40B4-BE49-F238E27FC236}">
                <a16:creationId xmlns:a16="http://schemas.microsoft.com/office/drawing/2014/main" id="{E3AF1B68-3A4D-49BD-899A-589AC0EC8749}"/>
              </a:ext>
            </a:extLst>
          </xdr:cNvPr>
          <xdr:cNvCxnSpPr/>
        </xdr:nvCxnSpPr>
        <xdr:spPr>
          <a:xfrm flipH="1">
            <a:off x="7285039" y="28432125"/>
            <a:ext cx="161924" cy="13811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322" name="Straight Connector 3321">
            <a:extLst>
              <a:ext uri="{FF2B5EF4-FFF2-40B4-BE49-F238E27FC236}">
                <a16:creationId xmlns:a16="http://schemas.microsoft.com/office/drawing/2014/main" id="{88C87BE4-B52E-44A4-B2D5-2EE52D6EFD02}"/>
              </a:ext>
            </a:extLst>
          </xdr:cNvPr>
          <xdr:cNvCxnSpPr/>
        </xdr:nvCxnSpPr>
        <xdr:spPr>
          <a:xfrm>
            <a:off x="7607301" y="28435300"/>
            <a:ext cx="0" cy="1397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323" name="Straight Connector 3322">
            <a:extLst>
              <a:ext uri="{FF2B5EF4-FFF2-40B4-BE49-F238E27FC236}">
                <a16:creationId xmlns:a16="http://schemas.microsoft.com/office/drawing/2014/main" id="{2E3130FA-B48B-4466-AEF8-78E2CE9E4BD7}"/>
              </a:ext>
            </a:extLst>
          </xdr:cNvPr>
          <xdr:cNvCxnSpPr/>
        </xdr:nvCxnSpPr>
        <xdr:spPr>
          <a:xfrm flipH="1">
            <a:off x="7448550" y="28432125"/>
            <a:ext cx="157163" cy="1397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324" name="Straight Connector 3323">
            <a:extLst>
              <a:ext uri="{FF2B5EF4-FFF2-40B4-BE49-F238E27FC236}">
                <a16:creationId xmlns:a16="http://schemas.microsoft.com/office/drawing/2014/main" id="{107709B2-A5D9-4D4E-81E0-65A1A0089D85}"/>
              </a:ext>
            </a:extLst>
          </xdr:cNvPr>
          <xdr:cNvCxnSpPr/>
        </xdr:nvCxnSpPr>
        <xdr:spPr>
          <a:xfrm>
            <a:off x="7772401" y="28432125"/>
            <a:ext cx="0" cy="1428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325" name="Straight Connector 3324">
            <a:extLst>
              <a:ext uri="{FF2B5EF4-FFF2-40B4-BE49-F238E27FC236}">
                <a16:creationId xmlns:a16="http://schemas.microsoft.com/office/drawing/2014/main" id="{51A58547-761A-4584-9E63-6939F61B7C9F}"/>
              </a:ext>
            </a:extLst>
          </xdr:cNvPr>
          <xdr:cNvCxnSpPr/>
        </xdr:nvCxnSpPr>
        <xdr:spPr>
          <a:xfrm flipH="1">
            <a:off x="7608889" y="28432125"/>
            <a:ext cx="161924" cy="13811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326" name="Straight Connector 3325">
            <a:extLst>
              <a:ext uri="{FF2B5EF4-FFF2-40B4-BE49-F238E27FC236}">
                <a16:creationId xmlns:a16="http://schemas.microsoft.com/office/drawing/2014/main" id="{E5193A83-4A80-45FF-9ECA-753B094446BA}"/>
              </a:ext>
            </a:extLst>
          </xdr:cNvPr>
          <xdr:cNvCxnSpPr/>
        </xdr:nvCxnSpPr>
        <xdr:spPr>
          <a:xfrm flipH="1">
            <a:off x="7772400" y="28432125"/>
            <a:ext cx="157163" cy="1397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327" name="Straight Connector 3326">
            <a:extLst>
              <a:ext uri="{FF2B5EF4-FFF2-40B4-BE49-F238E27FC236}">
                <a16:creationId xmlns:a16="http://schemas.microsoft.com/office/drawing/2014/main" id="{4C4D15B7-FFFD-4FF7-A8CD-71D44C8F8B6B}"/>
              </a:ext>
            </a:extLst>
          </xdr:cNvPr>
          <xdr:cNvCxnSpPr/>
        </xdr:nvCxnSpPr>
        <xdr:spPr>
          <a:xfrm>
            <a:off x="8743951" y="28432125"/>
            <a:ext cx="0" cy="1428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328" name="Straight Connector 3327">
            <a:extLst>
              <a:ext uri="{FF2B5EF4-FFF2-40B4-BE49-F238E27FC236}">
                <a16:creationId xmlns:a16="http://schemas.microsoft.com/office/drawing/2014/main" id="{09EB6ED2-6846-47AE-8373-2D14DBF8C141}"/>
              </a:ext>
            </a:extLst>
          </xdr:cNvPr>
          <xdr:cNvCxnSpPr/>
        </xdr:nvCxnSpPr>
        <xdr:spPr>
          <a:xfrm flipH="1">
            <a:off x="8580439" y="28432125"/>
            <a:ext cx="161924" cy="13811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329" name="Straight Connector 3328">
            <a:extLst>
              <a:ext uri="{FF2B5EF4-FFF2-40B4-BE49-F238E27FC236}">
                <a16:creationId xmlns:a16="http://schemas.microsoft.com/office/drawing/2014/main" id="{9A5ECED2-49B6-4FFF-B148-775D370438BA}"/>
              </a:ext>
            </a:extLst>
          </xdr:cNvPr>
          <xdr:cNvCxnSpPr/>
        </xdr:nvCxnSpPr>
        <xdr:spPr>
          <a:xfrm>
            <a:off x="8902701" y="28435300"/>
            <a:ext cx="0" cy="1397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330" name="Straight Connector 3329">
            <a:extLst>
              <a:ext uri="{FF2B5EF4-FFF2-40B4-BE49-F238E27FC236}">
                <a16:creationId xmlns:a16="http://schemas.microsoft.com/office/drawing/2014/main" id="{D40FE2A3-C957-4F0F-87C0-B1B7D1625710}"/>
              </a:ext>
            </a:extLst>
          </xdr:cNvPr>
          <xdr:cNvCxnSpPr/>
        </xdr:nvCxnSpPr>
        <xdr:spPr>
          <a:xfrm flipH="1">
            <a:off x="8743950" y="28432125"/>
            <a:ext cx="157163" cy="1397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331" name="Straight Connector 3330">
            <a:extLst>
              <a:ext uri="{FF2B5EF4-FFF2-40B4-BE49-F238E27FC236}">
                <a16:creationId xmlns:a16="http://schemas.microsoft.com/office/drawing/2014/main" id="{910B4995-001F-4454-B7B6-3FFD62B310CB}"/>
              </a:ext>
            </a:extLst>
          </xdr:cNvPr>
          <xdr:cNvCxnSpPr/>
        </xdr:nvCxnSpPr>
        <xdr:spPr>
          <a:xfrm>
            <a:off x="9067801" y="28432125"/>
            <a:ext cx="0" cy="1428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332" name="Straight Connector 3331">
            <a:extLst>
              <a:ext uri="{FF2B5EF4-FFF2-40B4-BE49-F238E27FC236}">
                <a16:creationId xmlns:a16="http://schemas.microsoft.com/office/drawing/2014/main" id="{8AC898FC-6F50-48B5-9005-7B6DFBE7F02B}"/>
              </a:ext>
            </a:extLst>
          </xdr:cNvPr>
          <xdr:cNvCxnSpPr/>
        </xdr:nvCxnSpPr>
        <xdr:spPr>
          <a:xfrm flipH="1">
            <a:off x="8904289" y="28432125"/>
            <a:ext cx="161924" cy="13811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333" name="Straight Connector 3332">
            <a:extLst>
              <a:ext uri="{FF2B5EF4-FFF2-40B4-BE49-F238E27FC236}">
                <a16:creationId xmlns:a16="http://schemas.microsoft.com/office/drawing/2014/main" id="{AA76BB14-2FBA-49D1-B613-7570A0A0C2CA}"/>
              </a:ext>
            </a:extLst>
          </xdr:cNvPr>
          <xdr:cNvCxnSpPr/>
        </xdr:nvCxnSpPr>
        <xdr:spPr>
          <a:xfrm flipH="1">
            <a:off x="9067800" y="28432125"/>
            <a:ext cx="157163" cy="1397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334" name="Straight Connector 3333">
            <a:extLst>
              <a:ext uri="{FF2B5EF4-FFF2-40B4-BE49-F238E27FC236}">
                <a16:creationId xmlns:a16="http://schemas.microsoft.com/office/drawing/2014/main" id="{6D6A9190-782E-484C-83BB-5DCCF9DA9E75}"/>
              </a:ext>
            </a:extLst>
          </xdr:cNvPr>
          <xdr:cNvCxnSpPr/>
        </xdr:nvCxnSpPr>
        <xdr:spPr>
          <a:xfrm>
            <a:off x="9391651" y="28432125"/>
            <a:ext cx="0" cy="1428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335" name="Straight Connector 3334">
            <a:extLst>
              <a:ext uri="{FF2B5EF4-FFF2-40B4-BE49-F238E27FC236}">
                <a16:creationId xmlns:a16="http://schemas.microsoft.com/office/drawing/2014/main" id="{4DA3DFE1-8FB2-46C6-A2B4-9A65DC551D37}"/>
              </a:ext>
            </a:extLst>
          </xdr:cNvPr>
          <xdr:cNvCxnSpPr/>
        </xdr:nvCxnSpPr>
        <xdr:spPr>
          <a:xfrm flipH="1">
            <a:off x="9228139" y="28432125"/>
            <a:ext cx="161924" cy="13811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336" name="Straight Connector 3335">
            <a:extLst>
              <a:ext uri="{FF2B5EF4-FFF2-40B4-BE49-F238E27FC236}">
                <a16:creationId xmlns:a16="http://schemas.microsoft.com/office/drawing/2014/main" id="{0FD9433A-CDCA-4BB2-9F28-290BCB3619BE}"/>
              </a:ext>
            </a:extLst>
          </xdr:cNvPr>
          <xdr:cNvCxnSpPr/>
        </xdr:nvCxnSpPr>
        <xdr:spPr>
          <a:xfrm>
            <a:off x="9550401" y="28435300"/>
            <a:ext cx="0" cy="1397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337" name="Straight Connector 3336">
            <a:extLst>
              <a:ext uri="{FF2B5EF4-FFF2-40B4-BE49-F238E27FC236}">
                <a16:creationId xmlns:a16="http://schemas.microsoft.com/office/drawing/2014/main" id="{EBE3CF02-18EE-46BF-9F95-95E3BA28BDB5}"/>
              </a:ext>
            </a:extLst>
          </xdr:cNvPr>
          <xdr:cNvCxnSpPr/>
        </xdr:nvCxnSpPr>
        <xdr:spPr>
          <a:xfrm flipH="1">
            <a:off x="9391650" y="28432125"/>
            <a:ext cx="157163" cy="1397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338" name="Straight Connector 3337">
            <a:extLst>
              <a:ext uri="{FF2B5EF4-FFF2-40B4-BE49-F238E27FC236}">
                <a16:creationId xmlns:a16="http://schemas.microsoft.com/office/drawing/2014/main" id="{68A929AB-9FA9-4529-AB70-C14A605515C8}"/>
              </a:ext>
            </a:extLst>
          </xdr:cNvPr>
          <xdr:cNvCxnSpPr/>
        </xdr:nvCxnSpPr>
        <xdr:spPr>
          <a:xfrm>
            <a:off x="9715501" y="28432125"/>
            <a:ext cx="0" cy="1428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339" name="Straight Connector 3338">
            <a:extLst>
              <a:ext uri="{FF2B5EF4-FFF2-40B4-BE49-F238E27FC236}">
                <a16:creationId xmlns:a16="http://schemas.microsoft.com/office/drawing/2014/main" id="{94F7305C-594F-4EA0-B72E-E4461ED35AD9}"/>
              </a:ext>
            </a:extLst>
          </xdr:cNvPr>
          <xdr:cNvCxnSpPr/>
        </xdr:nvCxnSpPr>
        <xdr:spPr>
          <a:xfrm flipH="1">
            <a:off x="9551989" y="28432125"/>
            <a:ext cx="161924" cy="13811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340" name="Straight Connector 3339">
            <a:extLst>
              <a:ext uri="{FF2B5EF4-FFF2-40B4-BE49-F238E27FC236}">
                <a16:creationId xmlns:a16="http://schemas.microsoft.com/office/drawing/2014/main" id="{D20D947E-52C7-4997-B2A2-0C35D92D6FAE}"/>
              </a:ext>
            </a:extLst>
          </xdr:cNvPr>
          <xdr:cNvCxnSpPr/>
        </xdr:nvCxnSpPr>
        <xdr:spPr>
          <a:xfrm flipH="1">
            <a:off x="9715500" y="28432125"/>
            <a:ext cx="157163" cy="1397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341" name="Straight Connector 3340">
            <a:extLst>
              <a:ext uri="{FF2B5EF4-FFF2-40B4-BE49-F238E27FC236}">
                <a16:creationId xmlns:a16="http://schemas.microsoft.com/office/drawing/2014/main" id="{188ABEF5-23A4-4BE0-92FF-FE9E0D19356C}"/>
              </a:ext>
            </a:extLst>
          </xdr:cNvPr>
          <xdr:cNvCxnSpPr/>
        </xdr:nvCxnSpPr>
        <xdr:spPr>
          <a:xfrm>
            <a:off x="10039351" y="28432125"/>
            <a:ext cx="0" cy="1428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342" name="Straight Connector 3341">
            <a:extLst>
              <a:ext uri="{FF2B5EF4-FFF2-40B4-BE49-F238E27FC236}">
                <a16:creationId xmlns:a16="http://schemas.microsoft.com/office/drawing/2014/main" id="{9788DEFD-A504-40F3-A66C-F99837E31325}"/>
              </a:ext>
            </a:extLst>
          </xdr:cNvPr>
          <xdr:cNvCxnSpPr/>
        </xdr:nvCxnSpPr>
        <xdr:spPr>
          <a:xfrm flipH="1">
            <a:off x="9875839" y="28432125"/>
            <a:ext cx="161924" cy="13811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343" name="Straight Connector 3342">
            <a:extLst>
              <a:ext uri="{FF2B5EF4-FFF2-40B4-BE49-F238E27FC236}">
                <a16:creationId xmlns:a16="http://schemas.microsoft.com/office/drawing/2014/main" id="{8C2153B4-BE71-42AE-B67C-3E2836A69DE6}"/>
              </a:ext>
            </a:extLst>
          </xdr:cNvPr>
          <xdr:cNvCxnSpPr/>
        </xdr:nvCxnSpPr>
        <xdr:spPr>
          <a:xfrm>
            <a:off x="10198101" y="28435300"/>
            <a:ext cx="0" cy="1397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344" name="Straight Connector 3343">
            <a:extLst>
              <a:ext uri="{FF2B5EF4-FFF2-40B4-BE49-F238E27FC236}">
                <a16:creationId xmlns:a16="http://schemas.microsoft.com/office/drawing/2014/main" id="{10D2B5ED-A5DA-4CA5-9AA5-91FB7C236C16}"/>
              </a:ext>
            </a:extLst>
          </xdr:cNvPr>
          <xdr:cNvCxnSpPr/>
        </xdr:nvCxnSpPr>
        <xdr:spPr>
          <a:xfrm flipH="1">
            <a:off x="10039350" y="28432125"/>
            <a:ext cx="157163" cy="1397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345" name="Straight Connector 3344">
            <a:extLst>
              <a:ext uri="{FF2B5EF4-FFF2-40B4-BE49-F238E27FC236}">
                <a16:creationId xmlns:a16="http://schemas.microsoft.com/office/drawing/2014/main" id="{A0D81253-5B2C-4175-B0FE-8A0B0E7251FE}"/>
              </a:ext>
            </a:extLst>
          </xdr:cNvPr>
          <xdr:cNvCxnSpPr/>
        </xdr:nvCxnSpPr>
        <xdr:spPr>
          <a:xfrm>
            <a:off x="10363201" y="28432125"/>
            <a:ext cx="0" cy="1428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346" name="Straight Connector 3345">
            <a:extLst>
              <a:ext uri="{FF2B5EF4-FFF2-40B4-BE49-F238E27FC236}">
                <a16:creationId xmlns:a16="http://schemas.microsoft.com/office/drawing/2014/main" id="{F29BCC0B-38BB-413F-A609-10152EE50EBD}"/>
              </a:ext>
            </a:extLst>
          </xdr:cNvPr>
          <xdr:cNvCxnSpPr/>
        </xdr:nvCxnSpPr>
        <xdr:spPr>
          <a:xfrm flipH="1">
            <a:off x="10199689" y="28432125"/>
            <a:ext cx="161924" cy="13811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347" name="Straight Connector 3346">
            <a:extLst>
              <a:ext uri="{FF2B5EF4-FFF2-40B4-BE49-F238E27FC236}">
                <a16:creationId xmlns:a16="http://schemas.microsoft.com/office/drawing/2014/main" id="{71C0E547-853E-4A0C-AA6E-D756C167CDD2}"/>
              </a:ext>
            </a:extLst>
          </xdr:cNvPr>
          <xdr:cNvCxnSpPr/>
        </xdr:nvCxnSpPr>
        <xdr:spPr>
          <a:xfrm flipH="1">
            <a:off x="10363200" y="28432125"/>
            <a:ext cx="157163" cy="1397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348" name="Straight Connector 3347">
            <a:extLst>
              <a:ext uri="{FF2B5EF4-FFF2-40B4-BE49-F238E27FC236}">
                <a16:creationId xmlns:a16="http://schemas.microsoft.com/office/drawing/2014/main" id="{8D852354-CF32-4E37-961B-14B7DF38FD01}"/>
              </a:ext>
            </a:extLst>
          </xdr:cNvPr>
          <xdr:cNvCxnSpPr/>
        </xdr:nvCxnSpPr>
        <xdr:spPr>
          <a:xfrm flipV="1">
            <a:off x="7934325" y="29254450"/>
            <a:ext cx="644525" cy="31909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349" name="Straight Connector 3348">
            <a:extLst>
              <a:ext uri="{FF2B5EF4-FFF2-40B4-BE49-F238E27FC236}">
                <a16:creationId xmlns:a16="http://schemas.microsoft.com/office/drawing/2014/main" id="{456E9CE8-BB5B-4377-8E8E-A834F96A282C}"/>
              </a:ext>
            </a:extLst>
          </xdr:cNvPr>
          <xdr:cNvCxnSpPr/>
        </xdr:nvCxnSpPr>
        <xdr:spPr>
          <a:xfrm>
            <a:off x="7934325" y="29251275"/>
            <a:ext cx="646112" cy="32385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350" name="Straight Connector 3349">
            <a:extLst>
              <a:ext uri="{FF2B5EF4-FFF2-40B4-BE49-F238E27FC236}">
                <a16:creationId xmlns:a16="http://schemas.microsoft.com/office/drawing/2014/main" id="{C733F3AE-FE0F-40FB-9CFC-7CE9DCA98733}"/>
              </a:ext>
            </a:extLst>
          </xdr:cNvPr>
          <xdr:cNvCxnSpPr/>
        </xdr:nvCxnSpPr>
        <xdr:spPr>
          <a:xfrm flipV="1">
            <a:off x="7934325" y="28905200"/>
            <a:ext cx="654050" cy="34449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351" name="Straight Connector 3350">
            <a:extLst>
              <a:ext uri="{FF2B5EF4-FFF2-40B4-BE49-F238E27FC236}">
                <a16:creationId xmlns:a16="http://schemas.microsoft.com/office/drawing/2014/main" id="{F037AE6A-95F4-4152-97FA-CB28BB224196}"/>
              </a:ext>
            </a:extLst>
          </xdr:cNvPr>
          <xdr:cNvCxnSpPr/>
        </xdr:nvCxnSpPr>
        <xdr:spPr>
          <a:xfrm>
            <a:off x="7934325" y="28908375"/>
            <a:ext cx="647700" cy="3460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352" name="Straight Connector 3351">
            <a:extLst>
              <a:ext uri="{FF2B5EF4-FFF2-40B4-BE49-F238E27FC236}">
                <a16:creationId xmlns:a16="http://schemas.microsoft.com/office/drawing/2014/main" id="{1AF1BA1D-737F-4118-BD93-38CDB5CB1910}"/>
              </a:ext>
            </a:extLst>
          </xdr:cNvPr>
          <xdr:cNvCxnSpPr/>
        </xdr:nvCxnSpPr>
        <xdr:spPr>
          <a:xfrm flipV="1">
            <a:off x="7934325" y="28571825"/>
            <a:ext cx="647700" cy="3365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353" name="Straight Connector 3352">
            <a:extLst>
              <a:ext uri="{FF2B5EF4-FFF2-40B4-BE49-F238E27FC236}">
                <a16:creationId xmlns:a16="http://schemas.microsoft.com/office/drawing/2014/main" id="{48DB13A3-D932-411E-8961-43980D733A24}"/>
              </a:ext>
            </a:extLst>
          </xdr:cNvPr>
          <xdr:cNvCxnSpPr/>
        </xdr:nvCxnSpPr>
        <xdr:spPr>
          <a:xfrm>
            <a:off x="7931150" y="28571825"/>
            <a:ext cx="647700" cy="3302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354" name="Straight Connector 3353">
            <a:extLst>
              <a:ext uri="{FF2B5EF4-FFF2-40B4-BE49-F238E27FC236}">
                <a16:creationId xmlns:a16="http://schemas.microsoft.com/office/drawing/2014/main" id="{F24F695A-4E6F-4D9B-826E-439A3A1E2791}"/>
              </a:ext>
            </a:extLst>
          </xdr:cNvPr>
          <xdr:cNvCxnSpPr/>
        </xdr:nvCxnSpPr>
        <xdr:spPr>
          <a:xfrm flipV="1">
            <a:off x="9877425" y="29254450"/>
            <a:ext cx="644525" cy="31909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355" name="Straight Connector 3354">
            <a:extLst>
              <a:ext uri="{FF2B5EF4-FFF2-40B4-BE49-F238E27FC236}">
                <a16:creationId xmlns:a16="http://schemas.microsoft.com/office/drawing/2014/main" id="{7AD4EF9A-A297-4D36-BC77-C1854EC33D29}"/>
              </a:ext>
            </a:extLst>
          </xdr:cNvPr>
          <xdr:cNvCxnSpPr/>
        </xdr:nvCxnSpPr>
        <xdr:spPr>
          <a:xfrm>
            <a:off x="9877425" y="29251275"/>
            <a:ext cx="646112" cy="32385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356" name="Straight Connector 3355">
            <a:extLst>
              <a:ext uri="{FF2B5EF4-FFF2-40B4-BE49-F238E27FC236}">
                <a16:creationId xmlns:a16="http://schemas.microsoft.com/office/drawing/2014/main" id="{1110F6AC-790B-4EEC-AF38-1DDA1A851B14}"/>
              </a:ext>
            </a:extLst>
          </xdr:cNvPr>
          <xdr:cNvCxnSpPr/>
        </xdr:nvCxnSpPr>
        <xdr:spPr>
          <a:xfrm flipV="1">
            <a:off x="9877425" y="28905200"/>
            <a:ext cx="654050" cy="34449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357" name="Straight Connector 3356">
            <a:extLst>
              <a:ext uri="{FF2B5EF4-FFF2-40B4-BE49-F238E27FC236}">
                <a16:creationId xmlns:a16="http://schemas.microsoft.com/office/drawing/2014/main" id="{E39B0224-65C2-40A1-B833-D8F691EBD6C7}"/>
              </a:ext>
            </a:extLst>
          </xdr:cNvPr>
          <xdr:cNvCxnSpPr/>
        </xdr:nvCxnSpPr>
        <xdr:spPr>
          <a:xfrm>
            <a:off x="9877425" y="28908375"/>
            <a:ext cx="647700" cy="3460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358" name="Straight Connector 3357">
            <a:extLst>
              <a:ext uri="{FF2B5EF4-FFF2-40B4-BE49-F238E27FC236}">
                <a16:creationId xmlns:a16="http://schemas.microsoft.com/office/drawing/2014/main" id="{6D24B681-14E8-40B9-A9A1-DEA035A997CA}"/>
              </a:ext>
            </a:extLst>
          </xdr:cNvPr>
          <xdr:cNvCxnSpPr/>
        </xdr:nvCxnSpPr>
        <xdr:spPr>
          <a:xfrm flipV="1">
            <a:off x="9877425" y="28571825"/>
            <a:ext cx="647700" cy="3365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359" name="Straight Connector 3358">
            <a:extLst>
              <a:ext uri="{FF2B5EF4-FFF2-40B4-BE49-F238E27FC236}">
                <a16:creationId xmlns:a16="http://schemas.microsoft.com/office/drawing/2014/main" id="{865992B3-655C-4E47-A1A2-1A00779BDC02}"/>
              </a:ext>
            </a:extLst>
          </xdr:cNvPr>
          <xdr:cNvCxnSpPr/>
        </xdr:nvCxnSpPr>
        <xdr:spPr>
          <a:xfrm>
            <a:off x="9874250" y="28571825"/>
            <a:ext cx="647700" cy="3302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365" name="Straight Connector 3364">
            <a:extLst>
              <a:ext uri="{FF2B5EF4-FFF2-40B4-BE49-F238E27FC236}">
                <a16:creationId xmlns:a16="http://schemas.microsoft.com/office/drawing/2014/main" id="{ED6FA31E-D4B5-422B-8055-DE3C7A64CEB2}"/>
              </a:ext>
            </a:extLst>
          </xdr:cNvPr>
          <xdr:cNvCxnSpPr/>
        </xdr:nvCxnSpPr>
        <xdr:spPr>
          <a:xfrm>
            <a:off x="5584825" y="28433715"/>
            <a:ext cx="347663"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3366" name="Straight Connector 3365">
            <a:extLst>
              <a:ext uri="{FF2B5EF4-FFF2-40B4-BE49-F238E27FC236}">
                <a16:creationId xmlns:a16="http://schemas.microsoft.com/office/drawing/2014/main" id="{888F8BB4-06AC-49C2-8AC6-C4281E780BFD}"/>
              </a:ext>
            </a:extLst>
          </xdr:cNvPr>
          <xdr:cNvCxnSpPr/>
        </xdr:nvCxnSpPr>
        <xdr:spPr>
          <a:xfrm flipH="1">
            <a:off x="5632458" y="28400375"/>
            <a:ext cx="66675" cy="66675"/>
          </a:xfrm>
          <a:prstGeom prst="line">
            <a:avLst/>
          </a:prstGeom>
        </xdr:spPr>
        <xdr:style>
          <a:lnRef idx="1">
            <a:schemeClr val="accent1"/>
          </a:lnRef>
          <a:fillRef idx="0">
            <a:schemeClr val="accent1"/>
          </a:fillRef>
          <a:effectRef idx="0">
            <a:schemeClr val="accent1"/>
          </a:effectRef>
          <a:fontRef idx="minor">
            <a:schemeClr val="tx1"/>
          </a:fontRef>
        </xdr:style>
      </xdr:cxnSp>
      <xdr:sp macro="" textlink="">
        <xdr:nvSpPr>
          <xdr:cNvPr id="3391" name="Speech Bubble: Oval 3390">
            <a:extLst>
              <a:ext uri="{FF2B5EF4-FFF2-40B4-BE49-F238E27FC236}">
                <a16:creationId xmlns:a16="http://schemas.microsoft.com/office/drawing/2014/main" id="{D59EF131-0331-9ED3-CE60-7B71A381C359}"/>
              </a:ext>
            </a:extLst>
          </xdr:cNvPr>
          <xdr:cNvSpPr/>
        </xdr:nvSpPr>
        <xdr:spPr>
          <a:xfrm>
            <a:off x="8448675" y="28317825"/>
            <a:ext cx="847725" cy="400050"/>
          </a:xfrm>
          <a:prstGeom prst="wedgeEllipseCallout">
            <a:avLst>
              <a:gd name="adj1" fmla="val 7138"/>
              <a:gd name="adj2" fmla="val 118452"/>
            </a:avLst>
          </a:prstGeom>
          <a:noFill/>
          <a:ln w="6350">
            <a:prstDash val="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kern="1200"/>
          </a:p>
        </xdr:txBody>
      </xdr:sp>
      <xdr:sp macro="" textlink="">
        <xdr:nvSpPr>
          <xdr:cNvPr id="3392" name="TextBox 3391">
            <a:extLst>
              <a:ext uri="{FF2B5EF4-FFF2-40B4-BE49-F238E27FC236}">
                <a16:creationId xmlns:a16="http://schemas.microsoft.com/office/drawing/2014/main" id="{492E0815-0BF8-488E-B6A1-1A820D4F0B73}"/>
              </a:ext>
            </a:extLst>
          </xdr:cNvPr>
          <xdr:cNvSpPr txBox="1"/>
        </xdr:nvSpPr>
        <xdr:spPr>
          <a:xfrm>
            <a:off x="8505825" y="28922662"/>
            <a:ext cx="800100" cy="298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lang="tr-TR" sz="800" kern="1200">
                <a:latin typeface="Arial" panose="020B0604020202020204" pitchFamily="34" charset="0"/>
                <a:cs typeface="Arial" panose="020B0604020202020204" pitchFamily="34" charset="0"/>
              </a:rPr>
              <a:t>detay</a:t>
            </a:r>
            <a:r>
              <a:rPr lang="tr-TR" sz="800" kern="1200" baseline="0">
                <a:latin typeface="Arial" panose="020B0604020202020204" pitchFamily="34" charset="0"/>
                <a:cs typeface="Arial" panose="020B0604020202020204" pitchFamily="34" charset="0"/>
              </a:rPr>
              <a:t> A</a:t>
            </a:r>
            <a:endParaRPr lang="tr-TR" sz="800" kern="1200">
              <a:latin typeface="Arial" panose="020B0604020202020204" pitchFamily="34" charset="0"/>
              <a:cs typeface="Arial" panose="020B0604020202020204" pitchFamily="34" charset="0"/>
            </a:endParaRPr>
          </a:p>
        </xdr:txBody>
      </xdr:sp>
    </xdr:grpSp>
    <xdr:clientData/>
  </xdr:twoCellAnchor>
  <xdr:twoCellAnchor>
    <xdr:from>
      <xdr:col>44</xdr:col>
      <xdr:colOff>95247</xdr:colOff>
      <xdr:row>218</xdr:row>
      <xdr:rowOff>66675</xdr:rowOff>
    </xdr:from>
    <xdr:to>
      <xdr:col>60</xdr:col>
      <xdr:colOff>123825</xdr:colOff>
      <xdr:row>232</xdr:row>
      <xdr:rowOff>0</xdr:rowOff>
    </xdr:to>
    <xdr:grpSp>
      <xdr:nvGrpSpPr>
        <xdr:cNvPr id="3002" name="Group 3001">
          <a:extLst>
            <a:ext uri="{FF2B5EF4-FFF2-40B4-BE49-F238E27FC236}">
              <a16:creationId xmlns:a16="http://schemas.microsoft.com/office/drawing/2014/main" id="{BD57C5A6-277C-BAE9-2A70-41F90315868E}"/>
            </a:ext>
          </a:extLst>
        </xdr:cNvPr>
        <xdr:cNvGrpSpPr/>
      </xdr:nvGrpSpPr>
      <xdr:grpSpPr>
        <a:xfrm>
          <a:off x="7219947" y="32070675"/>
          <a:ext cx="2619378" cy="1933575"/>
          <a:chOff x="7219947" y="31499175"/>
          <a:chExt cx="2619378" cy="1933575"/>
        </a:xfrm>
      </xdr:grpSpPr>
      <xdr:cxnSp macro="">
        <xdr:nvCxnSpPr>
          <xdr:cNvPr id="3368" name="Straight Connector 3367">
            <a:extLst>
              <a:ext uri="{FF2B5EF4-FFF2-40B4-BE49-F238E27FC236}">
                <a16:creationId xmlns:a16="http://schemas.microsoft.com/office/drawing/2014/main" id="{EBFCEF1C-382A-3F37-EF51-AC892FE9531E}"/>
              </a:ext>
            </a:extLst>
          </xdr:cNvPr>
          <xdr:cNvCxnSpPr/>
        </xdr:nvCxnSpPr>
        <xdr:spPr>
          <a:xfrm>
            <a:off x="7772400" y="32146875"/>
            <a:ext cx="0" cy="93345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369" name="Straight Connector 3368">
            <a:extLst>
              <a:ext uri="{FF2B5EF4-FFF2-40B4-BE49-F238E27FC236}">
                <a16:creationId xmlns:a16="http://schemas.microsoft.com/office/drawing/2014/main" id="{2BBD0956-904F-4841-8338-8DA364E0A7E6}"/>
              </a:ext>
            </a:extLst>
          </xdr:cNvPr>
          <xdr:cNvCxnSpPr/>
        </xdr:nvCxnSpPr>
        <xdr:spPr>
          <a:xfrm>
            <a:off x="9715501" y="32146874"/>
            <a:ext cx="0" cy="93345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371" name="Straight Connector 3370">
            <a:extLst>
              <a:ext uri="{FF2B5EF4-FFF2-40B4-BE49-F238E27FC236}">
                <a16:creationId xmlns:a16="http://schemas.microsoft.com/office/drawing/2014/main" id="{8BDEB13F-1D2C-E754-72DD-65578F9FCBD4}"/>
              </a:ext>
            </a:extLst>
          </xdr:cNvPr>
          <xdr:cNvCxnSpPr/>
        </xdr:nvCxnSpPr>
        <xdr:spPr>
          <a:xfrm>
            <a:off x="7581900" y="32146875"/>
            <a:ext cx="225742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372" name="Straight Connector 3371">
            <a:extLst>
              <a:ext uri="{FF2B5EF4-FFF2-40B4-BE49-F238E27FC236}">
                <a16:creationId xmlns:a16="http://schemas.microsoft.com/office/drawing/2014/main" id="{3DDBA9EF-68CD-4620-91CC-D2C99A02C747}"/>
              </a:ext>
            </a:extLst>
          </xdr:cNvPr>
          <xdr:cNvCxnSpPr/>
        </xdr:nvCxnSpPr>
        <xdr:spPr>
          <a:xfrm>
            <a:off x="7572375" y="32718375"/>
            <a:ext cx="22669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374" name="Straight Connector 3373">
            <a:extLst>
              <a:ext uri="{FF2B5EF4-FFF2-40B4-BE49-F238E27FC236}">
                <a16:creationId xmlns:a16="http://schemas.microsoft.com/office/drawing/2014/main" id="{09EF3F14-F90B-7F65-6CEB-D9680884A7FB}"/>
              </a:ext>
            </a:extLst>
          </xdr:cNvPr>
          <xdr:cNvCxnSpPr/>
        </xdr:nvCxnSpPr>
        <xdr:spPr>
          <a:xfrm>
            <a:off x="8258172" y="32146876"/>
            <a:ext cx="0" cy="57626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375" name="Straight Connector 3374">
            <a:extLst>
              <a:ext uri="{FF2B5EF4-FFF2-40B4-BE49-F238E27FC236}">
                <a16:creationId xmlns:a16="http://schemas.microsoft.com/office/drawing/2014/main" id="{C4770C97-7DEE-45FC-AB17-B758692F0AB0}"/>
              </a:ext>
            </a:extLst>
          </xdr:cNvPr>
          <xdr:cNvCxnSpPr/>
        </xdr:nvCxnSpPr>
        <xdr:spPr>
          <a:xfrm flipH="1">
            <a:off x="7772401" y="32151638"/>
            <a:ext cx="485774" cy="5715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380" name="Straight Connector 3379">
            <a:extLst>
              <a:ext uri="{FF2B5EF4-FFF2-40B4-BE49-F238E27FC236}">
                <a16:creationId xmlns:a16="http://schemas.microsoft.com/office/drawing/2014/main" id="{9C2E2F34-907E-4E46-8FDC-00A9B394FA24}"/>
              </a:ext>
            </a:extLst>
          </xdr:cNvPr>
          <xdr:cNvCxnSpPr/>
        </xdr:nvCxnSpPr>
        <xdr:spPr>
          <a:xfrm>
            <a:off x="8743947" y="32146876"/>
            <a:ext cx="0" cy="57626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381" name="Straight Connector 3380">
            <a:extLst>
              <a:ext uri="{FF2B5EF4-FFF2-40B4-BE49-F238E27FC236}">
                <a16:creationId xmlns:a16="http://schemas.microsoft.com/office/drawing/2014/main" id="{46D0C903-A347-4D7E-9989-8A8D9511BCFA}"/>
              </a:ext>
            </a:extLst>
          </xdr:cNvPr>
          <xdr:cNvCxnSpPr/>
        </xdr:nvCxnSpPr>
        <xdr:spPr>
          <a:xfrm flipH="1">
            <a:off x="8258176" y="32151638"/>
            <a:ext cx="485774" cy="5715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382" name="Straight Connector 3381">
            <a:extLst>
              <a:ext uri="{FF2B5EF4-FFF2-40B4-BE49-F238E27FC236}">
                <a16:creationId xmlns:a16="http://schemas.microsoft.com/office/drawing/2014/main" id="{197BD8A7-8360-4BD7-8F6B-A337699CA07C}"/>
              </a:ext>
            </a:extLst>
          </xdr:cNvPr>
          <xdr:cNvCxnSpPr/>
        </xdr:nvCxnSpPr>
        <xdr:spPr>
          <a:xfrm>
            <a:off x="9229722" y="32146876"/>
            <a:ext cx="0" cy="57626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383" name="Straight Connector 3382">
            <a:extLst>
              <a:ext uri="{FF2B5EF4-FFF2-40B4-BE49-F238E27FC236}">
                <a16:creationId xmlns:a16="http://schemas.microsoft.com/office/drawing/2014/main" id="{91F0B0EB-537A-4E4D-965E-D118C37E33F7}"/>
              </a:ext>
            </a:extLst>
          </xdr:cNvPr>
          <xdr:cNvCxnSpPr/>
        </xdr:nvCxnSpPr>
        <xdr:spPr>
          <a:xfrm flipH="1">
            <a:off x="8743951" y="32151638"/>
            <a:ext cx="485774" cy="5715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385" name="Straight Connector 3384">
            <a:extLst>
              <a:ext uri="{FF2B5EF4-FFF2-40B4-BE49-F238E27FC236}">
                <a16:creationId xmlns:a16="http://schemas.microsoft.com/office/drawing/2014/main" id="{5EF836B3-6CB4-4E76-9500-C1CF121A4DA8}"/>
              </a:ext>
            </a:extLst>
          </xdr:cNvPr>
          <xdr:cNvCxnSpPr/>
        </xdr:nvCxnSpPr>
        <xdr:spPr>
          <a:xfrm flipH="1">
            <a:off x="9229726" y="32151638"/>
            <a:ext cx="485774" cy="5715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389" name="Straight Connector 3388">
            <a:extLst>
              <a:ext uri="{FF2B5EF4-FFF2-40B4-BE49-F238E27FC236}">
                <a16:creationId xmlns:a16="http://schemas.microsoft.com/office/drawing/2014/main" id="{DE6C5521-09AD-CE5E-9996-7C07DF973412}"/>
              </a:ext>
            </a:extLst>
          </xdr:cNvPr>
          <xdr:cNvCxnSpPr/>
        </xdr:nvCxnSpPr>
        <xdr:spPr>
          <a:xfrm>
            <a:off x="8039100" y="32061150"/>
            <a:ext cx="0" cy="766763"/>
          </a:xfrm>
          <a:prstGeom prst="line">
            <a:avLst/>
          </a:prstGeom>
          <a:ln w="9525">
            <a:solidFill>
              <a:schemeClr val="accent6">
                <a:lumMod val="75000"/>
              </a:schemeClr>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3390" name="Straight Connector 3389">
            <a:extLst>
              <a:ext uri="{FF2B5EF4-FFF2-40B4-BE49-F238E27FC236}">
                <a16:creationId xmlns:a16="http://schemas.microsoft.com/office/drawing/2014/main" id="{51FD023C-E95D-4A74-9169-88FD0F071E37}"/>
              </a:ext>
            </a:extLst>
          </xdr:cNvPr>
          <xdr:cNvCxnSpPr/>
        </xdr:nvCxnSpPr>
        <xdr:spPr>
          <a:xfrm>
            <a:off x="8062913" y="32061149"/>
            <a:ext cx="0" cy="766763"/>
          </a:xfrm>
          <a:prstGeom prst="line">
            <a:avLst/>
          </a:prstGeom>
          <a:ln w="9525">
            <a:solidFill>
              <a:schemeClr val="accent6">
                <a:lumMod val="75000"/>
              </a:schemeClr>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3393" name="Straight Connector 3392">
            <a:extLst>
              <a:ext uri="{FF2B5EF4-FFF2-40B4-BE49-F238E27FC236}">
                <a16:creationId xmlns:a16="http://schemas.microsoft.com/office/drawing/2014/main" id="{88EA68D1-9BDF-417C-BD7F-9F535B5081C4}"/>
              </a:ext>
            </a:extLst>
          </xdr:cNvPr>
          <xdr:cNvCxnSpPr/>
        </xdr:nvCxnSpPr>
        <xdr:spPr>
          <a:xfrm flipH="1" flipV="1">
            <a:off x="9077325" y="32537400"/>
            <a:ext cx="152400" cy="466725"/>
          </a:xfrm>
          <a:prstGeom prst="line">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397" name="Straight Connector 3396">
            <a:extLst>
              <a:ext uri="{FF2B5EF4-FFF2-40B4-BE49-F238E27FC236}">
                <a16:creationId xmlns:a16="http://schemas.microsoft.com/office/drawing/2014/main" id="{A6553500-D3F2-49DD-8FAF-F5EB089A01A6}"/>
              </a:ext>
            </a:extLst>
          </xdr:cNvPr>
          <xdr:cNvCxnSpPr/>
        </xdr:nvCxnSpPr>
        <xdr:spPr>
          <a:xfrm flipV="1">
            <a:off x="9020175" y="32823150"/>
            <a:ext cx="695325" cy="609600"/>
          </a:xfrm>
          <a:prstGeom prst="line">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400" name="Straight Connector 3399">
            <a:extLst>
              <a:ext uri="{FF2B5EF4-FFF2-40B4-BE49-F238E27FC236}">
                <a16:creationId xmlns:a16="http://schemas.microsoft.com/office/drawing/2014/main" id="{17C24FA5-5DD3-48CB-8656-21366B9CB3B2}"/>
              </a:ext>
            </a:extLst>
          </xdr:cNvPr>
          <xdr:cNvCxnSpPr/>
        </xdr:nvCxnSpPr>
        <xdr:spPr>
          <a:xfrm>
            <a:off x="7772400" y="32880300"/>
            <a:ext cx="1257300" cy="552450"/>
          </a:xfrm>
          <a:prstGeom prst="line">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404" name="Straight Connector 3403">
            <a:extLst>
              <a:ext uri="{FF2B5EF4-FFF2-40B4-BE49-F238E27FC236}">
                <a16:creationId xmlns:a16="http://schemas.microsoft.com/office/drawing/2014/main" id="{50B26BBE-9D60-700C-9229-6D9D49A4EA5F}"/>
              </a:ext>
            </a:extLst>
          </xdr:cNvPr>
          <xdr:cNvCxnSpPr/>
        </xdr:nvCxnSpPr>
        <xdr:spPr>
          <a:xfrm flipV="1">
            <a:off x="7772400" y="31499175"/>
            <a:ext cx="0" cy="5810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3407" name="Straight Connector 3406">
            <a:extLst>
              <a:ext uri="{FF2B5EF4-FFF2-40B4-BE49-F238E27FC236}">
                <a16:creationId xmlns:a16="http://schemas.microsoft.com/office/drawing/2014/main" id="{5016C70C-0F21-B913-9BFB-A98F6DB70A74}"/>
              </a:ext>
            </a:extLst>
          </xdr:cNvPr>
          <xdr:cNvCxnSpPr/>
        </xdr:nvCxnSpPr>
        <xdr:spPr>
          <a:xfrm>
            <a:off x="7705726" y="31575376"/>
            <a:ext cx="2081213"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3409" name="Straight Connector 3408">
            <a:extLst>
              <a:ext uri="{FF2B5EF4-FFF2-40B4-BE49-F238E27FC236}">
                <a16:creationId xmlns:a16="http://schemas.microsoft.com/office/drawing/2014/main" id="{BD0427A9-FA76-F53D-5AEC-C8E4BA3CDC71}"/>
              </a:ext>
            </a:extLst>
          </xdr:cNvPr>
          <xdr:cNvCxnSpPr/>
        </xdr:nvCxnSpPr>
        <xdr:spPr>
          <a:xfrm flipH="1">
            <a:off x="7739062" y="31542038"/>
            <a:ext cx="66675" cy="666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3410" name="Straight Connector 3409">
            <a:extLst>
              <a:ext uri="{FF2B5EF4-FFF2-40B4-BE49-F238E27FC236}">
                <a16:creationId xmlns:a16="http://schemas.microsoft.com/office/drawing/2014/main" id="{5057EEF0-52D1-4D91-AB98-CCD5D8565B54}"/>
              </a:ext>
            </a:extLst>
          </xdr:cNvPr>
          <xdr:cNvCxnSpPr/>
        </xdr:nvCxnSpPr>
        <xdr:spPr>
          <a:xfrm flipV="1">
            <a:off x="9715500" y="31499175"/>
            <a:ext cx="0" cy="5429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3411" name="Straight Connector 3410">
            <a:extLst>
              <a:ext uri="{FF2B5EF4-FFF2-40B4-BE49-F238E27FC236}">
                <a16:creationId xmlns:a16="http://schemas.microsoft.com/office/drawing/2014/main" id="{1E58DBAE-D003-4B16-959E-08E611983BF3}"/>
              </a:ext>
            </a:extLst>
          </xdr:cNvPr>
          <xdr:cNvCxnSpPr/>
        </xdr:nvCxnSpPr>
        <xdr:spPr>
          <a:xfrm flipH="1">
            <a:off x="9682162" y="31542038"/>
            <a:ext cx="66675" cy="666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3412" name="Straight Connector 3411">
            <a:extLst>
              <a:ext uri="{FF2B5EF4-FFF2-40B4-BE49-F238E27FC236}">
                <a16:creationId xmlns:a16="http://schemas.microsoft.com/office/drawing/2014/main" id="{8522ABF4-91FE-46F6-A54C-3E3FDBC4856D}"/>
              </a:ext>
            </a:extLst>
          </xdr:cNvPr>
          <xdr:cNvCxnSpPr/>
        </xdr:nvCxnSpPr>
        <xdr:spPr>
          <a:xfrm>
            <a:off x="7705725" y="31861126"/>
            <a:ext cx="2081213"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3413" name="Straight Connector 3412">
            <a:extLst>
              <a:ext uri="{FF2B5EF4-FFF2-40B4-BE49-F238E27FC236}">
                <a16:creationId xmlns:a16="http://schemas.microsoft.com/office/drawing/2014/main" id="{C41B6FEA-3F26-4930-8140-C500DDAE5C24}"/>
              </a:ext>
            </a:extLst>
          </xdr:cNvPr>
          <xdr:cNvCxnSpPr/>
        </xdr:nvCxnSpPr>
        <xdr:spPr>
          <a:xfrm flipH="1">
            <a:off x="7739061" y="31827788"/>
            <a:ext cx="66675" cy="666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3414" name="Straight Connector 3413">
            <a:extLst>
              <a:ext uri="{FF2B5EF4-FFF2-40B4-BE49-F238E27FC236}">
                <a16:creationId xmlns:a16="http://schemas.microsoft.com/office/drawing/2014/main" id="{3D6C7832-D03C-47F1-9466-993F6AEB9283}"/>
              </a:ext>
            </a:extLst>
          </xdr:cNvPr>
          <xdr:cNvCxnSpPr/>
        </xdr:nvCxnSpPr>
        <xdr:spPr>
          <a:xfrm flipH="1">
            <a:off x="9682161" y="31827788"/>
            <a:ext cx="66675" cy="666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3417" name="Straight Connector 3416">
            <a:extLst>
              <a:ext uri="{FF2B5EF4-FFF2-40B4-BE49-F238E27FC236}">
                <a16:creationId xmlns:a16="http://schemas.microsoft.com/office/drawing/2014/main" id="{E4DA8D77-BF5D-484A-A341-2C77162124EC}"/>
              </a:ext>
            </a:extLst>
          </xdr:cNvPr>
          <xdr:cNvCxnSpPr/>
        </xdr:nvCxnSpPr>
        <xdr:spPr>
          <a:xfrm flipV="1">
            <a:off x="8258175" y="31784925"/>
            <a:ext cx="0" cy="28098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3418" name="Straight Connector 3417">
            <a:extLst>
              <a:ext uri="{FF2B5EF4-FFF2-40B4-BE49-F238E27FC236}">
                <a16:creationId xmlns:a16="http://schemas.microsoft.com/office/drawing/2014/main" id="{37D792A7-80CB-401D-9DE2-252B7E3F2890}"/>
              </a:ext>
            </a:extLst>
          </xdr:cNvPr>
          <xdr:cNvCxnSpPr/>
        </xdr:nvCxnSpPr>
        <xdr:spPr>
          <a:xfrm flipH="1">
            <a:off x="8224837" y="31827788"/>
            <a:ext cx="66675" cy="666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3420" name="Straight Connector 3419">
            <a:extLst>
              <a:ext uri="{FF2B5EF4-FFF2-40B4-BE49-F238E27FC236}">
                <a16:creationId xmlns:a16="http://schemas.microsoft.com/office/drawing/2014/main" id="{EE21E49E-3BA0-41E0-8312-7A0E37BD7644}"/>
              </a:ext>
            </a:extLst>
          </xdr:cNvPr>
          <xdr:cNvCxnSpPr/>
        </xdr:nvCxnSpPr>
        <xdr:spPr>
          <a:xfrm flipV="1">
            <a:off x="8743950" y="31784925"/>
            <a:ext cx="0" cy="28098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3421" name="Straight Connector 3420">
            <a:extLst>
              <a:ext uri="{FF2B5EF4-FFF2-40B4-BE49-F238E27FC236}">
                <a16:creationId xmlns:a16="http://schemas.microsoft.com/office/drawing/2014/main" id="{409E3D6A-4849-4107-89F6-8231997F92C5}"/>
              </a:ext>
            </a:extLst>
          </xdr:cNvPr>
          <xdr:cNvCxnSpPr/>
        </xdr:nvCxnSpPr>
        <xdr:spPr>
          <a:xfrm flipH="1">
            <a:off x="8710612" y="31827788"/>
            <a:ext cx="66675" cy="666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3422" name="Straight Connector 3421">
            <a:extLst>
              <a:ext uri="{FF2B5EF4-FFF2-40B4-BE49-F238E27FC236}">
                <a16:creationId xmlns:a16="http://schemas.microsoft.com/office/drawing/2014/main" id="{2FAFA19A-2C43-4B0C-80E1-54EBE8639A8E}"/>
              </a:ext>
            </a:extLst>
          </xdr:cNvPr>
          <xdr:cNvCxnSpPr/>
        </xdr:nvCxnSpPr>
        <xdr:spPr>
          <a:xfrm flipV="1">
            <a:off x="9229725" y="31784925"/>
            <a:ext cx="0" cy="28098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3423" name="Straight Connector 3422">
            <a:extLst>
              <a:ext uri="{FF2B5EF4-FFF2-40B4-BE49-F238E27FC236}">
                <a16:creationId xmlns:a16="http://schemas.microsoft.com/office/drawing/2014/main" id="{271D7D05-231E-4D3F-9663-657B56C73808}"/>
              </a:ext>
            </a:extLst>
          </xdr:cNvPr>
          <xdr:cNvCxnSpPr/>
        </xdr:nvCxnSpPr>
        <xdr:spPr>
          <a:xfrm flipH="1">
            <a:off x="9196387" y="31827788"/>
            <a:ext cx="66675" cy="666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3428" name="Straight Connector 3427">
            <a:extLst>
              <a:ext uri="{FF2B5EF4-FFF2-40B4-BE49-F238E27FC236}">
                <a16:creationId xmlns:a16="http://schemas.microsoft.com/office/drawing/2014/main" id="{72109447-1729-5B9B-54C6-F835A4E7844E}"/>
              </a:ext>
            </a:extLst>
          </xdr:cNvPr>
          <xdr:cNvCxnSpPr/>
        </xdr:nvCxnSpPr>
        <xdr:spPr>
          <a:xfrm>
            <a:off x="7219950" y="32146876"/>
            <a:ext cx="285747"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3430" name="Straight Connector 3429">
            <a:extLst>
              <a:ext uri="{FF2B5EF4-FFF2-40B4-BE49-F238E27FC236}">
                <a16:creationId xmlns:a16="http://schemas.microsoft.com/office/drawing/2014/main" id="{679E79C9-4F28-0734-6C05-3E3B1C76C7C5}"/>
              </a:ext>
            </a:extLst>
          </xdr:cNvPr>
          <xdr:cNvCxnSpPr/>
        </xdr:nvCxnSpPr>
        <xdr:spPr>
          <a:xfrm>
            <a:off x="7286625" y="32080200"/>
            <a:ext cx="0" cy="72866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3431" name="Straight Connector 3430">
            <a:extLst>
              <a:ext uri="{FF2B5EF4-FFF2-40B4-BE49-F238E27FC236}">
                <a16:creationId xmlns:a16="http://schemas.microsoft.com/office/drawing/2014/main" id="{B920B00A-31E9-4120-B5E7-7A43D46E5F53}"/>
              </a:ext>
            </a:extLst>
          </xdr:cNvPr>
          <xdr:cNvCxnSpPr/>
        </xdr:nvCxnSpPr>
        <xdr:spPr>
          <a:xfrm flipH="1">
            <a:off x="7253287" y="32113538"/>
            <a:ext cx="66675" cy="666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3437" name="Straight Connector 3436">
            <a:extLst>
              <a:ext uri="{FF2B5EF4-FFF2-40B4-BE49-F238E27FC236}">
                <a16:creationId xmlns:a16="http://schemas.microsoft.com/office/drawing/2014/main" id="{519ECA23-5984-4204-B0FE-F44D052E4829}"/>
              </a:ext>
            </a:extLst>
          </xdr:cNvPr>
          <xdr:cNvCxnSpPr/>
        </xdr:nvCxnSpPr>
        <xdr:spPr>
          <a:xfrm>
            <a:off x="7219947" y="32718375"/>
            <a:ext cx="285747"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3438" name="Straight Connector 3437">
            <a:extLst>
              <a:ext uri="{FF2B5EF4-FFF2-40B4-BE49-F238E27FC236}">
                <a16:creationId xmlns:a16="http://schemas.microsoft.com/office/drawing/2014/main" id="{2E04D422-55A8-492E-847B-DCB2D4E8F373}"/>
              </a:ext>
            </a:extLst>
          </xdr:cNvPr>
          <xdr:cNvCxnSpPr/>
        </xdr:nvCxnSpPr>
        <xdr:spPr>
          <a:xfrm flipH="1">
            <a:off x="7253284" y="32685037"/>
            <a:ext cx="66675" cy="66675"/>
          </a:xfrm>
          <a:prstGeom prst="line">
            <a:avLst/>
          </a:prstGeom>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xdr:col>
      <xdr:colOff>95250</xdr:colOff>
      <xdr:row>445</xdr:row>
      <xdr:rowOff>123825</xdr:rowOff>
    </xdr:from>
    <xdr:to>
      <xdr:col>34</xdr:col>
      <xdr:colOff>57148</xdr:colOff>
      <xdr:row>464</xdr:row>
      <xdr:rowOff>69850</xdr:rowOff>
    </xdr:to>
    <xdr:grpSp>
      <xdr:nvGrpSpPr>
        <xdr:cNvPr id="3441" name="Group 3440">
          <a:extLst>
            <a:ext uri="{FF2B5EF4-FFF2-40B4-BE49-F238E27FC236}">
              <a16:creationId xmlns:a16="http://schemas.microsoft.com/office/drawing/2014/main" id="{D426FED9-BC08-D98E-6ED2-7DF4E91A47BC}"/>
            </a:ext>
          </a:extLst>
        </xdr:cNvPr>
        <xdr:cNvGrpSpPr/>
      </xdr:nvGrpSpPr>
      <xdr:grpSpPr>
        <a:xfrm>
          <a:off x="419100" y="64998600"/>
          <a:ext cx="5143498" cy="2660650"/>
          <a:chOff x="419100" y="64141350"/>
          <a:chExt cx="5143498" cy="2660650"/>
        </a:xfrm>
      </xdr:grpSpPr>
      <xdr:sp macro="" textlink="">
        <xdr:nvSpPr>
          <xdr:cNvPr id="106" name="Freeform: Shape 105">
            <a:extLst>
              <a:ext uri="{FF2B5EF4-FFF2-40B4-BE49-F238E27FC236}">
                <a16:creationId xmlns:a16="http://schemas.microsoft.com/office/drawing/2014/main" id="{463B6496-FDB6-4B09-2FDC-5050EBB3913D}"/>
              </a:ext>
            </a:extLst>
          </xdr:cNvPr>
          <xdr:cNvSpPr/>
        </xdr:nvSpPr>
        <xdr:spPr>
          <a:xfrm>
            <a:off x="1133475" y="64442975"/>
            <a:ext cx="3889375" cy="1717675"/>
          </a:xfrm>
          <a:custGeom>
            <a:avLst/>
            <a:gdLst>
              <a:gd name="connsiteX0" fmla="*/ 0 w 3892550"/>
              <a:gd name="connsiteY0" fmla="*/ 574675 h 1717675"/>
              <a:gd name="connsiteX1" fmla="*/ 0 w 3892550"/>
              <a:gd name="connsiteY1" fmla="*/ 1717675 h 1717675"/>
              <a:gd name="connsiteX2" fmla="*/ 3892550 w 3892550"/>
              <a:gd name="connsiteY2" fmla="*/ 1717675 h 1717675"/>
              <a:gd name="connsiteX3" fmla="*/ 3892550 w 3892550"/>
              <a:gd name="connsiteY3" fmla="*/ 577850 h 1717675"/>
              <a:gd name="connsiteX4" fmla="*/ 1946275 w 3892550"/>
              <a:gd name="connsiteY4" fmla="*/ 0 h 1717675"/>
              <a:gd name="connsiteX5" fmla="*/ 0 w 3892550"/>
              <a:gd name="connsiteY5" fmla="*/ 574675 h 171767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3892550" h="1717675">
                <a:moveTo>
                  <a:pt x="0" y="574675"/>
                </a:moveTo>
                <a:lnTo>
                  <a:pt x="0" y="1717675"/>
                </a:lnTo>
                <a:lnTo>
                  <a:pt x="3892550" y="1717675"/>
                </a:lnTo>
                <a:lnTo>
                  <a:pt x="3892550" y="577850"/>
                </a:lnTo>
                <a:lnTo>
                  <a:pt x="1946275" y="0"/>
                </a:lnTo>
                <a:lnTo>
                  <a:pt x="0" y="574675"/>
                </a:lnTo>
                <a:close/>
              </a:path>
            </a:pathLst>
          </a:cu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kern="1200"/>
          </a:p>
        </xdr:txBody>
      </xdr:sp>
      <xdr:sp macro="" textlink="">
        <xdr:nvSpPr>
          <xdr:cNvPr id="109" name="Rectangle 108">
            <a:extLst>
              <a:ext uri="{FF2B5EF4-FFF2-40B4-BE49-F238E27FC236}">
                <a16:creationId xmlns:a16="http://schemas.microsoft.com/office/drawing/2014/main" id="{F3A01C01-36C3-D683-A7BE-00214204A916}"/>
              </a:ext>
            </a:extLst>
          </xdr:cNvPr>
          <xdr:cNvSpPr/>
        </xdr:nvSpPr>
        <xdr:spPr>
          <a:xfrm>
            <a:off x="971551" y="66170176"/>
            <a:ext cx="323849" cy="95250"/>
          </a:xfrm>
          <a:prstGeom prst="rect">
            <a:avLst/>
          </a:prstGeom>
          <a:pattFill prst="ltUpDiag">
            <a:fgClr>
              <a:schemeClr val="tx1"/>
            </a:fgClr>
            <a:bgClr>
              <a:schemeClr val="bg1"/>
            </a:bgClr>
          </a:patt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kern="1200"/>
          </a:p>
        </xdr:txBody>
      </xdr:sp>
      <xdr:cxnSp macro="">
        <xdr:nvCxnSpPr>
          <xdr:cNvPr id="115" name="Straight Connector 114">
            <a:extLst>
              <a:ext uri="{FF2B5EF4-FFF2-40B4-BE49-F238E27FC236}">
                <a16:creationId xmlns:a16="http://schemas.microsoft.com/office/drawing/2014/main" id="{78AF4E6B-A83A-E3BD-D929-EF6D2BDD71F0}"/>
              </a:ext>
            </a:extLst>
          </xdr:cNvPr>
          <xdr:cNvCxnSpPr/>
        </xdr:nvCxnSpPr>
        <xdr:spPr>
          <a:xfrm>
            <a:off x="966788" y="66160650"/>
            <a:ext cx="328612"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19" name="Rectangle 118">
            <a:extLst>
              <a:ext uri="{FF2B5EF4-FFF2-40B4-BE49-F238E27FC236}">
                <a16:creationId xmlns:a16="http://schemas.microsoft.com/office/drawing/2014/main" id="{BFB25688-B2EB-F740-3166-864FD95A56A5}"/>
              </a:ext>
            </a:extLst>
          </xdr:cNvPr>
          <xdr:cNvSpPr/>
        </xdr:nvSpPr>
        <xdr:spPr>
          <a:xfrm>
            <a:off x="4857751" y="66170176"/>
            <a:ext cx="323849" cy="95250"/>
          </a:xfrm>
          <a:prstGeom prst="rect">
            <a:avLst/>
          </a:prstGeom>
          <a:pattFill prst="ltUpDiag">
            <a:fgClr>
              <a:schemeClr val="tx1"/>
            </a:fgClr>
            <a:bgClr>
              <a:schemeClr val="bg1"/>
            </a:bgClr>
          </a:patt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kern="1200"/>
          </a:p>
        </xdr:txBody>
      </xdr:sp>
      <xdr:cxnSp macro="">
        <xdr:nvCxnSpPr>
          <xdr:cNvPr id="121" name="Straight Connector 120">
            <a:extLst>
              <a:ext uri="{FF2B5EF4-FFF2-40B4-BE49-F238E27FC236}">
                <a16:creationId xmlns:a16="http://schemas.microsoft.com/office/drawing/2014/main" id="{0442684F-C7FF-124C-CFCB-CF5B9EFE357C}"/>
              </a:ext>
            </a:extLst>
          </xdr:cNvPr>
          <xdr:cNvCxnSpPr/>
        </xdr:nvCxnSpPr>
        <xdr:spPr>
          <a:xfrm>
            <a:off x="4852988" y="66160650"/>
            <a:ext cx="328612"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23" name="Straight Connector 122">
            <a:extLst>
              <a:ext uri="{FF2B5EF4-FFF2-40B4-BE49-F238E27FC236}">
                <a16:creationId xmlns:a16="http://schemas.microsoft.com/office/drawing/2014/main" id="{B6597556-4979-0D51-502B-9E600E44F965}"/>
              </a:ext>
            </a:extLst>
          </xdr:cNvPr>
          <xdr:cNvCxnSpPr/>
        </xdr:nvCxnSpPr>
        <xdr:spPr>
          <a:xfrm flipV="1">
            <a:off x="2428876" y="65017650"/>
            <a:ext cx="0" cy="1147763"/>
          </a:xfrm>
          <a:prstGeom prst="line">
            <a:avLst/>
          </a:prstGeom>
          <a:noFill/>
          <a:ln w="6350"/>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125" name="Straight Connector 124">
            <a:extLst>
              <a:ext uri="{FF2B5EF4-FFF2-40B4-BE49-F238E27FC236}">
                <a16:creationId xmlns:a16="http://schemas.microsoft.com/office/drawing/2014/main" id="{D87214A8-8F95-B854-8305-151E1EFF0041}"/>
              </a:ext>
            </a:extLst>
          </xdr:cNvPr>
          <xdr:cNvCxnSpPr/>
        </xdr:nvCxnSpPr>
        <xdr:spPr>
          <a:xfrm flipV="1">
            <a:off x="3724275" y="65136713"/>
            <a:ext cx="0" cy="1023937"/>
          </a:xfrm>
          <a:prstGeom prst="line">
            <a:avLst/>
          </a:prstGeom>
          <a:noFill/>
          <a:ln w="6350"/>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126" name="Straight Connector 125">
            <a:extLst>
              <a:ext uri="{FF2B5EF4-FFF2-40B4-BE49-F238E27FC236}">
                <a16:creationId xmlns:a16="http://schemas.microsoft.com/office/drawing/2014/main" id="{C8292104-B7D3-85EB-83AF-6EA2D2B8FC66}"/>
              </a:ext>
            </a:extLst>
          </xdr:cNvPr>
          <xdr:cNvCxnSpPr/>
        </xdr:nvCxnSpPr>
        <xdr:spPr>
          <a:xfrm>
            <a:off x="1133475" y="65379607"/>
            <a:ext cx="400050" cy="0"/>
          </a:xfrm>
          <a:prstGeom prst="line">
            <a:avLst/>
          </a:prstGeom>
          <a:noFill/>
          <a:ln w="6350"/>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512" name="Straight Connector 511">
            <a:extLst>
              <a:ext uri="{FF2B5EF4-FFF2-40B4-BE49-F238E27FC236}">
                <a16:creationId xmlns:a16="http://schemas.microsoft.com/office/drawing/2014/main" id="{AEEEEA3F-E80D-9711-65DD-2AA2EDDFACC9}"/>
              </a:ext>
            </a:extLst>
          </xdr:cNvPr>
          <xdr:cNvCxnSpPr/>
        </xdr:nvCxnSpPr>
        <xdr:spPr>
          <a:xfrm>
            <a:off x="1133470" y="65784422"/>
            <a:ext cx="404818" cy="0"/>
          </a:xfrm>
          <a:prstGeom prst="line">
            <a:avLst/>
          </a:prstGeom>
          <a:noFill/>
          <a:ln w="6350"/>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514" name="Straight Connector 513">
            <a:extLst>
              <a:ext uri="{FF2B5EF4-FFF2-40B4-BE49-F238E27FC236}">
                <a16:creationId xmlns:a16="http://schemas.microsoft.com/office/drawing/2014/main" id="{8DA23C9E-81FE-F69A-372D-D5B96D109477}"/>
              </a:ext>
            </a:extLst>
          </xdr:cNvPr>
          <xdr:cNvCxnSpPr/>
        </xdr:nvCxnSpPr>
        <xdr:spPr>
          <a:xfrm>
            <a:off x="1133474" y="65136719"/>
            <a:ext cx="3890964" cy="0"/>
          </a:xfrm>
          <a:prstGeom prst="line">
            <a:avLst/>
          </a:prstGeom>
          <a:noFill/>
          <a:ln w="6350"/>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515" name="Straight Connector 514">
            <a:extLst>
              <a:ext uri="{FF2B5EF4-FFF2-40B4-BE49-F238E27FC236}">
                <a16:creationId xmlns:a16="http://schemas.microsoft.com/office/drawing/2014/main" id="{6E1C7B26-C499-0368-9F48-A8EDF42DCBF1}"/>
              </a:ext>
            </a:extLst>
          </xdr:cNvPr>
          <xdr:cNvCxnSpPr/>
        </xdr:nvCxnSpPr>
        <xdr:spPr>
          <a:xfrm flipV="1">
            <a:off x="1543040" y="65136713"/>
            <a:ext cx="0" cy="1023940"/>
          </a:xfrm>
          <a:prstGeom prst="line">
            <a:avLst/>
          </a:prstGeom>
          <a:noFill/>
          <a:ln w="6350"/>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516" name="Straight Connector 515">
            <a:extLst>
              <a:ext uri="{FF2B5EF4-FFF2-40B4-BE49-F238E27FC236}">
                <a16:creationId xmlns:a16="http://schemas.microsoft.com/office/drawing/2014/main" id="{6B3170DC-D3C1-7B0A-ADDC-922F06369BF1}"/>
              </a:ext>
            </a:extLst>
          </xdr:cNvPr>
          <xdr:cNvCxnSpPr/>
        </xdr:nvCxnSpPr>
        <xdr:spPr>
          <a:xfrm flipV="1">
            <a:off x="2014535" y="65136713"/>
            <a:ext cx="0" cy="1023940"/>
          </a:xfrm>
          <a:prstGeom prst="line">
            <a:avLst/>
          </a:prstGeom>
          <a:noFill/>
          <a:ln w="6350"/>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517" name="Straight Connector 516">
            <a:extLst>
              <a:ext uri="{FF2B5EF4-FFF2-40B4-BE49-F238E27FC236}">
                <a16:creationId xmlns:a16="http://schemas.microsoft.com/office/drawing/2014/main" id="{1C16FCC2-8DBD-FD3F-77F3-FC4A6B48E0B9}"/>
              </a:ext>
            </a:extLst>
          </xdr:cNvPr>
          <xdr:cNvCxnSpPr/>
        </xdr:nvCxnSpPr>
        <xdr:spPr>
          <a:xfrm flipV="1">
            <a:off x="4610100" y="65136713"/>
            <a:ext cx="0" cy="1023939"/>
          </a:xfrm>
          <a:prstGeom prst="line">
            <a:avLst/>
          </a:prstGeom>
          <a:noFill/>
          <a:ln w="6350"/>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518" name="Straight Connector 517">
            <a:extLst>
              <a:ext uri="{FF2B5EF4-FFF2-40B4-BE49-F238E27FC236}">
                <a16:creationId xmlns:a16="http://schemas.microsoft.com/office/drawing/2014/main" id="{F058CC88-D4C6-8EEA-8FB1-09DE1E6F0909}"/>
              </a:ext>
            </a:extLst>
          </xdr:cNvPr>
          <xdr:cNvCxnSpPr/>
        </xdr:nvCxnSpPr>
        <xdr:spPr>
          <a:xfrm flipV="1">
            <a:off x="4152908" y="65141475"/>
            <a:ext cx="0" cy="1019178"/>
          </a:xfrm>
          <a:prstGeom prst="line">
            <a:avLst/>
          </a:prstGeom>
          <a:noFill/>
          <a:ln w="6350"/>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519" name="Straight Connector 518">
            <a:extLst>
              <a:ext uri="{FF2B5EF4-FFF2-40B4-BE49-F238E27FC236}">
                <a16:creationId xmlns:a16="http://schemas.microsoft.com/office/drawing/2014/main" id="{2483F08F-FC13-6D64-23B8-85CD11320008}"/>
              </a:ext>
            </a:extLst>
          </xdr:cNvPr>
          <xdr:cNvCxnSpPr/>
        </xdr:nvCxnSpPr>
        <xdr:spPr>
          <a:xfrm flipV="1">
            <a:off x="3076575" y="65136713"/>
            <a:ext cx="0" cy="161925"/>
          </a:xfrm>
          <a:prstGeom prst="line">
            <a:avLst/>
          </a:prstGeom>
          <a:noFill/>
          <a:ln w="6350"/>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520" name="Straight Connector 519">
            <a:extLst>
              <a:ext uri="{FF2B5EF4-FFF2-40B4-BE49-F238E27FC236}">
                <a16:creationId xmlns:a16="http://schemas.microsoft.com/office/drawing/2014/main" id="{9319450D-3016-0547-C991-6248A4CBBDD6}"/>
              </a:ext>
            </a:extLst>
          </xdr:cNvPr>
          <xdr:cNvCxnSpPr/>
        </xdr:nvCxnSpPr>
        <xdr:spPr>
          <a:xfrm>
            <a:off x="2428875" y="65303400"/>
            <a:ext cx="1295400" cy="0"/>
          </a:xfrm>
          <a:prstGeom prst="line">
            <a:avLst/>
          </a:prstGeom>
          <a:noFill/>
          <a:ln w="6350"/>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521" name="Straight Connector 520">
            <a:extLst>
              <a:ext uri="{FF2B5EF4-FFF2-40B4-BE49-F238E27FC236}">
                <a16:creationId xmlns:a16="http://schemas.microsoft.com/office/drawing/2014/main" id="{6FD283EA-484B-35E4-13EC-503B62C36077}"/>
              </a:ext>
            </a:extLst>
          </xdr:cNvPr>
          <xdr:cNvCxnSpPr/>
        </xdr:nvCxnSpPr>
        <xdr:spPr>
          <a:xfrm>
            <a:off x="4613275" y="65379609"/>
            <a:ext cx="411173" cy="0"/>
          </a:xfrm>
          <a:prstGeom prst="line">
            <a:avLst/>
          </a:prstGeom>
          <a:noFill/>
          <a:ln w="6350"/>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522" name="Straight Connector 521">
            <a:extLst>
              <a:ext uri="{FF2B5EF4-FFF2-40B4-BE49-F238E27FC236}">
                <a16:creationId xmlns:a16="http://schemas.microsoft.com/office/drawing/2014/main" id="{ABAB31CC-4510-85FB-1A41-4A0DC91D0375}"/>
              </a:ext>
            </a:extLst>
          </xdr:cNvPr>
          <xdr:cNvCxnSpPr/>
        </xdr:nvCxnSpPr>
        <xdr:spPr>
          <a:xfrm>
            <a:off x="4616450" y="65784424"/>
            <a:ext cx="407998" cy="0"/>
          </a:xfrm>
          <a:prstGeom prst="line">
            <a:avLst/>
          </a:prstGeom>
          <a:noFill/>
          <a:ln w="6350"/>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523" name="Straight Connector 522">
            <a:extLst>
              <a:ext uri="{FF2B5EF4-FFF2-40B4-BE49-F238E27FC236}">
                <a16:creationId xmlns:a16="http://schemas.microsoft.com/office/drawing/2014/main" id="{D79C3E7F-14E2-49D0-E281-586B841A7680}"/>
              </a:ext>
            </a:extLst>
          </xdr:cNvPr>
          <xdr:cNvCxnSpPr/>
        </xdr:nvCxnSpPr>
        <xdr:spPr>
          <a:xfrm>
            <a:off x="2432050" y="65303400"/>
            <a:ext cx="1292225" cy="857250"/>
          </a:xfrm>
          <a:prstGeom prst="line">
            <a:avLst/>
          </a:prstGeom>
          <a:noFill/>
          <a:ln w="6350"/>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524" name="Straight Connector 523">
            <a:extLst>
              <a:ext uri="{FF2B5EF4-FFF2-40B4-BE49-F238E27FC236}">
                <a16:creationId xmlns:a16="http://schemas.microsoft.com/office/drawing/2014/main" id="{E004ADF6-2DE8-E518-5B1D-14C29DE3DA51}"/>
              </a:ext>
            </a:extLst>
          </xdr:cNvPr>
          <xdr:cNvCxnSpPr/>
        </xdr:nvCxnSpPr>
        <xdr:spPr>
          <a:xfrm flipH="1">
            <a:off x="2425699" y="65298638"/>
            <a:ext cx="1300164" cy="862012"/>
          </a:xfrm>
          <a:prstGeom prst="line">
            <a:avLst/>
          </a:prstGeom>
          <a:noFill/>
          <a:ln w="6350"/>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525" name="Straight Connector 524">
            <a:extLst>
              <a:ext uri="{FF2B5EF4-FFF2-40B4-BE49-F238E27FC236}">
                <a16:creationId xmlns:a16="http://schemas.microsoft.com/office/drawing/2014/main" id="{37B9796F-206F-7ACC-F89B-CB4439893AFC}"/>
              </a:ext>
            </a:extLst>
          </xdr:cNvPr>
          <xdr:cNvCxnSpPr/>
        </xdr:nvCxnSpPr>
        <xdr:spPr>
          <a:xfrm>
            <a:off x="1133475" y="66300350"/>
            <a:ext cx="0" cy="4857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26" name="Straight Connector 525">
            <a:extLst>
              <a:ext uri="{FF2B5EF4-FFF2-40B4-BE49-F238E27FC236}">
                <a16:creationId xmlns:a16="http://schemas.microsoft.com/office/drawing/2014/main" id="{211A5B70-848F-4A8D-2B12-488C4685D660}"/>
              </a:ext>
            </a:extLst>
          </xdr:cNvPr>
          <xdr:cNvCxnSpPr/>
        </xdr:nvCxnSpPr>
        <xdr:spPr>
          <a:xfrm>
            <a:off x="1079500" y="66449575"/>
            <a:ext cx="40163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27" name="Straight Connector 526">
            <a:extLst>
              <a:ext uri="{FF2B5EF4-FFF2-40B4-BE49-F238E27FC236}">
                <a16:creationId xmlns:a16="http://schemas.microsoft.com/office/drawing/2014/main" id="{A87C8552-254F-DFFD-C77B-4DD5ED3BE21C}"/>
              </a:ext>
            </a:extLst>
          </xdr:cNvPr>
          <xdr:cNvCxnSpPr/>
        </xdr:nvCxnSpPr>
        <xdr:spPr>
          <a:xfrm flipH="1">
            <a:off x="1101725" y="66424175"/>
            <a:ext cx="60325" cy="603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28" name="Straight Connector 527">
            <a:extLst>
              <a:ext uri="{FF2B5EF4-FFF2-40B4-BE49-F238E27FC236}">
                <a16:creationId xmlns:a16="http://schemas.microsoft.com/office/drawing/2014/main" id="{03990ADC-62BC-4193-91C3-A50420D4BBB8}"/>
              </a:ext>
            </a:extLst>
          </xdr:cNvPr>
          <xdr:cNvCxnSpPr/>
        </xdr:nvCxnSpPr>
        <xdr:spPr>
          <a:xfrm>
            <a:off x="1076325" y="66732150"/>
            <a:ext cx="3987800"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29" name="Straight Connector 528">
            <a:extLst>
              <a:ext uri="{FF2B5EF4-FFF2-40B4-BE49-F238E27FC236}">
                <a16:creationId xmlns:a16="http://schemas.microsoft.com/office/drawing/2014/main" id="{1ED4D408-AB19-7A23-2A9D-B9F13F127588}"/>
              </a:ext>
            </a:extLst>
          </xdr:cNvPr>
          <xdr:cNvCxnSpPr/>
        </xdr:nvCxnSpPr>
        <xdr:spPr>
          <a:xfrm flipH="1">
            <a:off x="1101725" y="66703575"/>
            <a:ext cx="60325" cy="603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30" name="Straight Connector 529">
            <a:extLst>
              <a:ext uri="{FF2B5EF4-FFF2-40B4-BE49-F238E27FC236}">
                <a16:creationId xmlns:a16="http://schemas.microsoft.com/office/drawing/2014/main" id="{ADF52DB0-4B5D-E14B-0300-515CBE5CE7FF}"/>
              </a:ext>
            </a:extLst>
          </xdr:cNvPr>
          <xdr:cNvCxnSpPr/>
        </xdr:nvCxnSpPr>
        <xdr:spPr>
          <a:xfrm>
            <a:off x="1543050" y="66249550"/>
            <a:ext cx="0" cy="2540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31" name="Straight Connector 530">
            <a:extLst>
              <a:ext uri="{FF2B5EF4-FFF2-40B4-BE49-F238E27FC236}">
                <a16:creationId xmlns:a16="http://schemas.microsoft.com/office/drawing/2014/main" id="{FD33499A-4D24-D485-0739-D5168AD823D6}"/>
              </a:ext>
            </a:extLst>
          </xdr:cNvPr>
          <xdr:cNvCxnSpPr/>
        </xdr:nvCxnSpPr>
        <xdr:spPr>
          <a:xfrm flipH="1">
            <a:off x="1511300" y="66421000"/>
            <a:ext cx="60325" cy="603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32" name="Straight Connector 531">
            <a:extLst>
              <a:ext uri="{FF2B5EF4-FFF2-40B4-BE49-F238E27FC236}">
                <a16:creationId xmlns:a16="http://schemas.microsoft.com/office/drawing/2014/main" id="{0FE47B74-530E-D83F-0172-8252413EB1B2}"/>
              </a:ext>
            </a:extLst>
          </xdr:cNvPr>
          <xdr:cNvCxnSpPr/>
        </xdr:nvCxnSpPr>
        <xdr:spPr>
          <a:xfrm>
            <a:off x="2012950" y="66233675"/>
            <a:ext cx="0" cy="2698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33" name="Straight Connector 532">
            <a:extLst>
              <a:ext uri="{FF2B5EF4-FFF2-40B4-BE49-F238E27FC236}">
                <a16:creationId xmlns:a16="http://schemas.microsoft.com/office/drawing/2014/main" id="{F359CDB4-7880-BD0F-C9C7-11464157EE6C}"/>
              </a:ext>
            </a:extLst>
          </xdr:cNvPr>
          <xdr:cNvCxnSpPr/>
        </xdr:nvCxnSpPr>
        <xdr:spPr>
          <a:xfrm flipH="1">
            <a:off x="1981200" y="66421000"/>
            <a:ext cx="60325" cy="603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34" name="Straight Connector 533">
            <a:extLst>
              <a:ext uri="{FF2B5EF4-FFF2-40B4-BE49-F238E27FC236}">
                <a16:creationId xmlns:a16="http://schemas.microsoft.com/office/drawing/2014/main" id="{C0B5F0EE-0520-53E2-5E33-E51BCBA7A839}"/>
              </a:ext>
            </a:extLst>
          </xdr:cNvPr>
          <xdr:cNvCxnSpPr/>
        </xdr:nvCxnSpPr>
        <xdr:spPr>
          <a:xfrm>
            <a:off x="2432050" y="66233675"/>
            <a:ext cx="0" cy="2698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35" name="Straight Connector 534">
            <a:extLst>
              <a:ext uri="{FF2B5EF4-FFF2-40B4-BE49-F238E27FC236}">
                <a16:creationId xmlns:a16="http://schemas.microsoft.com/office/drawing/2014/main" id="{0408656E-80F4-CEF9-4EEF-DC5E757D5790}"/>
              </a:ext>
            </a:extLst>
          </xdr:cNvPr>
          <xdr:cNvCxnSpPr/>
        </xdr:nvCxnSpPr>
        <xdr:spPr>
          <a:xfrm flipH="1">
            <a:off x="2400300" y="66421000"/>
            <a:ext cx="60325" cy="603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36" name="Straight Connector 535">
            <a:extLst>
              <a:ext uri="{FF2B5EF4-FFF2-40B4-BE49-F238E27FC236}">
                <a16:creationId xmlns:a16="http://schemas.microsoft.com/office/drawing/2014/main" id="{A4A8386C-7B83-04C7-D8B8-4F5F1C27ED4C}"/>
              </a:ext>
            </a:extLst>
          </xdr:cNvPr>
          <xdr:cNvCxnSpPr/>
        </xdr:nvCxnSpPr>
        <xdr:spPr>
          <a:xfrm>
            <a:off x="3727450" y="66233675"/>
            <a:ext cx="0" cy="2698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37" name="Straight Connector 536">
            <a:extLst>
              <a:ext uri="{FF2B5EF4-FFF2-40B4-BE49-F238E27FC236}">
                <a16:creationId xmlns:a16="http://schemas.microsoft.com/office/drawing/2014/main" id="{BB6EE6AA-BFCA-A2DF-4D32-2B16BA7AB4DE}"/>
              </a:ext>
            </a:extLst>
          </xdr:cNvPr>
          <xdr:cNvCxnSpPr/>
        </xdr:nvCxnSpPr>
        <xdr:spPr>
          <a:xfrm flipH="1">
            <a:off x="3695700" y="66421000"/>
            <a:ext cx="60325" cy="603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38" name="Straight Connector 537">
            <a:extLst>
              <a:ext uri="{FF2B5EF4-FFF2-40B4-BE49-F238E27FC236}">
                <a16:creationId xmlns:a16="http://schemas.microsoft.com/office/drawing/2014/main" id="{8CD298E4-689F-01EE-A458-DDC4D7319E89}"/>
              </a:ext>
            </a:extLst>
          </xdr:cNvPr>
          <xdr:cNvCxnSpPr/>
        </xdr:nvCxnSpPr>
        <xdr:spPr>
          <a:xfrm>
            <a:off x="4152900" y="66233675"/>
            <a:ext cx="0" cy="2698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39" name="Straight Connector 538">
            <a:extLst>
              <a:ext uri="{FF2B5EF4-FFF2-40B4-BE49-F238E27FC236}">
                <a16:creationId xmlns:a16="http://schemas.microsoft.com/office/drawing/2014/main" id="{D0118A7F-69D0-54BD-A979-CB665A842999}"/>
              </a:ext>
            </a:extLst>
          </xdr:cNvPr>
          <xdr:cNvCxnSpPr/>
        </xdr:nvCxnSpPr>
        <xdr:spPr>
          <a:xfrm flipH="1">
            <a:off x="4121150" y="66421000"/>
            <a:ext cx="60325" cy="603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40" name="Straight Connector 539">
            <a:extLst>
              <a:ext uri="{FF2B5EF4-FFF2-40B4-BE49-F238E27FC236}">
                <a16:creationId xmlns:a16="http://schemas.microsoft.com/office/drawing/2014/main" id="{A18DA2A0-6FBE-F279-70D5-469F4EE62540}"/>
              </a:ext>
            </a:extLst>
          </xdr:cNvPr>
          <xdr:cNvCxnSpPr/>
        </xdr:nvCxnSpPr>
        <xdr:spPr>
          <a:xfrm>
            <a:off x="4610100" y="66233675"/>
            <a:ext cx="0" cy="2698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41" name="Straight Connector 540">
            <a:extLst>
              <a:ext uri="{FF2B5EF4-FFF2-40B4-BE49-F238E27FC236}">
                <a16:creationId xmlns:a16="http://schemas.microsoft.com/office/drawing/2014/main" id="{2B972DC8-55B1-7234-1F1A-680CC1C4EED9}"/>
              </a:ext>
            </a:extLst>
          </xdr:cNvPr>
          <xdr:cNvCxnSpPr/>
        </xdr:nvCxnSpPr>
        <xdr:spPr>
          <a:xfrm flipH="1">
            <a:off x="4578350" y="66421000"/>
            <a:ext cx="60325" cy="603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42" name="Straight Connector 541">
            <a:extLst>
              <a:ext uri="{FF2B5EF4-FFF2-40B4-BE49-F238E27FC236}">
                <a16:creationId xmlns:a16="http://schemas.microsoft.com/office/drawing/2014/main" id="{7CA5709A-D076-A5A5-4ABA-4EEC1ACE7B63}"/>
              </a:ext>
            </a:extLst>
          </xdr:cNvPr>
          <xdr:cNvCxnSpPr/>
        </xdr:nvCxnSpPr>
        <xdr:spPr>
          <a:xfrm>
            <a:off x="5019675" y="66300350"/>
            <a:ext cx="0" cy="50165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43" name="Straight Connector 542">
            <a:extLst>
              <a:ext uri="{FF2B5EF4-FFF2-40B4-BE49-F238E27FC236}">
                <a16:creationId xmlns:a16="http://schemas.microsoft.com/office/drawing/2014/main" id="{F922C0FE-A8EE-45AC-C829-417C21282529}"/>
              </a:ext>
            </a:extLst>
          </xdr:cNvPr>
          <xdr:cNvCxnSpPr/>
        </xdr:nvCxnSpPr>
        <xdr:spPr>
          <a:xfrm flipH="1">
            <a:off x="4987925" y="66421000"/>
            <a:ext cx="60325" cy="603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44" name="Straight Connector 543">
            <a:extLst>
              <a:ext uri="{FF2B5EF4-FFF2-40B4-BE49-F238E27FC236}">
                <a16:creationId xmlns:a16="http://schemas.microsoft.com/office/drawing/2014/main" id="{75B0CB95-35DD-BAE2-C913-53D6669756D5}"/>
              </a:ext>
            </a:extLst>
          </xdr:cNvPr>
          <xdr:cNvCxnSpPr/>
        </xdr:nvCxnSpPr>
        <xdr:spPr>
          <a:xfrm flipH="1">
            <a:off x="4991100" y="66700400"/>
            <a:ext cx="60325" cy="603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45" name="Straight Connector 544">
            <a:extLst>
              <a:ext uri="{FF2B5EF4-FFF2-40B4-BE49-F238E27FC236}">
                <a16:creationId xmlns:a16="http://schemas.microsoft.com/office/drawing/2014/main" id="{ABE4FAEC-DB32-EFB2-6738-AB7E6FBBF3B7}"/>
              </a:ext>
            </a:extLst>
          </xdr:cNvPr>
          <xdr:cNvCxnSpPr/>
        </xdr:nvCxnSpPr>
        <xdr:spPr>
          <a:xfrm flipH="1">
            <a:off x="419100" y="64446151"/>
            <a:ext cx="23907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46" name="Straight Connector 545">
            <a:extLst>
              <a:ext uri="{FF2B5EF4-FFF2-40B4-BE49-F238E27FC236}">
                <a16:creationId xmlns:a16="http://schemas.microsoft.com/office/drawing/2014/main" id="{00EE9661-F990-8C19-6FB8-F12A78EC9773}"/>
              </a:ext>
            </a:extLst>
          </xdr:cNvPr>
          <xdr:cNvCxnSpPr/>
        </xdr:nvCxnSpPr>
        <xdr:spPr>
          <a:xfrm>
            <a:off x="809625" y="64379476"/>
            <a:ext cx="0" cy="1841499"/>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47" name="Straight Connector 546">
            <a:extLst>
              <a:ext uri="{FF2B5EF4-FFF2-40B4-BE49-F238E27FC236}">
                <a16:creationId xmlns:a16="http://schemas.microsoft.com/office/drawing/2014/main" id="{04699769-3BFF-BBDF-ABB2-E8A45E378612}"/>
              </a:ext>
            </a:extLst>
          </xdr:cNvPr>
          <xdr:cNvCxnSpPr/>
        </xdr:nvCxnSpPr>
        <xdr:spPr>
          <a:xfrm flipH="1">
            <a:off x="773113" y="64414400"/>
            <a:ext cx="66675" cy="666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48" name="Straight Connector 547">
            <a:extLst>
              <a:ext uri="{FF2B5EF4-FFF2-40B4-BE49-F238E27FC236}">
                <a16:creationId xmlns:a16="http://schemas.microsoft.com/office/drawing/2014/main" id="{E47A15B8-509B-F151-C91C-25FEA6931EB2}"/>
              </a:ext>
            </a:extLst>
          </xdr:cNvPr>
          <xdr:cNvCxnSpPr/>
        </xdr:nvCxnSpPr>
        <xdr:spPr>
          <a:xfrm>
            <a:off x="487362" y="64379475"/>
            <a:ext cx="0" cy="184785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49" name="Straight Connector 548">
            <a:extLst>
              <a:ext uri="{FF2B5EF4-FFF2-40B4-BE49-F238E27FC236}">
                <a16:creationId xmlns:a16="http://schemas.microsoft.com/office/drawing/2014/main" id="{0C520B6B-7F9B-5C9B-B3C5-06CD365EF267}"/>
              </a:ext>
            </a:extLst>
          </xdr:cNvPr>
          <xdr:cNvCxnSpPr/>
        </xdr:nvCxnSpPr>
        <xdr:spPr>
          <a:xfrm flipH="1">
            <a:off x="450850" y="64414399"/>
            <a:ext cx="66675" cy="666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50" name="Straight Connector 549">
            <a:extLst>
              <a:ext uri="{FF2B5EF4-FFF2-40B4-BE49-F238E27FC236}">
                <a16:creationId xmlns:a16="http://schemas.microsoft.com/office/drawing/2014/main" id="{2678C431-BC39-4186-9FDD-E52C5A125EA9}"/>
              </a:ext>
            </a:extLst>
          </xdr:cNvPr>
          <xdr:cNvCxnSpPr/>
        </xdr:nvCxnSpPr>
        <xdr:spPr>
          <a:xfrm flipH="1">
            <a:off x="742950" y="65020826"/>
            <a:ext cx="317500"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51" name="Straight Connector 550">
            <a:extLst>
              <a:ext uri="{FF2B5EF4-FFF2-40B4-BE49-F238E27FC236}">
                <a16:creationId xmlns:a16="http://schemas.microsoft.com/office/drawing/2014/main" id="{13232E45-EC73-8BDF-8B32-C59835F3D70C}"/>
              </a:ext>
            </a:extLst>
          </xdr:cNvPr>
          <xdr:cNvCxnSpPr/>
        </xdr:nvCxnSpPr>
        <xdr:spPr>
          <a:xfrm flipH="1">
            <a:off x="774700" y="64989074"/>
            <a:ext cx="66675" cy="666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52" name="Straight Connector 551">
            <a:extLst>
              <a:ext uri="{FF2B5EF4-FFF2-40B4-BE49-F238E27FC236}">
                <a16:creationId xmlns:a16="http://schemas.microsoft.com/office/drawing/2014/main" id="{3238325D-59D3-C51D-4364-E76E631D51EA}"/>
              </a:ext>
            </a:extLst>
          </xdr:cNvPr>
          <xdr:cNvCxnSpPr/>
        </xdr:nvCxnSpPr>
        <xdr:spPr>
          <a:xfrm flipH="1">
            <a:off x="742950" y="65379601"/>
            <a:ext cx="317500"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53" name="Straight Connector 552">
            <a:extLst>
              <a:ext uri="{FF2B5EF4-FFF2-40B4-BE49-F238E27FC236}">
                <a16:creationId xmlns:a16="http://schemas.microsoft.com/office/drawing/2014/main" id="{F73DD5A9-CE2D-1C24-3DE3-D0B421E463E1}"/>
              </a:ext>
            </a:extLst>
          </xdr:cNvPr>
          <xdr:cNvCxnSpPr/>
        </xdr:nvCxnSpPr>
        <xdr:spPr>
          <a:xfrm flipH="1">
            <a:off x="774700" y="65347849"/>
            <a:ext cx="66675" cy="666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54" name="Straight Connector 553">
            <a:extLst>
              <a:ext uri="{FF2B5EF4-FFF2-40B4-BE49-F238E27FC236}">
                <a16:creationId xmlns:a16="http://schemas.microsoft.com/office/drawing/2014/main" id="{F107F111-213F-53C6-8BBD-0C0A95D0722B}"/>
              </a:ext>
            </a:extLst>
          </xdr:cNvPr>
          <xdr:cNvCxnSpPr/>
        </xdr:nvCxnSpPr>
        <xdr:spPr>
          <a:xfrm flipH="1">
            <a:off x="742950" y="65786001"/>
            <a:ext cx="317500"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55" name="Straight Connector 554">
            <a:extLst>
              <a:ext uri="{FF2B5EF4-FFF2-40B4-BE49-F238E27FC236}">
                <a16:creationId xmlns:a16="http://schemas.microsoft.com/office/drawing/2014/main" id="{28248420-D1DD-AAE7-76CB-8C30363396E4}"/>
              </a:ext>
            </a:extLst>
          </xdr:cNvPr>
          <xdr:cNvCxnSpPr/>
        </xdr:nvCxnSpPr>
        <xdr:spPr>
          <a:xfrm flipH="1">
            <a:off x="774700" y="65754249"/>
            <a:ext cx="66675" cy="666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56" name="Straight Connector 555">
            <a:extLst>
              <a:ext uri="{FF2B5EF4-FFF2-40B4-BE49-F238E27FC236}">
                <a16:creationId xmlns:a16="http://schemas.microsoft.com/office/drawing/2014/main" id="{BB956CF3-1995-43F9-3717-EBA2571E7285}"/>
              </a:ext>
            </a:extLst>
          </xdr:cNvPr>
          <xdr:cNvCxnSpPr/>
        </xdr:nvCxnSpPr>
        <xdr:spPr>
          <a:xfrm flipH="1">
            <a:off x="419100" y="66160652"/>
            <a:ext cx="482600"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57" name="Straight Connector 556">
            <a:extLst>
              <a:ext uri="{FF2B5EF4-FFF2-40B4-BE49-F238E27FC236}">
                <a16:creationId xmlns:a16="http://schemas.microsoft.com/office/drawing/2014/main" id="{47FDEE9F-5A86-7A91-6980-F5E4B4C9CCCC}"/>
              </a:ext>
            </a:extLst>
          </xdr:cNvPr>
          <xdr:cNvCxnSpPr/>
        </xdr:nvCxnSpPr>
        <xdr:spPr>
          <a:xfrm flipH="1">
            <a:off x="773113" y="66128901"/>
            <a:ext cx="66675" cy="666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58" name="Straight Connector 557">
            <a:extLst>
              <a:ext uri="{FF2B5EF4-FFF2-40B4-BE49-F238E27FC236}">
                <a16:creationId xmlns:a16="http://schemas.microsoft.com/office/drawing/2014/main" id="{24676E1F-B867-F44C-382D-E1ABB3A6E47F}"/>
              </a:ext>
            </a:extLst>
          </xdr:cNvPr>
          <xdr:cNvCxnSpPr/>
        </xdr:nvCxnSpPr>
        <xdr:spPr>
          <a:xfrm flipH="1">
            <a:off x="450850" y="66128900"/>
            <a:ext cx="66675" cy="666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71" name="Straight Connector 570">
            <a:extLst>
              <a:ext uri="{FF2B5EF4-FFF2-40B4-BE49-F238E27FC236}">
                <a16:creationId xmlns:a16="http://schemas.microsoft.com/office/drawing/2014/main" id="{13D555E6-CCB2-6579-177D-3B8F0C29F349}"/>
              </a:ext>
            </a:extLst>
          </xdr:cNvPr>
          <xdr:cNvCxnSpPr/>
        </xdr:nvCxnSpPr>
        <xdr:spPr>
          <a:xfrm>
            <a:off x="5505450" y="65241486"/>
            <a:ext cx="0" cy="97155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72" name="Straight Connector 571">
            <a:extLst>
              <a:ext uri="{FF2B5EF4-FFF2-40B4-BE49-F238E27FC236}">
                <a16:creationId xmlns:a16="http://schemas.microsoft.com/office/drawing/2014/main" id="{6802F893-AC13-2B51-BD71-F1FC5BDE1EC7}"/>
              </a:ext>
            </a:extLst>
          </xdr:cNvPr>
          <xdr:cNvCxnSpPr/>
        </xdr:nvCxnSpPr>
        <xdr:spPr>
          <a:xfrm flipH="1">
            <a:off x="5473700" y="66132075"/>
            <a:ext cx="60325" cy="603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73" name="Straight Connector 572">
            <a:extLst>
              <a:ext uri="{FF2B5EF4-FFF2-40B4-BE49-F238E27FC236}">
                <a16:creationId xmlns:a16="http://schemas.microsoft.com/office/drawing/2014/main" id="{D8EA06E2-D24B-8F9E-AA06-50D882A69984}"/>
              </a:ext>
            </a:extLst>
          </xdr:cNvPr>
          <xdr:cNvCxnSpPr/>
        </xdr:nvCxnSpPr>
        <xdr:spPr>
          <a:xfrm flipH="1">
            <a:off x="5473700" y="65274825"/>
            <a:ext cx="60325" cy="603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74" name="Straight Connector 573">
            <a:extLst>
              <a:ext uri="{FF2B5EF4-FFF2-40B4-BE49-F238E27FC236}">
                <a16:creationId xmlns:a16="http://schemas.microsoft.com/office/drawing/2014/main" id="{AAD04D76-E25B-364B-3AE8-CD2B5A81F45F}"/>
              </a:ext>
            </a:extLst>
          </xdr:cNvPr>
          <xdr:cNvCxnSpPr/>
        </xdr:nvCxnSpPr>
        <xdr:spPr>
          <a:xfrm>
            <a:off x="5229225" y="66160651"/>
            <a:ext cx="328611"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75" name="Straight Connector 574">
            <a:extLst>
              <a:ext uri="{FF2B5EF4-FFF2-40B4-BE49-F238E27FC236}">
                <a16:creationId xmlns:a16="http://schemas.microsoft.com/office/drawing/2014/main" id="{18C1511F-5D39-C62D-4403-B2A9DD208129}"/>
              </a:ext>
            </a:extLst>
          </xdr:cNvPr>
          <xdr:cNvCxnSpPr/>
        </xdr:nvCxnSpPr>
        <xdr:spPr>
          <a:xfrm>
            <a:off x="3810000" y="65303401"/>
            <a:ext cx="1752598" cy="0"/>
          </a:xfrm>
          <a:prstGeom prst="line">
            <a:avLst/>
          </a:prstGeom>
        </xdr:spPr>
        <xdr:style>
          <a:lnRef idx="1">
            <a:schemeClr val="accent1"/>
          </a:lnRef>
          <a:fillRef idx="0">
            <a:schemeClr val="accent1"/>
          </a:fillRef>
          <a:effectRef idx="0">
            <a:schemeClr val="accent1"/>
          </a:effectRef>
          <a:fontRef idx="minor">
            <a:schemeClr val="tx1"/>
          </a:fontRef>
        </xdr:style>
      </xdr:cxnSp>
      <xdr:sp macro="" textlink="">
        <xdr:nvSpPr>
          <xdr:cNvPr id="135" name="TextBox 134">
            <a:extLst>
              <a:ext uri="{FF2B5EF4-FFF2-40B4-BE49-F238E27FC236}">
                <a16:creationId xmlns:a16="http://schemas.microsoft.com/office/drawing/2014/main" id="{CB136652-2798-4C9B-5446-A0BBDC8F7147}"/>
              </a:ext>
            </a:extLst>
          </xdr:cNvPr>
          <xdr:cNvSpPr txBox="1"/>
        </xdr:nvSpPr>
        <xdr:spPr>
          <a:xfrm>
            <a:off x="2676525" y="65322450"/>
            <a:ext cx="828675" cy="438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lang="tr-TR" sz="800" kern="1200">
                <a:latin typeface="Arial" panose="020B0604020202020204" pitchFamily="34" charset="0"/>
                <a:cs typeface="Arial" panose="020B0604020202020204" pitchFamily="34" charset="0"/>
              </a:rPr>
              <a:t>kapı</a:t>
            </a:r>
          </a:p>
        </xdr:txBody>
      </xdr:sp>
      <xdr:cxnSp macro="">
        <xdr:nvCxnSpPr>
          <xdr:cNvPr id="147" name="Straight Connector 146">
            <a:extLst>
              <a:ext uri="{FF2B5EF4-FFF2-40B4-BE49-F238E27FC236}">
                <a16:creationId xmlns:a16="http://schemas.microsoft.com/office/drawing/2014/main" id="{728FDD89-AF55-3CD6-040C-2F7BDF512000}"/>
              </a:ext>
            </a:extLst>
          </xdr:cNvPr>
          <xdr:cNvCxnSpPr/>
        </xdr:nvCxnSpPr>
        <xdr:spPr>
          <a:xfrm>
            <a:off x="1562100" y="65379600"/>
            <a:ext cx="428625" cy="0"/>
          </a:xfrm>
          <a:prstGeom prst="line">
            <a:avLst/>
          </a:prstGeom>
          <a:noFill/>
          <a:ln w="6350"/>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150" name="Straight Connector 149">
            <a:extLst>
              <a:ext uri="{FF2B5EF4-FFF2-40B4-BE49-F238E27FC236}">
                <a16:creationId xmlns:a16="http://schemas.microsoft.com/office/drawing/2014/main" id="{2C44F9BD-979C-50C7-86BA-DF2EBBAF9D37}"/>
              </a:ext>
            </a:extLst>
          </xdr:cNvPr>
          <xdr:cNvCxnSpPr/>
        </xdr:nvCxnSpPr>
        <xdr:spPr>
          <a:xfrm>
            <a:off x="1565275" y="65786000"/>
            <a:ext cx="428625" cy="0"/>
          </a:xfrm>
          <a:prstGeom prst="line">
            <a:avLst/>
          </a:prstGeom>
          <a:noFill/>
          <a:ln w="6350"/>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160" name="Straight Connector 159">
            <a:extLst>
              <a:ext uri="{FF2B5EF4-FFF2-40B4-BE49-F238E27FC236}">
                <a16:creationId xmlns:a16="http://schemas.microsoft.com/office/drawing/2014/main" id="{C66BF80F-0553-1B9E-8D07-E0E046B362C6}"/>
              </a:ext>
            </a:extLst>
          </xdr:cNvPr>
          <xdr:cNvCxnSpPr/>
        </xdr:nvCxnSpPr>
        <xdr:spPr>
          <a:xfrm>
            <a:off x="2038350" y="65379600"/>
            <a:ext cx="365125" cy="0"/>
          </a:xfrm>
          <a:prstGeom prst="line">
            <a:avLst/>
          </a:prstGeom>
          <a:noFill/>
          <a:ln w="6350"/>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167" name="Straight Connector 166">
            <a:extLst>
              <a:ext uri="{FF2B5EF4-FFF2-40B4-BE49-F238E27FC236}">
                <a16:creationId xmlns:a16="http://schemas.microsoft.com/office/drawing/2014/main" id="{206E7407-ED25-7845-6986-D2C6B0077962}"/>
              </a:ext>
            </a:extLst>
          </xdr:cNvPr>
          <xdr:cNvCxnSpPr/>
        </xdr:nvCxnSpPr>
        <xdr:spPr>
          <a:xfrm>
            <a:off x="2041525" y="65786000"/>
            <a:ext cx="361950" cy="0"/>
          </a:xfrm>
          <a:prstGeom prst="line">
            <a:avLst/>
          </a:prstGeom>
          <a:noFill/>
          <a:ln w="6350"/>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185" name="Straight Connector 184">
            <a:extLst>
              <a:ext uri="{FF2B5EF4-FFF2-40B4-BE49-F238E27FC236}">
                <a16:creationId xmlns:a16="http://schemas.microsoft.com/office/drawing/2014/main" id="{6BFE5516-2AEF-6E52-0B2A-81BCCC0D4421}"/>
              </a:ext>
            </a:extLst>
          </xdr:cNvPr>
          <xdr:cNvCxnSpPr/>
        </xdr:nvCxnSpPr>
        <xdr:spPr>
          <a:xfrm>
            <a:off x="3759200" y="65379600"/>
            <a:ext cx="365125" cy="0"/>
          </a:xfrm>
          <a:prstGeom prst="line">
            <a:avLst/>
          </a:prstGeom>
          <a:noFill/>
          <a:ln w="6350"/>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186" name="Straight Connector 185">
            <a:extLst>
              <a:ext uri="{FF2B5EF4-FFF2-40B4-BE49-F238E27FC236}">
                <a16:creationId xmlns:a16="http://schemas.microsoft.com/office/drawing/2014/main" id="{3788B817-ECA7-FE12-4D8D-72463869ECB1}"/>
              </a:ext>
            </a:extLst>
          </xdr:cNvPr>
          <xdr:cNvCxnSpPr/>
        </xdr:nvCxnSpPr>
        <xdr:spPr>
          <a:xfrm>
            <a:off x="3762375" y="65786000"/>
            <a:ext cx="361950" cy="0"/>
          </a:xfrm>
          <a:prstGeom prst="line">
            <a:avLst/>
          </a:prstGeom>
          <a:noFill/>
          <a:ln w="6350"/>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189" name="Straight Connector 188">
            <a:extLst>
              <a:ext uri="{FF2B5EF4-FFF2-40B4-BE49-F238E27FC236}">
                <a16:creationId xmlns:a16="http://schemas.microsoft.com/office/drawing/2014/main" id="{730DCAB7-30C0-CC75-CB69-964648AAAFD8}"/>
              </a:ext>
            </a:extLst>
          </xdr:cNvPr>
          <xdr:cNvCxnSpPr/>
        </xdr:nvCxnSpPr>
        <xdr:spPr>
          <a:xfrm>
            <a:off x="4178300" y="65379600"/>
            <a:ext cx="400050" cy="0"/>
          </a:xfrm>
          <a:prstGeom prst="line">
            <a:avLst/>
          </a:prstGeom>
          <a:noFill/>
          <a:ln w="6350"/>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190" name="Straight Connector 189">
            <a:extLst>
              <a:ext uri="{FF2B5EF4-FFF2-40B4-BE49-F238E27FC236}">
                <a16:creationId xmlns:a16="http://schemas.microsoft.com/office/drawing/2014/main" id="{A42E432A-3A6F-358D-BDBC-A5541BBF7A23}"/>
              </a:ext>
            </a:extLst>
          </xdr:cNvPr>
          <xdr:cNvCxnSpPr/>
        </xdr:nvCxnSpPr>
        <xdr:spPr>
          <a:xfrm>
            <a:off x="4181475" y="65786000"/>
            <a:ext cx="403225" cy="0"/>
          </a:xfrm>
          <a:prstGeom prst="line">
            <a:avLst/>
          </a:prstGeom>
          <a:noFill/>
          <a:ln w="6350"/>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196" name="Straight Connector 195">
            <a:extLst>
              <a:ext uri="{FF2B5EF4-FFF2-40B4-BE49-F238E27FC236}">
                <a16:creationId xmlns:a16="http://schemas.microsoft.com/office/drawing/2014/main" id="{B370EDED-E991-6C2D-CB58-2DACE66467B1}"/>
              </a:ext>
            </a:extLst>
          </xdr:cNvPr>
          <xdr:cNvCxnSpPr/>
        </xdr:nvCxnSpPr>
        <xdr:spPr>
          <a:xfrm flipV="1">
            <a:off x="3729038" y="64450913"/>
            <a:ext cx="704850" cy="1095375"/>
          </a:xfrm>
          <a:prstGeom prst="line">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97" name="Straight Connector 196">
            <a:extLst>
              <a:ext uri="{FF2B5EF4-FFF2-40B4-BE49-F238E27FC236}">
                <a16:creationId xmlns:a16="http://schemas.microsoft.com/office/drawing/2014/main" id="{B308430C-7D9A-3F58-D79F-BF53D80CC581}"/>
              </a:ext>
            </a:extLst>
          </xdr:cNvPr>
          <xdr:cNvCxnSpPr/>
        </xdr:nvCxnSpPr>
        <xdr:spPr>
          <a:xfrm flipV="1">
            <a:off x="3076575" y="64284225"/>
            <a:ext cx="838200" cy="923925"/>
          </a:xfrm>
          <a:prstGeom prst="line">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98" name="Straight Connector 197">
            <a:extLst>
              <a:ext uri="{FF2B5EF4-FFF2-40B4-BE49-F238E27FC236}">
                <a16:creationId xmlns:a16="http://schemas.microsoft.com/office/drawing/2014/main" id="{8F12954E-C050-75F4-2E07-A436A50F12D0}"/>
              </a:ext>
            </a:extLst>
          </xdr:cNvPr>
          <xdr:cNvCxnSpPr/>
        </xdr:nvCxnSpPr>
        <xdr:spPr>
          <a:xfrm flipV="1">
            <a:off x="4152900" y="64441388"/>
            <a:ext cx="290513" cy="1100137"/>
          </a:xfrm>
          <a:prstGeom prst="line">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02" name="Straight Connector 201">
            <a:extLst>
              <a:ext uri="{FF2B5EF4-FFF2-40B4-BE49-F238E27FC236}">
                <a16:creationId xmlns:a16="http://schemas.microsoft.com/office/drawing/2014/main" id="{5C122910-DC56-5F57-38FA-D966914EDCBE}"/>
              </a:ext>
            </a:extLst>
          </xdr:cNvPr>
          <xdr:cNvCxnSpPr/>
        </xdr:nvCxnSpPr>
        <xdr:spPr>
          <a:xfrm flipH="1" flipV="1">
            <a:off x="4448175" y="64441388"/>
            <a:ext cx="161925" cy="1143000"/>
          </a:xfrm>
          <a:prstGeom prst="line">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04" name="Straight Connector 203">
            <a:extLst>
              <a:ext uri="{FF2B5EF4-FFF2-40B4-BE49-F238E27FC236}">
                <a16:creationId xmlns:a16="http://schemas.microsoft.com/office/drawing/2014/main" id="{87740D31-83DB-16E2-660A-CA35830FCC2F}"/>
              </a:ext>
            </a:extLst>
          </xdr:cNvPr>
          <xdr:cNvCxnSpPr/>
        </xdr:nvCxnSpPr>
        <xdr:spPr>
          <a:xfrm flipH="1" flipV="1">
            <a:off x="1452563" y="64274700"/>
            <a:ext cx="338137" cy="1109663"/>
          </a:xfrm>
          <a:prstGeom prst="line">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05" name="Straight Connector 204">
            <a:extLst>
              <a:ext uri="{FF2B5EF4-FFF2-40B4-BE49-F238E27FC236}">
                <a16:creationId xmlns:a16="http://schemas.microsoft.com/office/drawing/2014/main" id="{CFA777CE-521D-DE5C-11D6-48B93BF9A5D3}"/>
              </a:ext>
            </a:extLst>
          </xdr:cNvPr>
          <xdr:cNvCxnSpPr/>
        </xdr:nvCxnSpPr>
        <xdr:spPr>
          <a:xfrm flipH="1" flipV="1">
            <a:off x="1457325" y="64279463"/>
            <a:ext cx="804863" cy="1104900"/>
          </a:xfrm>
          <a:prstGeom prst="line">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20" name="Straight Connector 219">
            <a:extLst>
              <a:ext uri="{FF2B5EF4-FFF2-40B4-BE49-F238E27FC236}">
                <a16:creationId xmlns:a16="http://schemas.microsoft.com/office/drawing/2014/main" id="{F3831D75-5951-EE73-936D-670A43DEF610}"/>
              </a:ext>
            </a:extLst>
          </xdr:cNvPr>
          <xdr:cNvCxnSpPr/>
        </xdr:nvCxnSpPr>
        <xdr:spPr>
          <a:xfrm flipH="1" flipV="1">
            <a:off x="1452563" y="64269938"/>
            <a:ext cx="814387" cy="1519237"/>
          </a:xfrm>
          <a:prstGeom prst="line">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21" name="Straight Connector 220">
            <a:extLst>
              <a:ext uri="{FF2B5EF4-FFF2-40B4-BE49-F238E27FC236}">
                <a16:creationId xmlns:a16="http://schemas.microsoft.com/office/drawing/2014/main" id="{17992BB2-FCF4-A3CE-928D-7B0ADD4DB2A3}"/>
              </a:ext>
            </a:extLst>
          </xdr:cNvPr>
          <xdr:cNvCxnSpPr/>
        </xdr:nvCxnSpPr>
        <xdr:spPr>
          <a:xfrm flipV="1">
            <a:off x="1314450" y="64274700"/>
            <a:ext cx="138113" cy="1504950"/>
          </a:xfrm>
          <a:prstGeom prst="line">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22" name="Straight Connector 221">
            <a:extLst>
              <a:ext uri="{FF2B5EF4-FFF2-40B4-BE49-F238E27FC236}">
                <a16:creationId xmlns:a16="http://schemas.microsoft.com/office/drawing/2014/main" id="{7378721B-3B1B-CF75-E74A-997283A449C7}"/>
              </a:ext>
            </a:extLst>
          </xdr:cNvPr>
          <xdr:cNvCxnSpPr/>
        </xdr:nvCxnSpPr>
        <xdr:spPr>
          <a:xfrm flipH="1" flipV="1">
            <a:off x="2066925" y="64150875"/>
            <a:ext cx="690563" cy="1157288"/>
          </a:xfrm>
          <a:prstGeom prst="line">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23" name="Straight Connector 222">
            <a:extLst>
              <a:ext uri="{FF2B5EF4-FFF2-40B4-BE49-F238E27FC236}">
                <a16:creationId xmlns:a16="http://schemas.microsoft.com/office/drawing/2014/main" id="{3025E437-4D0A-3EC9-43EE-FEAEDA368BF3}"/>
              </a:ext>
            </a:extLst>
          </xdr:cNvPr>
          <xdr:cNvCxnSpPr/>
        </xdr:nvCxnSpPr>
        <xdr:spPr>
          <a:xfrm flipH="1" flipV="1">
            <a:off x="2057400" y="64141350"/>
            <a:ext cx="1333500" cy="1157288"/>
          </a:xfrm>
          <a:prstGeom prst="line">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020" name="Straight Connector 3019">
            <a:extLst>
              <a:ext uri="{FF2B5EF4-FFF2-40B4-BE49-F238E27FC236}">
                <a16:creationId xmlns:a16="http://schemas.microsoft.com/office/drawing/2014/main" id="{48D8081B-8961-4FD0-AC4D-A673DCD4E756}"/>
              </a:ext>
            </a:extLst>
          </xdr:cNvPr>
          <xdr:cNvCxnSpPr/>
        </xdr:nvCxnSpPr>
        <xdr:spPr>
          <a:xfrm>
            <a:off x="3076577" y="64446150"/>
            <a:ext cx="0" cy="695325"/>
          </a:xfrm>
          <a:prstGeom prst="line">
            <a:avLst/>
          </a:prstGeom>
          <a:no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3021" name="Straight Connector 3020">
            <a:extLst>
              <a:ext uri="{FF2B5EF4-FFF2-40B4-BE49-F238E27FC236}">
                <a16:creationId xmlns:a16="http://schemas.microsoft.com/office/drawing/2014/main" id="{4B70F402-ED2C-4DC1-A470-66CE4CC7AF48}"/>
              </a:ext>
            </a:extLst>
          </xdr:cNvPr>
          <xdr:cNvCxnSpPr/>
        </xdr:nvCxnSpPr>
        <xdr:spPr>
          <a:xfrm>
            <a:off x="2752727" y="64541400"/>
            <a:ext cx="0" cy="595311"/>
          </a:xfrm>
          <a:prstGeom prst="line">
            <a:avLst/>
          </a:prstGeom>
          <a:no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3022" name="Straight Connector 3021">
            <a:extLst>
              <a:ext uri="{FF2B5EF4-FFF2-40B4-BE49-F238E27FC236}">
                <a16:creationId xmlns:a16="http://schemas.microsoft.com/office/drawing/2014/main" id="{8A129AD5-DABE-4AC3-876B-F8B53CAE52A0}"/>
              </a:ext>
            </a:extLst>
          </xdr:cNvPr>
          <xdr:cNvCxnSpPr/>
        </xdr:nvCxnSpPr>
        <xdr:spPr>
          <a:xfrm>
            <a:off x="2428876" y="64631888"/>
            <a:ext cx="0" cy="504823"/>
          </a:xfrm>
          <a:prstGeom prst="line">
            <a:avLst/>
          </a:prstGeom>
          <a:no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3277" name="Straight Connector 3276">
            <a:extLst>
              <a:ext uri="{FF2B5EF4-FFF2-40B4-BE49-F238E27FC236}">
                <a16:creationId xmlns:a16="http://schemas.microsoft.com/office/drawing/2014/main" id="{B4842A82-2511-4C62-87F6-4C9A33E7E323}"/>
              </a:ext>
            </a:extLst>
          </xdr:cNvPr>
          <xdr:cNvCxnSpPr/>
        </xdr:nvCxnSpPr>
        <xdr:spPr>
          <a:xfrm>
            <a:off x="2105025" y="64722375"/>
            <a:ext cx="0" cy="419100"/>
          </a:xfrm>
          <a:prstGeom prst="line">
            <a:avLst/>
          </a:prstGeom>
          <a:no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3278" name="Straight Connector 3277">
            <a:extLst>
              <a:ext uri="{FF2B5EF4-FFF2-40B4-BE49-F238E27FC236}">
                <a16:creationId xmlns:a16="http://schemas.microsoft.com/office/drawing/2014/main" id="{7F58FA67-25CC-44AC-BA64-608705BF8B84}"/>
              </a:ext>
            </a:extLst>
          </xdr:cNvPr>
          <xdr:cNvCxnSpPr/>
        </xdr:nvCxnSpPr>
        <xdr:spPr>
          <a:xfrm>
            <a:off x="1781169" y="64822388"/>
            <a:ext cx="0" cy="314318"/>
          </a:xfrm>
          <a:prstGeom prst="line">
            <a:avLst/>
          </a:prstGeom>
          <a:no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3280" name="Straight Connector 3279">
            <a:extLst>
              <a:ext uri="{FF2B5EF4-FFF2-40B4-BE49-F238E27FC236}">
                <a16:creationId xmlns:a16="http://schemas.microsoft.com/office/drawing/2014/main" id="{992FF538-2646-41E0-AC43-9E387D499E68}"/>
              </a:ext>
            </a:extLst>
          </xdr:cNvPr>
          <xdr:cNvCxnSpPr/>
        </xdr:nvCxnSpPr>
        <xdr:spPr>
          <a:xfrm>
            <a:off x="1457313" y="64927163"/>
            <a:ext cx="0" cy="209539"/>
          </a:xfrm>
          <a:prstGeom prst="line">
            <a:avLst/>
          </a:prstGeom>
          <a:no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3281" name="Straight Connector 3280">
            <a:extLst>
              <a:ext uri="{FF2B5EF4-FFF2-40B4-BE49-F238E27FC236}">
                <a16:creationId xmlns:a16="http://schemas.microsoft.com/office/drawing/2014/main" id="{B2BEC4AE-27B9-4992-A209-85FC89852A9A}"/>
              </a:ext>
            </a:extLst>
          </xdr:cNvPr>
          <xdr:cNvCxnSpPr/>
        </xdr:nvCxnSpPr>
        <xdr:spPr>
          <a:xfrm>
            <a:off x="2747963" y="64546163"/>
            <a:ext cx="333377" cy="595312"/>
          </a:xfrm>
          <a:prstGeom prst="line">
            <a:avLst/>
          </a:prstGeom>
          <a:no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3283" name="Straight Connector 3282">
            <a:extLst>
              <a:ext uri="{FF2B5EF4-FFF2-40B4-BE49-F238E27FC236}">
                <a16:creationId xmlns:a16="http://schemas.microsoft.com/office/drawing/2014/main" id="{F8F7EE02-5ACC-4FCC-BBDF-631364294E76}"/>
              </a:ext>
            </a:extLst>
          </xdr:cNvPr>
          <xdr:cNvCxnSpPr/>
        </xdr:nvCxnSpPr>
        <xdr:spPr>
          <a:xfrm>
            <a:off x="2433638" y="64641413"/>
            <a:ext cx="319089" cy="495299"/>
          </a:xfrm>
          <a:prstGeom prst="line">
            <a:avLst/>
          </a:prstGeom>
          <a:no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3286" name="Straight Connector 3285">
            <a:extLst>
              <a:ext uri="{FF2B5EF4-FFF2-40B4-BE49-F238E27FC236}">
                <a16:creationId xmlns:a16="http://schemas.microsoft.com/office/drawing/2014/main" id="{6B133C7B-39E2-447D-BC2D-1580C4C6F7DE}"/>
              </a:ext>
            </a:extLst>
          </xdr:cNvPr>
          <xdr:cNvCxnSpPr/>
        </xdr:nvCxnSpPr>
        <xdr:spPr>
          <a:xfrm>
            <a:off x="2109788" y="64731900"/>
            <a:ext cx="319089" cy="404812"/>
          </a:xfrm>
          <a:prstGeom prst="line">
            <a:avLst/>
          </a:prstGeom>
          <a:no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3287" name="Straight Connector 3286">
            <a:extLst>
              <a:ext uri="{FF2B5EF4-FFF2-40B4-BE49-F238E27FC236}">
                <a16:creationId xmlns:a16="http://schemas.microsoft.com/office/drawing/2014/main" id="{CA267A97-D98F-433D-B9EF-65413E4A3136}"/>
              </a:ext>
            </a:extLst>
          </xdr:cNvPr>
          <xdr:cNvCxnSpPr/>
        </xdr:nvCxnSpPr>
        <xdr:spPr>
          <a:xfrm>
            <a:off x="1785938" y="64827150"/>
            <a:ext cx="319089" cy="309562"/>
          </a:xfrm>
          <a:prstGeom prst="line">
            <a:avLst/>
          </a:prstGeom>
          <a:no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3288" name="Straight Connector 3287">
            <a:extLst>
              <a:ext uri="{FF2B5EF4-FFF2-40B4-BE49-F238E27FC236}">
                <a16:creationId xmlns:a16="http://schemas.microsoft.com/office/drawing/2014/main" id="{A82E6D02-2277-40E4-A405-CE9F1116FE30}"/>
              </a:ext>
            </a:extLst>
          </xdr:cNvPr>
          <xdr:cNvCxnSpPr/>
        </xdr:nvCxnSpPr>
        <xdr:spPr>
          <a:xfrm>
            <a:off x="1462088" y="64917638"/>
            <a:ext cx="319090" cy="223836"/>
          </a:xfrm>
          <a:prstGeom prst="line">
            <a:avLst/>
          </a:prstGeom>
          <a:no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3292" name="Straight Connector 3291">
            <a:extLst>
              <a:ext uri="{FF2B5EF4-FFF2-40B4-BE49-F238E27FC236}">
                <a16:creationId xmlns:a16="http://schemas.microsoft.com/office/drawing/2014/main" id="{246E6F35-B215-423F-802A-E72A1E46BAB9}"/>
              </a:ext>
            </a:extLst>
          </xdr:cNvPr>
          <xdr:cNvCxnSpPr>
            <a:stCxn id="106" idx="0"/>
          </xdr:cNvCxnSpPr>
        </xdr:nvCxnSpPr>
        <xdr:spPr>
          <a:xfrm>
            <a:off x="1133475" y="65017650"/>
            <a:ext cx="323853" cy="119061"/>
          </a:xfrm>
          <a:prstGeom prst="line">
            <a:avLst/>
          </a:prstGeom>
          <a:no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3293" name="Straight Connector 3292">
            <a:extLst>
              <a:ext uri="{FF2B5EF4-FFF2-40B4-BE49-F238E27FC236}">
                <a16:creationId xmlns:a16="http://schemas.microsoft.com/office/drawing/2014/main" id="{0DD46C0B-2870-4DA6-A968-FC1079F64EC2}"/>
              </a:ext>
            </a:extLst>
          </xdr:cNvPr>
          <xdr:cNvCxnSpPr/>
        </xdr:nvCxnSpPr>
        <xdr:spPr>
          <a:xfrm>
            <a:off x="3400441" y="64541400"/>
            <a:ext cx="0" cy="595311"/>
          </a:xfrm>
          <a:prstGeom prst="line">
            <a:avLst/>
          </a:prstGeom>
          <a:no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3294" name="Straight Connector 3293">
            <a:extLst>
              <a:ext uri="{FF2B5EF4-FFF2-40B4-BE49-F238E27FC236}">
                <a16:creationId xmlns:a16="http://schemas.microsoft.com/office/drawing/2014/main" id="{A8D65402-4C9B-4C99-BAFA-A969FF4D76C8}"/>
              </a:ext>
            </a:extLst>
          </xdr:cNvPr>
          <xdr:cNvCxnSpPr/>
        </xdr:nvCxnSpPr>
        <xdr:spPr>
          <a:xfrm>
            <a:off x="3724291" y="64631888"/>
            <a:ext cx="0" cy="504823"/>
          </a:xfrm>
          <a:prstGeom prst="line">
            <a:avLst/>
          </a:prstGeom>
          <a:no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3295" name="Straight Connector 3294">
            <a:extLst>
              <a:ext uri="{FF2B5EF4-FFF2-40B4-BE49-F238E27FC236}">
                <a16:creationId xmlns:a16="http://schemas.microsoft.com/office/drawing/2014/main" id="{632693C6-16AA-4474-889C-C7062EE5F6D2}"/>
              </a:ext>
            </a:extLst>
          </xdr:cNvPr>
          <xdr:cNvCxnSpPr/>
        </xdr:nvCxnSpPr>
        <xdr:spPr>
          <a:xfrm>
            <a:off x="4048141" y="64731900"/>
            <a:ext cx="0" cy="409575"/>
          </a:xfrm>
          <a:prstGeom prst="line">
            <a:avLst/>
          </a:prstGeom>
          <a:no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3296" name="Straight Connector 3295">
            <a:extLst>
              <a:ext uri="{FF2B5EF4-FFF2-40B4-BE49-F238E27FC236}">
                <a16:creationId xmlns:a16="http://schemas.microsoft.com/office/drawing/2014/main" id="{49677BE7-56EF-44EC-A3EC-BFCAAC315360}"/>
              </a:ext>
            </a:extLst>
          </xdr:cNvPr>
          <xdr:cNvCxnSpPr/>
        </xdr:nvCxnSpPr>
        <xdr:spPr>
          <a:xfrm>
            <a:off x="4371983" y="64827150"/>
            <a:ext cx="0" cy="314318"/>
          </a:xfrm>
          <a:prstGeom prst="line">
            <a:avLst/>
          </a:prstGeom>
          <a:no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3297" name="Straight Connector 3296">
            <a:extLst>
              <a:ext uri="{FF2B5EF4-FFF2-40B4-BE49-F238E27FC236}">
                <a16:creationId xmlns:a16="http://schemas.microsoft.com/office/drawing/2014/main" id="{BE18A345-A960-4D38-B6D6-B01E32A89CF7}"/>
              </a:ext>
            </a:extLst>
          </xdr:cNvPr>
          <xdr:cNvCxnSpPr/>
        </xdr:nvCxnSpPr>
        <xdr:spPr>
          <a:xfrm>
            <a:off x="4695828" y="64917638"/>
            <a:ext cx="0" cy="219064"/>
          </a:xfrm>
          <a:prstGeom prst="line">
            <a:avLst/>
          </a:prstGeom>
          <a:no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3298" name="Straight Connector 3297">
            <a:extLst>
              <a:ext uri="{FF2B5EF4-FFF2-40B4-BE49-F238E27FC236}">
                <a16:creationId xmlns:a16="http://schemas.microsoft.com/office/drawing/2014/main" id="{D54A3D5A-24AB-40A8-8D87-BBFA7996E193}"/>
              </a:ext>
            </a:extLst>
          </xdr:cNvPr>
          <xdr:cNvCxnSpPr/>
        </xdr:nvCxnSpPr>
        <xdr:spPr>
          <a:xfrm flipH="1">
            <a:off x="3076577" y="64531875"/>
            <a:ext cx="328611" cy="600074"/>
          </a:xfrm>
          <a:prstGeom prst="line">
            <a:avLst/>
          </a:prstGeom>
          <a:no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3299" name="Straight Connector 3298">
            <a:extLst>
              <a:ext uri="{FF2B5EF4-FFF2-40B4-BE49-F238E27FC236}">
                <a16:creationId xmlns:a16="http://schemas.microsoft.com/office/drawing/2014/main" id="{F4915E5D-B73C-4D78-B935-1285774A1471}"/>
              </a:ext>
            </a:extLst>
          </xdr:cNvPr>
          <xdr:cNvCxnSpPr/>
        </xdr:nvCxnSpPr>
        <xdr:spPr>
          <a:xfrm flipH="1">
            <a:off x="3400427" y="64636650"/>
            <a:ext cx="323848" cy="500061"/>
          </a:xfrm>
          <a:prstGeom prst="line">
            <a:avLst/>
          </a:prstGeom>
          <a:no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3300" name="Straight Connector 3299">
            <a:extLst>
              <a:ext uri="{FF2B5EF4-FFF2-40B4-BE49-F238E27FC236}">
                <a16:creationId xmlns:a16="http://schemas.microsoft.com/office/drawing/2014/main" id="{54F592DA-78E1-44AD-9615-84C40D679A47}"/>
              </a:ext>
            </a:extLst>
          </xdr:cNvPr>
          <xdr:cNvCxnSpPr/>
        </xdr:nvCxnSpPr>
        <xdr:spPr>
          <a:xfrm flipH="1">
            <a:off x="3724277" y="64731900"/>
            <a:ext cx="323848" cy="404811"/>
          </a:xfrm>
          <a:prstGeom prst="line">
            <a:avLst/>
          </a:prstGeom>
          <a:no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3301" name="Straight Connector 3300">
            <a:extLst>
              <a:ext uri="{FF2B5EF4-FFF2-40B4-BE49-F238E27FC236}">
                <a16:creationId xmlns:a16="http://schemas.microsoft.com/office/drawing/2014/main" id="{17AEB815-EFDD-4CA5-96C7-496FF51D2A37}"/>
              </a:ext>
            </a:extLst>
          </xdr:cNvPr>
          <xdr:cNvCxnSpPr/>
        </xdr:nvCxnSpPr>
        <xdr:spPr>
          <a:xfrm flipH="1">
            <a:off x="4048127" y="64827150"/>
            <a:ext cx="328611" cy="314323"/>
          </a:xfrm>
          <a:prstGeom prst="line">
            <a:avLst/>
          </a:prstGeom>
          <a:no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3302" name="Straight Connector 3301">
            <a:extLst>
              <a:ext uri="{FF2B5EF4-FFF2-40B4-BE49-F238E27FC236}">
                <a16:creationId xmlns:a16="http://schemas.microsoft.com/office/drawing/2014/main" id="{9175A0FC-2544-4E04-82D9-74F33C03898C}"/>
              </a:ext>
            </a:extLst>
          </xdr:cNvPr>
          <xdr:cNvCxnSpPr/>
        </xdr:nvCxnSpPr>
        <xdr:spPr>
          <a:xfrm flipH="1">
            <a:off x="4371977" y="64922400"/>
            <a:ext cx="328611" cy="214311"/>
          </a:xfrm>
          <a:prstGeom prst="line">
            <a:avLst/>
          </a:prstGeom>
          <a:no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3303" name="Straight Connector 3302">
            <a:extLst>
              <a:ext uri="{FF2B5EF4-FFF2-40B4-BE49-F238E27FC236}">
                <a16:creationId xmlns:a16="http://schemas.microsoft.com/office/drawing/2014/main" id="{C82F9707-3646-41B6-99FA-D462DDABA8E5}"/>
              </a:ext>
            </a:extLst>
          </xdr:cNvPr>
          <xdr:cNvCxnSpPr>
            <a:stCxn id="106" idx="3"/>
          </xdr:cNvCxnSpPr>
        </xdr:nvCxnSpPr>
        <xdr:spPr>
          <a:xfrm flipH="1">
            <a:off x="4695826" y="65020825"/>
            <a:ext cx="327024" cy="115886"/>
          </a:xfrm>
          <a:prstGeom prst="line">
            <a:avLst/>
          </a:prstGeom>
          <a:no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3305" name="Straight Connector 3304">
            <a:extLst>
              <a:ext uri="{FF2B5EF4-FFF2-40B4-BE49-F238E27FC236}">
                <a16:creationId xmlns:a16="http://schemas.microsoft.com/office/drawing/2014/main" id="{97348566-9AD8-4C7B-A137-AD0EF8653DDD}"/>
              </a:ext>
            </a:extLst>
          </xdr:cNvPr>
          <xdr:cNvCxnSpPr/>
        </xdr:nvCxnSpPr>
        <xdr:spPr>
          <a:xfrm>
            <a:off x="1928812" y="64508063"/>
            <a:ext cx="0" cy="733425"/>
          </a:xfrm>
          <a:prstGeom prst="line">
            <a:avLst/>
          </a:prstGeom>
          <a:ln w="9525">
            <a:solidFill>
              <a:schemeClr val="accent6">
                <a:lumMod val="75000"/>
              </a:schemeClr>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3360" name="Straight Connector 3359">
            <a:extLst>
              <a:ext uri="{FF2B5EF4-FFF2-40B4-BE49-F238E27FC236}">
                <a16:creationId xmlns:a16="http://schemas.microsoft.com/office/drawing/2014/main" id="{F82D75A9-E672-4492-A3B7-26F574DE9188}"/>
              </a:ext>
            </a:extLst>
          </xdr:cNvPr>
          <xdr:cNvCxnSpPr/>
        </xdr:nvCxnSpPr>
        <xdr:spPr>
          <a:xfrm>
            <a:off x="1962150" y="64508063"/>
            <a:ext cx="0" cy="733425"/>
          </a:xfrm>
          <a:prstGeom prst="line">
            <a:avLst/>
          </a:prstGeom>
          <a:ln w="9525">
            <a:solidFill>
              <a:schemeClr val="accent6">
                <a:lumMod val="75000"/>
              </a:schemeClr>
            </a:solidFill>
            <a:prstDash val="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xdr:col>
      <xdr:colOff>95250</xdr:colOff>
      <xdr:row>829</xdr:row>
      <xdr:rowOff>123825</xdr:rowOff>
    </xdr:from>
    <xdr:to>
      <xdr:col>34</xdr:col>
      <xdr:colOff>57148</xdr:colOff>
      <xdr:row>848</xdr:row>
      <xdr:rowOff>69850</xdr:rowOff>
    </xdr:to>
    <xdr:grpSp>
      <xdr:nvGrpSpPr>
        <xdr:cNvPr id="3405" name="Group 3404">
          <a:extLst>
            <a:ext uri="{FF2B5EF4-FFF2-40B4-BE49-F238E27FC236}">
              <a16:creationId xmlns:a16="http://schemas.microsoft.com/office/drawing/2014/main" id="{057622FE-7692-0C9E-ACE1-61FBECBC9F06}"/>
            </a:ext>
          </a:extLst>
        </xdr:cNvPr>
        <xdr:cNvGrpSpPr/>
      </xdr:nvGrpSpPr>
      <xdr:grpSpPr>
        <a:xfrm>
          <a:off x="419100" y="120748425"/>
          <a:ext cx="5143498" cy="2660650"/>
          <a:chOff x="419100" y="120748425"/>
          <a:chExt cx="5143498" cy="2660650"/>
        </a:xfrm>
      </xdr:grpSpPr>
      <xdr:cxnSp macro="">
        <xdr:nvCxnSpPr>
          <xdr:cNvPr id="1734" name="Straight Connector 1733">
            <a:extLst>
              <a:ext uri="{FF2B5EF4-FFF2-40B4-BE49-F238E27FC236}">
                <a16:creationId xmlns:a16="http://schemas.microsoft.com/office/drawing/2014/main" id="{171604F4-C4BA-38F0-EFE4-35E9566C3C84}"/>
              </a:ext>
            </a:extLst>
          </xdr:cNvPr>
          <xdr:cNvCxnSpPr/>
        </xdr:nvCxnSpPr>
        <xdr:spPr>
          <a:xfrm flipH="1">
            <a:off x="419100" y="121053226"/>
            <a:ext cx="23907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745" name="Straight Connector 1744">
            <a:extLst>
              <a:ext uri="{FF2B5EF4-FFF2-40B4-BE49-F238E27FC236}">
                <a16:creationId xmlns:a16="http://schemas.microsoft.com/office/drawing/2014/main" id="{1CD87355-976A-2F4B-380E-C4738B7B6BF9}"/>
              </a:ext>
            </a:extLst>
          </xdr:cNvPr>
          <xdr:cNvCxnSpPr/>
        </xdr:nvCxnSpPr>
        <xdr:spPr>
          <a:xfrm flipH="1">
            <a:off x="419100" y="122767727"/>
            <a:ext cx="482600"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693" name="Straight Connector 1692">
            <a:extLst>
              <a:ext uri="{FF2B5EF4-FFF2-40B4-BE49-F238E27FC236}">
                <a16:creationId xmlns:a16="http://schemas.microsoft.com/office/drawing/2014/main" id="{011977A9-4CD3-83E9-00D0-5997420C3801}"/>
              </a:ext>
            </a:extLst>
          </xdr:cNvPr>
          <xdr:cNvCxnSpPr/>
        </xdr:nvCxnSpPr>
        <xdr:spPr>
          <a:xfrm>
            <a:off x="5086350" y="121986678"/>
            <a:ext cx="476248" cy="0"/>
          </a:xfrm>
          <a:prstGeom prst="line">
            <a:avLst/>
          </a:prstGeom>
        </xdr:spPr>
        <xdr:style>
          <a:lnRef idx="1">
            <a:schemeClr val="accent1"/>
          </a:lnRef>
          <a:fillRef idx="0">
            <a:schemeClr val="accent1"/>
          </a:fillRef>
          <a:effectRef idx="0">
            <a:schemeClr val="accent1"/>
          </a:effectRef>
          <a:fontRef idx="minor">
            <a:schemeClr val="tx1"/>
          </a:fontRef>
        </xdr:style>
      </xdr:cxnSp>
      <xdr:sp macro="" textlink="">
        <xdr:nvSpPr>
          <xdr:cNvPr id="1694" name="Freeform: Shape 1693">
            <a:extLst>
              <a:ext uri="{FF2B5EF4-FFF2-40B4-BE49-F238E27FC236}">
                <a16:creationId xmlns:a16="http://schemas.microsoft.com/office/drawing/2014/main" id="{6E118BE5-EA46-E0E1-461A-04EA6A087AF7}"/>
              </a:ext>
            </a:extLst>
          </xdr:cNvPr>
          <xdr:cNvSpPr/>
        </xdr:nvSpPr>
        <xdr:spPr>
          <a:xfrm>
            <a:off x="1133475" y="121050050"/>
            <a:ext cx="3889375" cy="1717675"/>
          </a:xfrm>
          <a:custGeom>
            <a:avLst/>
            <a:gdLst>
              <a:gd name="connsiteX0" fmla="*/ 0 w 3892550"/>
              <a:gd name="connsiteY0" fmla="*/ 574675 h 1717675"/>
              <a:gd name="connsiteX1" fmla="*/ 0 w 3892550"/>
              <a:gd name="connsiteY1" fmla="*/ 1717675 h 1717675"/>
              <a:gd name="connsiteX2" fmla="*/ 3892550 w 3892550"/>
              <a:gd name="connsiteY2" fmla="*/ 1717675 h 1717675"/>
              <a:gd name="connsiteX3" fmla="*/ 3892550 w 3892550"/>
              <a:gd name="connsiteY3" fmla="*/ 577850 h 1717675"/>
              <a:gd name="connsiteX4" fmla="*/ 1946275 w 3892550"/>
              <a:gd name="connsiteY4" fmla="*/ 0 h 1717675"/>
              <a:gd name="connsiteX5" fmla="*/ 0 w 3892550"/>
              <a:gd name="connsiteY5" fmla="*/ 574675 h 171767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3892550" h="1717675">
                <a:moveTo>
                  <a:pt x="0" y="574675"/>
                </a:moveTo>
                <a:lnTo>
                  <a:pt x="0" y="1717675"/>
                </a:lnTo>
                <a:lnTo>
                  <a:pt x="3892550" y="1717675"/>
                </a:lnTo>
                <a:lnTo>
                  <a:pt x="3892550" y="577850"/>
                </a:lnTo>
                <a:lnTo>
                  <a:pt x="1946275" y="0"/>
                </a:lnTo>
                <a:lnTo>
                  <a:pt x="0" y="574675"/>
                </a:lnTo>
                <a:close/>
              </a:path>
            </a:pathLst>
          </a:cu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kern="1200"/>
          </a:p>
        </xdr:txBody>
      </xdr:sp>
      <xdr:sp macro="" textlink="">
        <xdr:nvSpPr>
          <xdr:cNvPr id="1695" name="Rectangle 1694">
            <a:extLst>
              <a:ext uri="{FF2B5EF4-FFF2-40B4-BE49-F238E27FC236}">
                <a16:creationId xmlns:a16="http://schemas.microsoft.com/office/drawing/2014/main" id="{08EF21D1-520A-29EE-AE53-C448891B1FDF}"/>
              </a:ext>
            </a:extLst>
          </xdr:cNvPr>
          <xdr:cNvSpPr/>
        </xdr:nvSpPr>
        <xdr:spPr>
          <a:xfrm>
            <a:off x="971551" y="122777251"/>
            <a:ext cx="323849" cy="95250"/>
          </a:xfrm>
          <a:prstGeom prst="rect">
            <a:avLst/>
          </a:prstGeom>
          <a:pattFill prst="ltUpDiag">
            <a:fgClr>
              <a:schemeClr val="tx1"/>
            </a:fgClr>
            <a:bgClr>
              <a:schemeClr val="bg1"/>
            </a:bgClr>
          </a:patt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kern="1200"/>
          </a:p>
        </xdr:txBody>
      </xdr:sp>
      <xdr:cxnSp macro="">
        <xdr:nvCxnSpPr>
          <xdr:cNvPr id="1696" name="Straight Connector 1695">
            <a:extLst>
              <a:ext uri="{FF2B5EF4-FFF2-40B4-BE49-F238E27FC236}">
                <a16:creationId xmlns:a16="http://schemas.microsoft.com/office/drawing/2014/main" id="{A97A67B1-3713-F901-77E6-BA658CBCBAD6}"/>
              </a:ext>
            </a:extLst>
          </xdr:cNvPr>
          <xdr:cNvCxnSpPr/>
        </xdr:nvCxnSpPr>
        <xdr:spPr>
          <a:xfrm>
            <a:off x="966788" y="122767725"/>
            <a:ext cx="328612"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697" name="Rectangle 1696">
            <a:extLst>
              <a:ext uri="{FF2B5EF4-FFF2-40B4-BE49-F238E27FC236}">
                <a16:creationId xmlns:a16="http://schemas.microsoft.com/office/drawing/2014/main" id="{7AB1E98C-CB15-6642-603D-E2062B4694E6}"/>
              </a:ext>
            </a:extLst>
          </xdr:cNvPr>
          <xdr:cNvSpPr/>
        </xdr:nvSpPr>
        <xdr:spPr>
          <a:xfrm>
            <a:off x="4857751" y="122777251"/>
            <a:ext cx="323849" cy="95250"/>
          </a:xfrm>
          <a:prstGeom prst="rect">
            <a:avLst/>
          </a:prstGeom>
          <a:pattFill prst="ltUpDiag">
            <a:fgClr>
              <a:schemeClr val="tx1"/>
            </a:fgClr>
            <a:bgClr>
              <a:schemeClr val="bg1"/>
            </a:bgClr>
          </a:patt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kern="1200"/>
          </a:p>
        </xdr:txBody>
      </xdr:sp>
      <xdr:cxnSp macro="">
        <xdr:nvCxnSpPr>
          <xdr:cNvPr id="1698" name="Straight Connector 1697">
            <a:extLst>
              <a:ext uri="{FF2B5EF4-FFF2-40B4-BE49-F238E27FC236}">
                <a16:creationId xmlns:a16="http://schemas.microsoft.com/office/drawing/2014/main" id="{041DFEA5-156A-33D4-8806-712543C5F2AF}"/>
              </a:ext>
            </a:extLst>
          </xdr:cNvPr>
          <xdr:cNvCxnSpPr/>
        </xdr:nvCxnSpPr>
        <xdr:spPr>
          <a:xfrm>
            <a:off x="4852988" y="122767725"/>
            <a:ext cx="328612"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699" name="Straight Connector 1698">
            <a:extLst>
              <a:ext uri="{FF2B5EF4-FFF2-40B4-BE49-F238E27FC236}">
                <a16:creationId xmlns:a16="http://schemas.microsoft.com/office/drawing/2014/main" id="{EF634990-9262-B757-0D69-83C808FC0E27}"/>
              </a:ext>
            </a:extLst>
          </xdr:cNvPr>
          <xdr:cNvCxnSpPr/>
        </xdr:nvCxnSpPr>
        <xdr:spPr>
          <a:xfrm flipV="1">
            <a:off x="2428876" y="121629488"/>
            <a:ext cx="0" cy="1143000"/>
          </a:xfrm>
          <a:prstGeom prst="line">
            <a:avLst/>
          </a:prstGeom>
          <a:noFill/>
          <a:ln w="6350"/>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1700" name="Straight Connector 1699">
            <a:extLst>
              <a:ext uri="{FF2B5EF4-FFF2-40B4-BE49-F238E27FC236}">
                <a16:creationId xmlns:a16="http://schemas.microsoft.com/office/drawing/2014/main" id="{D1706EAE-A49F-6B25-15FD-4085A4E983D1}"/>
              </a:ext>
            </a:extLst>
          </xdr:cNvPr>
          <xdr:cNvCxnSpPr/>
        </xdr:nvCxnSpPr>
        <xdr:spPr>
          <a:xfrm flipV="1">
            <a:off x="3724275" y="121743788"/>
            <a:ext cx="0" cy="1023937"/>
          </a:xfrm>
          <a:prstGeom prst="line">
            <a:avLst/>
          </a:prstGeom>
          <a:noFill/>
          <a:ln w="6350"/>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1701" name="Straight Connector 1700">
            <a:extLst>
              <a:ext uri="{FF2B5EF4-FFF2-40B4-BE49-F238E27FC236}">
                <a16:creationId xmlns:a16="http://schemas.microsoft.com/office/drawing/2014/main" id="{D592AF17-6B69-ED74-5ECF-51B31ADD36CA}"/>
              </a:ext>
            </a:extLst>
          </xdr:cNvPr>
          <xdr:cNvCxnSpPr/>
        </xdr:nvCxnSpPr>
        <xdr:spPr>
          <a:xfrm>
            <a:off x="1133475" y="121986682"/>
            <a:ext cx="400050" cy="0"/>
          </a:xfrm>
          <a:prstGeom prst="line">
            <a:avLst/>
          </a:prstGeom>
          <a:noFill/>
          <a:ln w="6350"/>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1702" name="Straight Connector 1701">
            <a:extLst>
              <a:ext uri="{FF2B5EF4-FFF2-40B4-BE49-F238E27FC236}">
                <a16:creationId xmlns:a16="http://schemas.microsoft.com/office/drawing/2014/main" id="{2B121B32-A813-EC1A-D2A6-A464ABD0A67D}"/>
              </a:ext>
            </a:extLst>
          </xdr:cNvPr>
          <xdr:cNvCxnSpPr/>
        </xdr:nvCxnSpPr>
        <xdr:spPr>
          <a:xfrm>
            <a:off x="1133470" y="122391497"/>
            <a:ext cx="404818" cy="0"/>
          </a:xfrm>
          <a:prstGeom prst="line">
            <a:avLst/>
          </a:prstGeom>
          <a:noFill/>
          <a:ln w="6350"/>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1703" name="Straight Connector 1702">
            <a:extLst>
              <a:ext uri="{FF2B5EF4-FFF2-40B4-BE49-F238E27FC236}">
                <a16:creationId xmlns:a16="http://schemas.microsoft.com/office/drawing/2014/main" id="{CB6C78BA-A58F-5D15-AEDD-EA145DFAE34D}"/>
              </a:ext>
            </a:extLst>
          </xdr:cNvPr>
          <xdr:cNvCxnSpPr/>
        </xdr:nvCxnSpPr>
        <xdr:spPr>
          <a:xfrm>
            <a:off x="1133474" y="121748557"/>
            <a:ext cx="3886201" cy="0"/>
          </a:xfrm>
          <a:prstGeom prst="line">
            <a:avLst/>
          </a:prstGeom>
          <a:noFill/>
          <a:ln w="6350"/>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1704" name="Straight Connector 1703">
            <a:extLst>
              <a:ext uri="{FF2B5EF4-FFF2-40B4-BE49-F238E27FC236}">
                <a16:creationId xmlns:a16="http://schemas.microsoft.com/office/drawing/2014/main" id="{A737A8CC-2F5B-FD36-EE42-627103CC97E5}"/>
              </a:ext>
            </a:extLst>
          </xdr:cNvPr>
          <xdr:cNvCxnSpPr/>
        </xdr:nvCxnSpPr>
        <xdr:spPr>
          <a:xfrm flipV="1">
            <a:off x="1543040" y="121753313"/>
            <a:ext cx="0" cy="1014415"/>
          </a:xfrm>
          <a:prstGeom prst="line">
            <a:avLst/>
          </a:prstGeom>
          <a:noFill/>
          <a:ln w="6350"/>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1705" name="Straight Connector 1704">
            <a:extLst>
              <a:ext uri="{FF2B5EF4-FFF2-40B4-BE49-F238E27FC236}">
                <a16:creationId xmlns:a16="http://schemas.microsoft.com/office/drawing/2014/main" id="{0FA20327-0F5B-EB5F-1FFA-0CD3FD458EED}"/>
              </a:ext>
            </a:extLst>
          </xdr:cNvPr>
          <xdr:cNvCxnSpPr/>
        </xdr:nvCxnSpPr>
        <xdr:spPr>
          <a:xfrm flipV="1">
            <a:off x="2014535" y="121753313"/>
            <a:ext cx="0" cy="1014415"/>
          </a:xfrm>
          <a:prstGeom prst="line">
            <a:avLst/>
          </a:prstGeom>
          <a:noFill/>
          <a:ln w="6350"/>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1706" name="Straight Connector 1705">
            <a:extLst>
              <a:ext uri="{FF2B5EF4-FFF2-40B4-BE49-F238E27FC236}">
                <a16:creationId xmlns:a16="http://schemas.microsoft.com/office/drawing/2014/main" id="{D89990FF-8487-0D3A-DFEB-DE77978E431A}"/>
              </a:ext>
            </a:extLst>
          </xdr:cNvPr>
          <xdr:cNvCxnSpPr/>
        </xdr:nvCxnSpPr>
        <xdr:spPr>
          <a:xfrm flipV="1">
            <a:off x="4610100" y="121753313"/>
            <a:ext cx="0" cy="1014414"/>
          </a:xfrm>
          <a:prstGeom prst="line">
            <a:avLst/>
          </a:prstGeom>
          <a:noFill/>
          <a:ln w="6350"/>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1707" name="Straight Connector 1706">
            <a:extLst>
              <a:ext uri="{FF2B5EF4-FFF2-40B4-BE49-F238E27FC236}">
                <a16:creationId xmlns:a16="http://schemas.microsoft.com/office/drawing/2014/main" id="{35C9BD91-6B4E-CACB-21D0-5946B1171367}"/>
              </a:ext>
            </a:extLst>
          </xdr:cNvPr>
          <xdr:cNvCxnSpPr/>
        </xdr:nvCxnSpPr>
        <xdr:spPr>
          <a:xfrm flipV="1">
            <a:off x="4152908" y="121743788"/>
            <a:ext cx="0" cy="1023940"/>
          </a:xfrm>
          <a:prstGeom prst="line">
            <a:avLst/>
          </a:prstGeom>
          <a:noFill/>
          <a:ln w="6350"/>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1708" name="Straight Connector 1707">
            <a:extLst>
              <a:ext uri="{FF2B5EF4-FFF2-40B4-BE49-F238E27FC236}">
                <a16:creationId xmlns:a16="http://schemas.microsoft.com/office/drawing/2014/main" id="{A7EEEF75-4834-D636-C016-A447700A74D0}"/>
              </a:ext>
            </a:extLst>
          </xdr:cNvPr>
          <xdr:cNvCxnSpPr/>
        </xdr:nvCxnSpPr>
        <xdr:spPr>
          <a:xfrm flipV="1">
            <a:off x="3076575" y="121734263"/>
            <a:ext cx="0" cy="247650"/>
          </a:xfrm>
          <a:prstGeom prst="line">
            <a:avLst/>
          </a:prstGeom>
          <a:noFill/>
          <a:ln w="6350"/>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1709" name="Straight Connector 1708">
            <a:extLst>
              <a:ext uri="{FF2B5EF4-FFF2-40B4-BE49-F238E27FC236}">
                <a16:creationId xmlns:a16="http://schemas.microsoft.com/office/drawing/2014/main" id="{B0F25D8F-B5D5-4A64-ABAD-784B61154C56}"/>
              </a:ext>
            </a:extLst>
          </xdr:cNvPr>
          <xdr:cNvCxnSpPr/>
        </xdr:nvCxnSpPr>
        <xdr:spPr>
          <a:xfrm>
            <a:off x="2428877" y="121986681"/>
            <a:ext cx="1295400" cy="0"/>
          </a:xfrm>
          <a:prstGeom prst="line">
            <a:avLst/>
          </a:prstGeom>
          <a:noFill/>
          <a:ln w="6350"/>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1710" name="Straight Connector 1709">
            <a:extLst>
              <a:ext uri="{FF2B5EF4-FFF2-40B4-BE49-F238E27FC236}">
                <a16:creationId xmlns:a16="http://schemas.microsoft.com/office/drawing/2014/main" id="{0DC1ED29-012B-5D6B-AEA1-652825BD2F85}"/>
              </a:ext>
            </a:extLst>
          </xdr:cNvPr>
          <xdr:cNvCxnSpPr/>
        </xdr:nvCxnSpPr>
        <xdr:spPr>
          <a:xfrm>
            <a:off x="4613275" y="121986684"/>
            <a:ext cx="411173" cy="0"/>
          </a:xfrm>
          <a:prstGeom prst="line">
            <a:avLst/>
          </a:prstGeom>
          <a:noFill/>
          <a:ln w="6350"/>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1711" name="Straight Connector 1710">
            <a:extLst>
              <a:ext uri="{FF2B5EF4-FFF2-40B4-BE49-F238E27FC236}">
                <a16:creationId xmlns:a16="http://schemas.microsoft.com/office/drawing/2014/main" id="{440FE272-12B0-C72D-88B8-366DD2142B5C}"/>
              </a:ext>
            </a:extLst>
          </xdr:cNvPr>
          <xdr:cNvCxnSpPr/>
        </xdr:nvCxnSpPr>
        <xdr:spPr>
          <a:xfrm>
            <a:off x="4616450" y="122391499"/>
            <a:ext cx="407998" cy="0"/>
          </a:xfrm>
          <a:prstGeom prst="line">
            <a:avLst/>
          </a:prstGeom>
          <a:noFill/>
          <a:ln w="6350"/>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1712" name="Straight Connector 1711">
            <a:extLst>
              <a:ext uri="{FF2B5EF4-FFF2-40B4-BE49-F238E27FC236}">
                <a16:creationId xmlns:a16="http://schemas.microsoft.com/office/drawing/2014/main" id="{B42E2C9F-824B-CC14-90B0-2E988B54C0C7}"/>
              </a:ext>
            </a:extLst>
          </xdr:cNvPr>
          <xdr:cNvCxnSpPr/>
        </xdr:nvCxnSpPr>
        <xdr:spPr>
          <a:xfrm>
            <a:off x="2428875" y="121986675"/>
            <a:ext cx="1295400" cy="781050"/>
          </a:xfrm>
          <a:prstGeom prst="line">
            <a:avLst/>
          </a:prstGeom>
          <a:noFill/>
          <a:ln w="6350"/>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1713" name="Straight Connector 1712">
            <a:extLst>
              <a:ext uri="{FF2B5EF4-FFF2-40B4-BE49-F238E27FC236}">
                <a16:creationId xmlns:a16="http://schemas.microsoft.com/office/drawing/2014/main" id="{5B587404-1488-5F35-B73C-8203187402B1}"/>
              </a:ext>
            </a:extLst>
          </xdr:cNvPr>
          <xdr:cNvCxnSpPr/>
        </xdr:nvCxnSpPr>
        <xdr:spPr>
          <a:xfrm flipH="1">
            <a:off x="2425699" y="121981913"/>
            <a:ext cx="1293814" cy="785812"/>
          </a:xfrm>
          <a:prstGeom prst="line">
            <a:avLst/>
          </a:prstGeom>
          <a:noFill/>
          <a:ln w="6350"/>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1714" name="Straight Connector 1713">
            <a:extLst>
              <a:ext uri="{FF2B5EF4-FFF2-40B4-BE49-F238E27FC236}">
                <a16:creationId xmlns:a16="http://schemas.microsoft.com/office/drawing/2014/main" id="{25231C0E-F09D-6D5C-5113-AA5BB362FAE5}"/>
              </a:ext>
            </a:extLst>
          </xdr:cNvPr>
          <xdr:cNvCxnSpPr/>
        </xdr:nvCxnSpPr>
        <xdr:spPr>
          <a:xfrm>
            <a:off x="1133475" y="122907425"/>
            <a:ext cx="0" cy="4857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715" name="Straight Connector 1714">
            <a:extLst>
              <a:ext uri="{FF2B5EF4-FFF2-40B4-BE49-F238E27FC236}">
                <a16:creationId xmlns:a16="http://schemas.microsoft.com/office/drawing/2014/main" id="{31066CD4-3467-092E-3F07-9777338077C5}"/>
              </a:ext>
            </a:extLst>
          </xdr:cNvPr>
          <xdr:cNvCxnSpPr/>
        </xdr:nvCxnSpPr>
        <xdr:spPr>
          <a:xfrm>
            <a:off x="1079500" y="123056650"/>
            <a:ext cx="40163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716" name="Straight Connector 1715">
            <a:extLst>
              <a:ext uri="{FF2B5EF4-FFF2-40B4-BE49-F238E27FC236}">
                <a16:creationId xmlns:a16="http://schemas.microsoft.com/office/drawing/2014/main" id="{35A2E6AC-42BF-5DF6-1DCD-9C0A29C6E3C5}"/>
              </a:ext>
            </a:extLst>
          </xdr:cNvPr>
          <xdr:cNvCxnSpPr/>
        </xdr:nvCxnSpPr>
        <xdr:spPr>
          <a:xfrm flipH="1">
            <a:off x="1101725" y="123031250"/>
            <a:ext cx="60325" cy="603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717" name="Straight Connector 1716">
            <a:extLst>
              <a:ext uri="{FF2B5EF4-FFF2-40B4-BE49-F238E27FC236}">
                <a16:creationId xmlns:a16="http://schemas.microsoft.com/office/drawing/2014/main" id="{F53C579D-6FB3-7A09-3B4A-C6C89D3B002F}"/>
              </a:ext>
            </a:extLst>
          </xdr:cNvPr>
          <xdr:cNvCxnSpPr/>
        </xdr:nvCxnSpPr>
        <xdr:spPr>
          <a:xfrm>
            <a:off x="1076325" y="123339225"/>
            <a:ext cx="3987800"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718" name="Straight Connector 1717">
            <a:extLst>
              <a:ext uri="{FF2B5EF4-FFF2-40B4-BE49-F238E27FC236}">
                <a16:creationId xmlns:a16="http://schemas.microsoft.com/office/drawing/2014/main" id="{97808E5C-4C7C-19C2-9554-8D509B1FAB5A}"/>
              </a:ext>
            </a:extLst>
          </xdr:cNvPr>
          <xdr:cNvCxnSpPr/>
        </xdr:nvCxnSpPr>
        <xdr:spPr>
          <a:xfrm flipH="1">
            <a:off x="1101725" y="123310650"/>
            <a:ext cx="60325" cy="603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719" name="Straight Connector 1718">
            <a:extLst>
              <a:ext uri="{FF2B5EF4-FFF2-40B4-BE49-F238E27FC236}">
                <a16:creationId xmlns:a16="http://schemas.microsoft.com/office/drawing/2014/main" id="{51929D8E-D191-78B2-BDCE-428F86C31002}"/>
              </a:ext>
            </a:extLst>
          </xdr:cNvPr>
          <xdr:cNvCxnSpPr/>
        </xdr:nvCxnSpPr>
        <xdr:spPr>
          <a:xfrm>
            <a:off x="1543050" y="122856625"/>
            <a:ext cx="0" cy="2540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720" name="Straight Connector 1719">
            <a:extLst>
              <a:ext uri="{FF2B5EF4-FFF2-40B4-BE49-F238E27FC236}">
                <a16:creationId xmlns:a16="http://schemas.microsoft.com/office/drawing/2014/main" id="{2843C12A-8BD9-2628-B022-38F0BE0E807C}"/>
              </a:ext>
            </a:extLst>
          </xdr:cNvPr>
          <xdr:cNvCxnSpPr/>
        </xdr:nvCxnSpPr>
        <xdr:spPr>
          <a:xfrm flipH="1">
            <a:off x="1511300" y="123028075"/>
            <a:ext cx="60325" cy="603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721" name="Straight Connector 1720">
            <a:extLst>
              <a:ext uri="{FF2B5EF4-FFF2-40B4-BE49-F238E27FC236}">
                <a16:creationId xmlns:a16="http://schemas.microsoft.com/office/drawing/2014/main" id="{CF0E6FE1-98BE-10D6-AAB5-8B4C1837629B}"/>
              </a:ext>
            </a:extLst>
          </xdr:cNvPr>
          <xdr:cNvCxnSpPr/>
        </xdr:nvCxnSpPr>
        <xdr:spPr>
          <a:xfrm>
            <a:off x="2012950" y="122840750"/>
            <a:ext cx="0" cy="2698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722" name="Straight Connector 1721">
            <a:extLst>
              <a:ext uri="{FF2B5EF4-FFF2-40B4-BE49-F238E27FC236}">
                <a16:creationId xmlns:a16="http://schemas.microsoft.com/office/drawing/2014/main" id="{9EB35285-371C-0F24-12A1-F5B5965499D6}"/>
              </a:ext>
            </a:extLst>
          </xdr:cNvPr>
          <xdr:cNvCxnSpPr/>
        </xdr:nvCxnSpPr>
        <xdr:spPr>
          <a:xfrm flipH="1">
            <a:off x="1981200" y="123028075"/>
            <a:ext cx="60325" cy="603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723" name="Straight Connector 1722">
            <a:extLst>
              <a:ext uri="{FF2B5EF4-FFF2-40B4-BE49-F238E27FC236}">
                <a16:creationId xmlns:a16="http://schemas.microsoft.com/office/drawing/2014/main" id="{906DBFF4-3BF3-D078-A0EF-5D73D8B12E16}"/>
              </a:ext>
            </a:extLst>
          </xdr:cNvPr>
          <xdr:cNvCxnSpPr/>
        </xdr:nvCxnSpPr>
        <xdr:spPr>
          <a:xfrm>
            <a:off x="2432050" y="122840750"/>
            <a:ext cx="0" cy="2698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724" name="Straight Connector 1723">
            <a:extLst>
              <a:ext uri="{FF2B5EF4-FFF2-40B4-BE49-F238E27FC236}">
                <a16:creationId xmlns:a16="http://schemas.microsoft.com/office/drawing/2014/main" id="{8D2E1A95-0455-FAF6-784D-F5AC5ED38D1C}"/>
              </a:ext>
            </a:extLst>
          </xdr:cNvPr>
          <xdr:cNvCxnSpPr/>
        </xdr:nvCxnSpPr>
        <xdr:spPr>
          <a:xfrm flipH="1">
            <a:off x="2400300" y="123028075"/>
            <a:ext cx="60325" cy="603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725" name="Straight Connector 1724">
            <a:extLst>
              <a:ext uri="{FF2B5EF4-FFF2-40B4-BE49-F238E27FC236}">
                <a16:creationId xmlns:a16="http://schemas.microsoft.com/office/drawing/2014/main" id="{33BF92FF-00EC-B89F-5D25-03C60F448895}"/>
              </a:ext>
            </a:extLst>
          </xdr:cNvPr>
          <xdr:cNvCxnSpPr/>
        </xdr:nvCxnSpPr>
        <xdr:spPr>
          <a:xfrm>
            <a:off x="3727450" y="122840750"/>
            <a:ext cx="0" cy="2698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726" name="Straight Connector 1725">
            <a:extLst>
              <a:ext uri="{FF2B5EF4-FFF2-40B4-BE49-F238E27FC236}">
                <a16:creationId xmlns:a16="http://schemas.microsoft.com/office/drawing/2014/main" id="{36375D82-2176-7E11-D54E-2499CBF40055}"/>
              </a:ext>
            </a:extLst>
          </xdr:cNvPr>
          <xdr:cNvCxnSpPr/>
        </xdr:nvCxnSpPr>
        <xdr:spPr>
          <a:xfrm flipH="1">
            <a:off x="3695700" y="123028075"/>
            <a:ext cx="60325" cy="603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727" name="Straight Connector 1726">
            <a:extLst>
              <a:ext uri="{FF2B5EF4-FFF2-40B4-BE49-F238E27FC236}">
                <a16:creationId xmlns:a16="http://schemas.microsoft.com/office/drawing/2014/main" id="{AD0B3E81-9F95-AA6A-E31D-9D3920BB6668}"/>
              </a:ext>
            </a:extLst>
          </xdr:cNvPr>
          <xdr:cNvCxnSpPr/>
        </xdr:nvCxnSpPr>
        <xdr:spPr>
          <a:xfrm>
            <a:off x="4152900" y="122840750"/>
            <a:ext cx="0" cy="2698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728" name="Straight Connector 1727">
            <a:extLst>
              <a:ext uri="{FF2B5EF4-FFF2-40B4-BE49-F238E27FC236}">
                <a16:creationId xmlns:a16="http://schemas.microsoft.com/office/drawing/2014/main" id="{2530D8E6-5CDB-B01D-3671-23DE08A2C5B4}"/>
              </a:ext>
            </a:extLst>
          </xdr:cNvPr>
          <xdr:cNvCxnSpPr/>
        </xdr:nvCxnSpPr>
        <xdr:spPr>
          <a:xfrm flipH="1">
            <a:off x="4121150" y="123028075"/>
            <a:ext cx="60325" cy="603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729" name="Straight Connector 1728">
            <a:extLst>
              <a:ext uri="{FF2B5EF4-FFF2-40B4-BE49-F238E27FC236}">
                <a16:creationId xmlns:a16="http://schemas.microsoft.com/office/drawing/2014/main" id="{FCE01D22-0E9B-2E0B-CFF6-87B3842EC826}"/>
              </a:ext>
            </a:extLst>
          </xdr:cNvPr>
          <xdr:cNvCxnSpPr/>
        </xdr:nvCxnSpPr>
        <xdr:spPr>
          <a:xfrm>
            <a:off x="4610100" y="122840750"/>
            <a:ext cx="0" cy="2698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730" name="Straight Connector 1729">
            <a:extLst>
              <a:ext uri="{FF2B5EF4-FFF2-40B4-BE49-F238E27FC236}">
                <a16:creationId xmlns:a16="http://schemas.microsoft.com/office/drawing/2014/main" id="{60F041D6-8681-C3A5-E348-F7669EB60D96}"/>
              </a:ext>
            </a:extLst>
          </xdr:cNvPr>
          <xdr:cNvCxnSpPr/>
        </xdr:nvCxnSpPr>
        <xdr:spPr>
          <a:xfrm flipH="1">
            <a:off x="4578350" y="123028075"/>
            <a:ext cx="60325" cy="603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731" name="Straight Connector 1730">
            <a:extLst>
              <a:ext uri="{FF2B5EF4-FFF2-40B4-BE49-F238E27FC236}">
                <a16:creationId xmlns:a16="http://schemas.microsoft.com/office/drawing/2014/main" id="{6D6668F5-5E8F-D58C-D1B3-0CE6F1F17BED}"/>
              </a:ext>
            </a:extLst>
          </xdr:cNvPr>
          <xdr:cNvCxnSpPr/>
        </xdr:nvCxnSpPr>
        <xdr:spPr>
          <a:xfrm>
            <a:off x="5019675" y="122907425"/>
            <a:ext cx="0" cy="50165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732" name="Straight Connector 1731">
            <a:extLst>
              <a:ext uri="{FF2B5EF4-FFF2-40B4-BE49-F238E27FC236}">
                <a16:creationId xmlns:a16="http://schemas.microsoft.com/office/drawing/2014/main" id="{14857053-BD70-EC2C-021C-0CDEDB8CD247}"/>
              </a:ext>
            </a:extLst>
          </xdr:cNvPr>
          <xdr:cNvCxnSpPr/>
        </xdr:nvCxnSpPr>
        <xdr:spPr>
          <a:xfrm flipH="1">
            <a:off x="4987925" y="123028075"/>
            <a:ext cx="60325" cy="603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733" name="Straight Connector 1732">
            <a:extLst>
              <a:ext uri="{FF2B5EF4-FFF2-40B4-BE49-F238E27FC236}">
                <a16:creationId xmlns:a16="http://schemas.microsoft.com/office/drawing/2014/main" id="{0766F9E7-06C5-D68D-9DC2-1117837915FE}"/>
              </a:ext>
            </a:extLst>
          </xdr:cNvPr>
          <xdr:cNvCxnSpPr/>
        </xdr:nvCxnSpPr>
        <xdr:spPr>
          <a:xfrm flipH="1">
            <a:off x="4991100" y="123307475"/>
            <a:ext cx="60325" cy="603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735" name="Straight Connector 1734">
            <a:extLst>
              <a:ext uri="{FF2B5EF4-FFF2-40B4-BE49-F238E27FC236}">
                <a16:creationId xmlns:a16="http://schemas.microsoft.com/office/drawing/2014/main" id="{150EBB27-351E-3570-2909-1EF309EABA2F}"/>
              </a:ext>
            </a:extLst>
          </xdr:cNvPr>
          <xdr:cNvCxnSpPr/>
        </xdr:nvCxnSpPr>
        <xdr:spPr>
          <a:xfrm>
            <a:off x="809625" y="120986551"/>
            <a:ext cx="0" cy="1841499"/>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736" name="Straight Connector 1735">
            <a:extLst>
              <a:ext uri="{FF2B5EF4-FFF2-40B4-BE49-F238E27FC236}">
                <a16:creationId xmlns:a16="http://schemas.microsoft.com/office/drawing/2014/main" id="{0EE7B854-8807-5E33-6B75-A01C25B805AD}"/>
              </a:ext>
            </a:extLst>
          </xdr:cNvPr>
          <xdr:cNvCxnSpPr/>
        </xdr:nvCxnSpPr>
        <xdr:spPr>
          <a:xfrm flipH="1">
            <a:off x="773113" y="121021475"/>
            <a:ext cx="66675" cy="666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737" name="Straight Connector 1736">
            <a:extLst>
              <a:ext uri="{FF2B5EF4-FFF2-40B4-BE49-F238E27FC236}">
                <a16:creationId xmlns:a16="http://schemas.microsoft.com/office/drawing/2014/main" id="{1FF16A3A-ABC9-3758-AD46-1C47F21440E6}"/>
              </a:ext>
            </a:extLst>
          </xdr:cNvPr>
          <xdr:cNvCxnSpPr/>
        </xdr:nvCxnSpPr>
        <xdr:spPr>
          <a:xfrm>
            <a:off x="487362" y="120986550"/>
            <a:ext cx="0" cy="184785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738" name="Straight Connector 1737">
            <a:extLst>
              <a:ext uri="{FF2B5EF4-FFF2-40B4-BE49-F238E27FC236}">
                <a16:creationId xmlns:a16="http://schemas.microsoft.com/office/drawing/2014/main" id="{5F99CCF7-8EFD-8A9C-5496-BD9547C5F423}"/>
              </a:ext>
            </a:extLst>
          </xdr:cNvPr>
          <xdr:cNvCxnSpPr/>
        </xdr:nvCxnSpPr>
        <xdr:spPr>
          <a:xfrm flipH="1">
            <a:off x="450850" y="121021474"/>
            <a:ext cx="66675" cy="666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739" name="Straight Connector 1738">
            <a:extLst>
              <a:ext uri="{FF2B5EF4-FFF2-40B4-BE49-F238E27FC236}">
                <a16:creationId xmlns:a16="http://schemas.microsoft.com/office/drawing/2014/main" id="{DD0CD0D7-2060-F2F0-7DEF-172505FE28D1}"/>
              </a:ext>
            </a:extLst>
          </xdr:cNvPr>
          <xdr:cNvCxnSpPr/>
        </xdr:nvCxnSpPr>
        <xdr:spPr>
          <a:xfrm flipH="1">
            <a:off x="742950" y="121627901"/>
            <a:ext cx="317500"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740" name="Straight Connector 1739">
            <a:extLst>
              <a:ext uri="{FF2B5EF4-FFF2-40B4-BE49-F238E27FC236}">
                <a16:creationId xmlns:a16="http://schemas.microsoft.com/office/drawing/2014/main" id="{F5F1062D-6F74-3F30-B2C1-51F4B98D615F}"/>
              </a:ext>
            </a:extLst>
          </xdr:cNvPr>
          <xdr:cNvCxnSpPr/>
        </xdr:nvCxnSpPr>
        <xdr:spPr>
          <a:xfrm flipH="1">
            <a:off x="774700" y="121596149"/>
            <a:ext cx="66675" cy="666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741" name="Straight Connector 1740">
            <a:extLst>
              <a:ext uri="{FF2B5EF4-FFF2-40B4-BE49-F238E27FC236}">
                <a16:creationId xmlns:a16="http://schemas.microsoft.com/office/drawing/2014/main" id="{F54DB152-B8CB-FBA7-5131-F2AD245F1D6A}"/>
              </a:ext>
            </a:extLst>
          </xdr:cNvPr>
          <xdr:cNvCxnSpPr/>
        </xdr:nvCxnSpPr>
        <xdr:spPr>
          <a:xfrm flipH="1">
            <a:off x="742950" y="121986676"/>
            <a:ext cx="317500"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742" name="Straight Connector 1741">
            <a:extLst>
              <a:ext uri="{FF2B5EF4-FFF2-40B4-BE49-F238E27FC236}">
                <a16:creationId xmlns:a16="http://schemas.microsoft.com/office/drawing/2014/main" id="{5DE71E24-A87E-DA55-6C3C-5D8943FF424F}"/>
              </a:ext>
            </a:extLst>
          </xdr:cNvPr>
          <xdr:cNvCxnSpPr/>
        </xdr:nvCxnSpPr>
        <xdr:spPr>
          <a:xfrm flipH="1">
            <a:off x="774700" y="121954924"/>
            <a:ext cx="66675" cy="666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743" name="Straight Connector 1742">
            <a:extLst>
              <a:ext uri="{FF2B5EF4-FFF2-40B4-BE49-F238E27FC236}">
                <a16:creationId xmlns:a16="http://schemas.microsoft.com/office/drawing/2014/main" id="{34C35F68-5FF2-455D-B1F3-FDB929606D1C}"/>
              </a:ext>
            </a:extLst>
          </xdr:cNvPr>
          <xdr:cNvCxnSpPr/>
        </xdr:nvCxnSpPr>
        <xdr:spPr>
          <a:xfrm flipH="1">
            <a:off x="742950" y="122393076"/>
            <a:ext cx="317500"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744" name="Straight Connector 1743">
            <a:extLst>
              <a:ext uri="{FF2B5EF4-FFF2-40B4-BE49-F238E27FC236}">
                <a16:creationId xmlns:a16="http://schemas.microsoft.com/office/drawing/2014/main" id="{6F5EE2DB-0D35-412B-8DB8-A3BC8EB5E090}"/>
              </a:ext>
            </a:extLst>
          </xdr:cNvPr>
          <xdr:cNvCxnSpPr/>
        </xdr:nvCxnSpPr>
        <xdr:spPr>
          <a:xfrm flipH="1">
            <a:off x="774700" y="122361324"/>
            <a:ext cx="66675" cy="666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746" name="Straight Connector 1745">
            <a:extLst>
              <a:ext uri="{FF2B5EF4-FFF2-40B4-BE49-F238E27FC236}">
                <a16:creationId xmlns:a16="http://schemas.microsoft.com/office/drawing/2014/main" id="{824AE8D0-E7EA-B3F3-649B-7076DD5578EB}"/>
              </a:ext>
            </a:extLst>
          </xdr:cNvPr>
          <xdr:cNvCxnSpPr/>
        </xdr:nvCxnSpPr>
        <xdr:spPr>
          <a:xfrm flipH="1">
            <a:off x="773113" y="122735976"/>
            <a:ext cx="66675" cy="666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747" name="Straight Connector 1746">
            <a:extLst>
              <a:ext uri="{FF2B5EF4-FFF2-40B4-BE49-F238E27FC236}">
                <a16:creationId xmlns:a16="http://schemas.microsoft.com/office/drawing/2014/main" id="{A53762A6-0476-1231-DE3F-E7D9E28B3820}"/>
              </a:ext>
            </a:extLst>
          </xdr:cNvPr>
          <xdr:cNvCxnSpPr/>
        </xdr:nvCxnSpPr>
        <xdr:spPr>
          <a:xfrm flipH="1">
            <a:off x="450850" y="122735975"/>
            <a:ext cx="66675" cy="666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748" name="Straight Connector 1747">
            <a:extLst>
              <a:ext uri="{FF2B5EF4-FFF2-40B4-BE49-F238E27FC236}">
                <a16:creationId xmlns:a16="http://schemas.microsoft.com/office/drawing/2014/main" id="{A316E60E-1887-4856-A596-F8F4C88D4092}"/>
              </a:ext>
            </a:extLst>
          </xdr:cNvPr>
          <xdr:cNvCxnSpPr/>
        </xdr:nvCxnSpPr>
        <xdr:spPr>
          <a:xfrm>
            <a:off x="5505450" y="121920000"/>
            <a:ext cx="0" cy="90011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749" name="Straight Connector 1748">
            <a:extLst>
              <a:ext uri="{FF2B5EF4-FFF2-40B4-BE49-F238E27FC236}">
                <a16:creationId xmlns:a16="http://schemas.microsoft.com/office/drawing/2014/main" id="{02F2B16B-2D69-3F35-FCE3-9CBB735EDAAA}"/>
              </a:ext>
            </a:extLst>
          </xdr:cNvPr>
          <xdr:cNvCxnSpPr/>
        </xdr:nvCxnSpPr>
        <xdr:spPr>
          <a:xfrm flipH="1">
            <a:off x="5473700" y="122739150"/>
            <a:ext cx="60325" cy="603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750" name="Straight Connector 1749">
            <a:extLst>
              <a:ext uri="{FF2B5EF4-FFF2-40B4-BE49-F238E27FC236}">
                <a16:creationId xmlns:a16="http://schemas.microsoft.com/office/drawing/2014/main" id="{906AA104-5DA2-FF22-EE9A-3BC5B43018BD}"/>
              </a:ext>
            </a:extLst>
          </xdr:cNvPr>
          <xdr:cNvCxnSpPr/>
        </xdr:nvCxnSpPr>
        <xdr:spPr>
          <a:xfrm flipH="1">
            <a:off x="5473700" y="121958102"/>
            <a:ext cx="60325" cy="603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751" name="Straight Connector 1750">
            <a:extLst>
              <a:ext uri="{FF2B5EF4-FFF2-40B4-BE49-F238E27FC236}">
                <a16:creationId xmlns:a16="http://schemas.microsoft.com/office/drawing/2014/main" id="{BE21CBF0-C59D-E32D-FF1A-810B80A1A4B4}"/>
              </a:ext>
            </a:extLst>
          </xdr:cNvPr>
          <xdr:cNvCxnSpPr/>
        </xdr:nvCxnSpPr>
        <xdr:spPr>
          <a:xfrm>
            <a:off x="5229225" y="122767726"/>
            <a:ext cx="328611" cy="0"/>
          </a:xfrm>
          <a:prstGeom prst="line">
            <a:avLst/>
          </a:prstGeom>
        </xdr:spPr>
        <xdr:style>
          <a:lnRef idx="1">
            <a:schemeClr val="accent1"/>
          </a:lnRef>
          <a:fillRef idx="0">
            <a:schemeClr val="accent1"/>
          </a:fillRef>
          <a:effectRef idx="0">
            <a:schemeClr val="accent1"/>
          </a:effectRef>
          <a:fontRef idx="minor">
            <a:schemeClr val="tx1"/>
          </a:fontRef>
        </xdr:style>
      </xdr:cxnSp>
      <xdr:sp macro="" textlink="">
        <xdr:nvSpPr>
          <xdr:cNvPr id="1752" name="TextBox 1751">
            <a:extLst>
              <a:ext uri="{FF2B5EF4-FFF2-40B4-BE49-F238E27FC236}">
                <a16:creationId xmlns:a16="http://schemas.microsoft.com/office/drawing/2014/main" id="{29346AF7-B5AF-7842-E3EA-25681B62A0E4}"/>
              </a:ext>
            </a:extLst>
          </xdr:cNvPr>
          <xdr:cNvSpPr txBox="1"/>
        </xdr:nvSpPr>
        <xdr:spPr>
          <a:xfrm>
            <a:off x="2676525" y="121929525"/>
            <a:ext cx="828675" cy="438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lang="tr-TR" sz="800" kern="1200">
                <a:latin typeface="Arial" panose="020B0604020202020204" pitchFamily="34" charset="0"/>
                <a:cs typeface="Arial" panose="020B0604020202020204" pitchFamily="34" charset="0"/>
              </a:rPr>
              <a:t>kapı</a:t>
            </a:r>
          </a:p>
        </xdr:txBody>
      </xdr:sp>
      <xdr:cxnSp macro="">
        <xdr:nvCxnSpPr>
          <xdr:cNvPr id="1754" name="Straight Connector 1753">
            <a:extLst>
              <a:ext uri="{FF2B5EF4-FFF2-40B4-BE49-F238E27FC236}">
                <a16:creationId xmlns:a16="http://schemas.microsoft.com/office/drawing/2014/main" id="{646FE8B8-849A-7016-06AE-06028E343617}"/>
              </a:ext>
            </a:extLst>
          </xdr:cNvPr>
          <xdr:cNvCxnSpPr/>
        </xdr:nvCxnSpPr>
        <xdr:spPr>
          <a:xfrm>
            <a:off x="1562100" y="121986675"/>
            <a:ext cx="428625" cy="0"/>
          </a:xfrm>
          <a:prstGeom prst="line">
            <a:avLst/>
          </a:prstGeom>
          <a:noFill/>
          <a:ln w="6350"/>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1755" name="Straight Connector 1754">
            <a:extLst>
              <a:ext uri="{FF2B5EF4-FFF2-40B4-BE49-F238E27FC236}">
                <a16:creationId xmlns:a16="http://schemas.microsoft.com/office/drawing/2014/main" id="{59A13843-CB97-B118-D6EB-EA74E9170E63}"/>
              </a:ext>
            </a:extLst>
          </xdr:cNvPr>
          <xdr:cNvCxnSpPr/>
        </xdr:nvCxnSpPr>
        <xdr:spPr>
          <a:xfrm>
            <a:off x="1565275" y="122393075"/>
            <a:ext cx="428625" cy="0"/>
          </a:xfrm>
          <a:prstGeom prst="line">
            <a:avLst/>
          </a:prstGeom>
          <a:noFill/>
          <a:ln w="6350"/>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1757" name="Straight Connector 1756">
            <a:extLst>
              <a:ext uri="{FF2B5EF4-FFF2-40B4-BE49-F238E27FC236}">
                <a16:creationId xmlns:a16="http://schemas.microsoft.com/office/drawing/2014/main" id="{B5CEAD76-5DA7-D2EE-302C-EC3637B15A0D}"/>
              </a:ext>
            </a:extLst>
          </xdr:cNvPr>
          <xdr:cNvCxnSpPr/>
        </xdr:nvCxnSpPr>
        <xdr:spPr>
          <a:xfrm>
            <a:off x="2038350" y="121986675"/>
            <a:ext cx="365125" cy="0"/>
          </a:xfrm>
          <a:prstGeom prst="line">
            <a:avLst/>
          </a:prstGeom>
          <a:noFill/>
          <a:ln w="6350"/>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1758" name="Straight Connector 1757">
            <a:extLst>
              <a:ext uri="{FF2B5EF4-FFF2-40B4-BE49-F238E27FC236}">
                <a16:creationId xmlns:a16="http://schemas.microsoft.com/office/drawing/2014/main" id="{9F845BB8-3743-7245-4B74-47B015A6BE1C}"/>
              </a:ext>
            </a:extLst>
          </xdr:cNvPr>
          <xdr:cNvCxnSpPr/>
        </xdr:nvCxnSpPr>
        <xdr:spPr>
          <a:xfrm>
            <a:off x="2041525" y="122393075"/>
            <a:ext cx="361950" cy="0"/>
          </a:xfrm>
          <a:prstGeom prst="line">
            <a:avLst/>
          </a:prstGeom>
          <a:noFill/>
          <a:ln w="6350"/>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1764" name="Straight Connector 1763">
            <a:extLst>
              <a:ext uri="{FF2B5EF4-FFF2-40B4-BE49-F238E27FC236}">
                <a16:creationId xmlns:a16="http://schemas.microsoft.com/office/drawing/2014/main" id="{3B341840-585B-1141-B2EE-15CA94215FC8}"/>
              </a:ext>
            </a:extLst>
          </xdr:cNvPr>
          <xdr:cNvCxnSpPr/>
        </xdr:nvCxnSpPr>
        <xdr:spPr>
          <a:xfrm>
            <a:off x="3759200" y="121986675"/>
            <a:ext cx="365125" cy="0"/>
          </a:xfrm>
          <a:prstGeom prst="line">
            <a:avLst/>
          </a:prstGeom>
          <a:noFill/>
          <a:ln w="6350"/>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1765" name="Straight Connector 1764">
            <a:extLst>
              <a:ext uri="{FF2B5EF4-FFF2-40B4-BE49-F238E27FC236}">
                <a16:creationId xmlns:a16="http://schemas.microsoft.com/office/drawing/2014/main" id="{C6EB5BCE-6675-D036-02AB-4DA9D91E9BBE}"/>
              </a:ext>
            </a:extLst>
          </xdr:cNvPr>
          <xdr:cNvCxnSpPr/>
        </xdr:nvCxnSpPr>
        <xdr:spPr>
          <a:xfrm>
            <a:off x="3762375" y="122393075"/>
            <a:ext cx="361950" cy="0"/>
          </a:xfrm>
          <a:prstGeom prst="line">
            <a:avLst/>
          </a:prstGeom>
          <a:noFill/>
          <a:ln w="6350"/>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1766" name="Straight Connector 1765">
            <a:extLst>
              <a:ext uri="{FF2B5EF4-FFF2-40B4-BE49-F238E27FC236}">
                <a16:creationId xmlns:a16="http://schemas.microsoft.com/office/drawing/2014/main" id="{81C0EB9C-DC4E-335B-FF2D-3CC36856CF58}"/>
              </a:ext>
            </a:extLst>
          </xdr:cNvPr>
          <xdr:cNvCxnSpPr/>
        </xdr:nvCxnSpPr>
        <xdr:spPr>
          <a:xfrm>
            <a:off x="4178300" y="121986675"/>
            <a:ext cx="400050" cy="0"/>
          </a:xfrm>
          <a:prstGeom prst="line">
            <a:avLst/>
          </a:prstGeom>
          <a:noFill/>
          <a:ln w="6350"/>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1767" name="Straight Connector 1766">
            <a:extLst>
              <a:ext uri="{FF2B5EF4-FFF2-40B4-BE49-F238E27FC236}">
                <a16:creationId xmlns:a16="http://schemas.microsoft.com/office/drawing/2014/main" id="{E2E8E0EF-8E14-658E-3E77-4C547D496401}"/>
              </a:ext>
            </a:extLst>
          </xdr:cNvPr>
          <xdr:cNvCxnSpPr/>
        </xdr:nvCxnSpPr>
        <xdr:spPr>
          <a:xfrm>
            <a:off x="4181475" y="122393075"/>
            <a:ext cx="403225" cy="0"/>
          </a:xfrm>
          <a:prstGeom prst="line">
            <a:avLst/>
          </a:prstGeom>
          <a:noFill/>
          <a:ln w="6350"/>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1768" name="Straight Connector 1767">
            <a:extLst>
              <a:ext uri="{FF2B5EF4-FFF2-40B4-BE49-F238E27FC236}">
                <a16:creationId xmlns:a16="http://schemas.microsoft.com/office/drawing/2014/main" id="{3CEA1CAA-D1F1-8D0A-19CA-5EE915AEB990}"/>
              </a:ext>
            </a:extLst>
          </xdr:cNvPr>
          <xdr:cNvCxnSpPr/>
        </xdr:nvCxnSpPr>
        <xdr:spPr>
          <a:xfrm flipV="1">
            <a:off x="3724275" y="121057988"/>
            <a:ext cx="709613" cy="1171575"/>
          </a:xfrm>
          <a:prstGeom prst="line">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769" name="Straight Connector 1768">
            <a:extLst>
              <a:ext uri="{FF2B5EF4-FFF2-40B4-BE49-F238E27FC236}">
                <a16:creationId xmlns:a16="http://schemas.microsoft.com/office/drawing/2014/main" id="{0AE27DF7-6259-7BD1-EA3D-A9FB41D37D86}"/>
              </a:ext>
            </a:extLst>
          </xdr:cNvPr>
          <xdr:cNvCxnSpPr/>
        </xdr:nvCxnSpPr>
        <xdr:spPr>
          <a:xfrm flipV="1">
            <a:off x="3081338" y="120891300"/>
            <a:ext cx="833437" cy="985838"/>
          </a:xfrm>
          <a:prstGeom prst="line">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770" name="Straight Connector 1769">
            <a:extLst>
              <a:ext uri="{FF2B5EF4-FFF2-40B4-BE49-F238E27FC236}">
                <a16:creationId xmlns:a16="http://schemas.microsoft.com/office/drawing/2014/main" id="{FB04E8C5-E954-A594-E7CB-FFE1BD81CC31}"/>
              </a:ext>
            </a:extLst>
          </xdr:cNvPr>
          <xdr:cNvCxnSpPr/>
        </xdr:nvCxnSpPr>
        <xdr:spPr>
          <a:xfrm flipV="1">
            <a:off x="4157663" y="121048463"/>
            <a:ext cx="285750" cy="1119187"/>
          </a:xfrm>
          <a:prstGeom prst="line">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771" name="Straight Connector 1770">
            <a:extLst>
              <a:ext uri="{FF2B5EF4-FFF2-40B4-BE49-F238E27FC236}">
                <a16:creationId xmlns:a16="http://schemas.microsoft.com/office/drawing/2014/main" id="{D86A8FF9-6AEE-F32F-A994-3ADC29CE22FE}"/>
              </a:ext>
            </a:extLst>
          </xdr:cNvPr>
          <xdr:cNvCxnSpPr/>
        </xdr:nvCxnSpPr>
        <xdr:spPr>
          <a:xfrm flipH="1" flipV="1">
            <a:off x="4448175" y="121048463"/>
            <a:ext cx="161925" cy="1200150"/>
          </a:xfrm>
          <a:prstGeom prst="line">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772" name="Straight Connector 1771">
            <a:extLst>
              <a:ext uri="{FF2B5EF4-FFF2-40B4-BE49-F238E27FC236}">
                <a16:creationId xmlns:a16="http://schemas.microsoft.com/office/drawing/2014/main" id="{8F882ACB-3634-724E-F1C4-2E16C409E6B1}"/>
              </a:ext>
            </a:extLst>
          </xdr:cNvPr>
          <xdr:cNvCxnSpPr/>
        </xdr:nvCxnSpPr>
        <xdr:spPr>
          <a:xfrm flipH="1" flipV="1">
            <a:off x="1452563" y="120881775"/>
            <a:ext cx="338137" cy="1109663"/>
          </a:xfrm>
          <a:prstGeom prst="line">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773" name="Straight Connector 1772">
            <a:extLst>
              <a:ext uri="{FF2B5EF4-FFF2-40B4-BE49-F238E27FC236}">
                <a16:creationId xmlns:a16="http://schemas.microsoft.com/office/drawing/2014/main" id="{A441D762-D25C-6224-78DB-DCF143E73570}"/>
              </a:ext>
            </a:extLst>
          </xdr:cNvPr>
          <xdr:cNvCxnSpPr/>
        </xdr:nvCxnSpPr>
        <xdr:spPr>
          <a:xfrm flipH="1" flipV="1">
            <a:off x="1457325" y="120886538"/>
            <a:ext cx="814388" cy="1100137"/>
          </a:xfrm>
          <a:prstGeom prst="line">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774" name="Straight Connector 1773">
            <a:extLst>
              <a:ext uri="{FF2B5EF4-FFF2-40B4-BE49-F238E27FC236}">
                <a16:creationId xmlns:a16="http://schemas.microsoft.com/office/drawing/2014/main" id="{062DB03E-AAFC-F0E9-8301-E944CD056E6C}"/>
              </a:ext>
            </a:extLst>
          </xdr:cNvPr>
          <xdr:cNvCxnSpPr/>
        </xdr:nvCxnSpPr>
        <xdr:spPr>
          <a:xfrm flipH="1" flipV="1">
            <a:off x="1452563" y="120877013"/>
            <a:ext cx="814387" cy="1519237"/>
          </a:xfrm>
          <a:prstGeom prst="line">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775" name="Straight Connector 1774">
            <a:extLst>
              <a:ext uri="{FF2B5EF4-FFF2-40B4-BE49-F238E27FC236}">
                <a16:creationId xmlns:a16="http://schemas.microsoft.com/office/drawing/2014/main" id="{7631BB03-43A1-2985-286D-0A5AE842EFDF}"/>
              </a:ext>
            </a:extLst>
          </xdr:cNvPr>
          <xdr:cNvCxnSpPr/>
        </xdr:nvCxnSpPr>
        <xdr:spPr>
          <a:xfrm flipV="1">
            <a:off x="1271588" y="120881775"/>
            <a:ext cx="180975" cy="1514475"/>
          </a:xfrm>
          <a:prstGeom prst="line">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776" name="Straight Connector 1775">
            <a:extLst>
              <a:ext uri="{FF2B5EF4-FFF2-40B4-BE49-F238E27FC236}">
                <a16:creationId xmlns:a16="http://schemas.microsoft.com/office/drawing/2014/main" id="{4C736853-33FC-022F-B237-109A97639810}"/>
              </a:ext>
            </a:extLst>
          </xdr:cNvPr>
          <xdr:cNvCxnSpPr/>
        </xdr:nvCxnSpPr>
        <xdr:spPr>
          <a:xfrm flipH="1" flipV="1">
            <a:off x="2066925" y="120757950"/>
            <a:ext cx="661988" cy="1223963"/>
          </a:xfrm>
          <a:prstGeom prst="line">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777" name="Straight Connector 1776">
            <a:extLst>
              <a:ext uri="{FF2B5EF4-FFF2-40B4-BE49-F238E27FC236}">
                <a16:creationId xmlns:a16="http://schemas.microsoft.com/office/drawing/2014/main" id="{54F2404F-5D3C-F4B6-44BA-F1AA876660E8}"/>
              </a:ext>
            </a:extLst>
          </xdr:cNvPr>
          <xdr:cNvCxnSpPr/>
        </xdr:nvCxnSpPr>
        <xdr:spPr>
          <a:xfrm flipH="1" flipV="1">
            <a:off x="2057400" y="120748425"/>
            <a:ext cx="1362075" cy="1233488"/>
          </a:xfrm>
          <a:prstGeom prst="line">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778" name="Straight Connector 1777">
            <a:extLst>
              <a:ext uri="{FF2B5EF4-FFF2-40B4-BE49-F238E27FC236}">
                <a16:creationId xmlns:a16="http://schemas.microsoft.com/office/drawing/2014/main" id="{8C26615B-2C55-4A83-A0F6-D7CC6E0D68BB}"/>
              </a:ext>
            </a:extLst>
          </xdr:cNvPr>
          <xdr:cNvCxnSpPr/>
        </xdr:nvCxnSpPr>
        <xdr:spPr>
          <a:xfrm>
            <a:off x="1133475" y="122010494"/>
            <a:ext cx="400050" cy="0"/>
          </a:xfrm>
          <a:prstGeom prst="line">
            <a:avLst/>
          </a:prstGeom>
          <a:noFill/>
          <a:ln w="6350">
            <a:prstDash val="dash"/>
          </a:ln>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1779" name="Straight Connector 1778">
            <a:extLst>
              <a:ext uri="{FF2B5EF4-FFF2-40B4-BE49-F238E27FC236}">
                <a16:creationId xmlns:a16="http://schemas.microsoft.com/office/drawing/2014/main" id="{8FE3E070-8ECF-D5CC-2094-5F0758B631F2}"/>
              </a:ext>
            </a:extLst>
          </xdr:cNvPr>
          <xdr:cNvCxnSpPr/>
        </xdr:nvCxnSpPr>
        <xdr:spPr>
          <a:xfrm>
            <a:off x="2428877" y="122010493"/>
            <a:ext cx="1295400" cy="0"/>
          </a:xfrm>
          <a:prstGeom prst="line">
            <a:avLst/>
          </a:prstGeom>
          <a:noFill/>
          <a:ln w="6350">
            <a:prstDash val="dash"/>
          </a:ln>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1780" name="Straight Connector 1779">
            <a:extLst>
              <a:ext uri="{FF2B5EF4-FFF2-40B4-BE49-F238E27FC236}">
                <a16:creationId xmlns:a16="http://schemas.microsoft.com/office/drawing/2014/main" id="{40BC75E7-70AA-B9DC-491E-E88032985470}"/>
              </a:ext>
            </a:extLst>
          </xdr:cNvPr>
          <xdr:cNvCxnSpPr/>
        </xdr:nvCxnSpPr>
        <xdr:spPr>
          <a:xfrm>
            <a:off x="4613275" y="122010496"/>
            <a:ext cx="411173" cy="0"/>
          </a:xfrm>
          <a:prstGeom prst="line">
            <a:avLst/>
          </a:prstGeom>
          <a:noFill/>
          <a:ln w="6350">
            <a:prstDash val="dash"/>
          </a:ln>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1781" name="Straight Connector 1780">
            <a:extLst>
              <a:ext uri="{FF2B5EF4-FFF2-40B4-BE49-F238E27FC236}">
                <a16:creationId xmlns:a16="http://schemas.microsoft.com/office/drawing/2014/main" id="{73C1CF4E-E0F8-A3E4-4968-5CF711EDE9CE}"/>
              </a:ext>
            </a:extLst>
          </xdr:cNvPr>
          <xdr:cNvCxnSpPr/>
        </xdr:nvCxnSpPr>
        <xdr:spPr>
          <a:xfrm>
            <a:off x="1562100" y="122010487"/>
            <a:ext cx="428625" cy="0"/>
          </a:xfrm>
          <a:prstGeom prst="line">
            <a:avLst/>
          </a:prstGeom>
          <a:noFill/>
          <a:ln w="6350">
            <a:prstDash val="dash"/>
          </a:ln>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1782" name="Straight Connector 1781">
            <a:extLst>
              <a:ext uri="{FF2B5EF4-FFF2-40B4-BE49-F238E27FC236}">
                <a16:creationId xmlns:a16="http://schemas.microsoft.com/office/drawing/2014/main" id="{A2E189D7-27A7-DB61-FD39-8306F29B028E}"/>
              </a:ext>
            </a:extLst>
          </xdr:cNvPr>
          <xdr:cNvCxnSpPr/>
        </xdr:nvCxnSpPr>
        <xdr:spPr>
          <a:xfrm>
            <a:off x="2038350" y="122010487"/>
            <a:ext cx="365125" cy="0"/>
          </a:xfrm>
          <a:prstGeom prst="line">
            <a:avLst/>
          </a:prstGeom>
          <a:noFill/>
          <a:ln w="6350">
            <a:prstDash val="dash"/>
          </a:ln>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1783" name="Straight Connector 1782">
            <a:extLst>
              <a:ext uri="{FF2B5EF4-FFF2-40B4-BE49-F238E27FC236}">
                <a16:creationId xmlns:a16="http://schemas.microsoft.com/office/drawing/2014/main" id="{A6B3577D-6FB5-8E40-817E-F48C8C74B9D3}"/>
              </a:ext>
            </a:extLst>
          </xdr:cNvPr>
          <xdr:cNvCxnSpPr/>
        </xdr:nvCxnSpPr>
        <xdr:spPr>
          <a:xfrm>
            <a:off x="3759200" y="122010487"/>
            <a:ext cx="365125" cy="0"/>
          </a:xfrm>
          <a:prstGeom prst="line">
            <a:avLst/>
          </a:prstGeom>
          <a:noFill/>
          <a:ln w="6350">
            <a:prstDash val="dash"/>
          </a:ln>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1784" name="Straight Connector 1783">
            <a:extLst>
              <a:ext uri="{FF2B5EF4-FFF2-40B4-BE49-F238E27FC236}">
                <a16:creationId xmlns:a16="http://schemas.microsoft.com/office/drawing/2014/main" id="{235BFDC5-8F94-8130-B702-B3E81F01BD1E}"/>
              </a:ext>
            </a:extLst>
          </xdr:cNvPr>
          <xdr:cNvCxnSpPr/>
        </xdr:nvCxnSpPr>
        <xdr:spPr>
          <a:xfrm>
            <a:off x="4178300" y="122010487"/>
            <a:ext cx="400050" cy="0"/>
          </a:xfrm>
          <a:prstGeom prst="line">
            <a:avLst/>
          </a:prstGeom>
          <a:noFill/>
          <a:ln w="6350">
            <a:prstDash val="dash"/>
          </a:ln>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1785" name="Straight Connector 1784">
            <a:extLst>
              <a:ext uri="{FF2B5EF4-FFF2-40B4-BE49-F238E27FC236}">
                <a16:creationId xmlns:a16="http://schemas.microsoft.com/office/drawing/2014/main" id="{3F372291-EC1C-0517-E545-B0343BB99CDF}"/>
              </a:ext>
            </a:extLst>
          </xdr:cNvPr>
          <xdr:cNvCxnSpPr/>
        </xdr:nvCxnSpPr>
        <xdr:spPr>
          <a:xfrm flipH="1">
            <a:off x="4838702" y="121338966"/>
            <a:ext cx="219076" cy="671512"/>
          </a:xfrm>
          <a:prstGeom prst="line">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786" name="Straight Connector 1785">
            <a:extLst>
              <a:ext uri="{FF2B5EF4-FFF2-40B4-BE49-F238E27FC236}">
                <a16:creationId xmlns:a16="http://schemas.microsoft.com/office/drawing/2014/main" id="{3E172621-9C85-35A4-83B8-B9DCB2C928BD}"/>
              </a:ext>
            </a:extLst>
          </xdr:cNvPr>
          <xdr:cNvCxnSpPr/>
        </xdr:nvCxnSpPr>
        <xdr:spPr>
          <a:xfrm>
            <a:off x="995365" y="121910469"/>
            <a:ext cx="300038" cy="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1787" name="Isosceles Triangle 1786">
            <a:extLst>
              <a:ext uri="{FF2B5EF4-FFF2-40B4-BE49-F238E27FC236}">
                <a16:creationId xmlns:a16="http://schemas.microsoft.com/office/drawing/2014/main" id="{A1907BCB-E6E9-F7CE-B463-AE345592A250}"/>
              </a:ext>
            </a:extLst>
          </xdr:cNvPr>
          <xdr:cNvSpPr/>
        </xdr:nvSpPr>
        <xdr:spPr>
          <a:xfrm rot="10800000">
            <a:off x="1004893" y="121936091"/>
            <a:ext cx="95250" cy="82112"/>
          </a:xfrm>
          <a:prstGeom prst="triangle">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kern="1200"/>
          </a:p>
        </xdr:txBody>
      </xdr:sp>
      <xdr:sp macro="" textlink="">
        <xdr:nvSpPr>
          <xdr:cNvPr id="1788" name="Isosceles Triangle 1787">
            <a:extLst>
              <a:ext uri="{FF2B5EF4-FFF2-40B4-BE49-F238E27FC236}">
                <a16:creationId xmlns:a16="http://schemas.microsoft.com/office/drawing/2014/main" id="{D9D833A8-28AF-4126-DB1E-B5600C568EE9}"/>
              </a:ext>
            </a:extLst>
          </xdr:cNvPr>
          <xdr:cNvSpPr/>
        </xdr:nvSpPr>
        <xdr:spPr>
          <a:xfrm rot="10800000">
            <a:off x="5067304" y="121948565"/>
            <a:ext cx="95250" cy="82112"/>
          </a:xfrm>
          <a:prstGeom prst="triangle">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kern="1200"/>
          </a:p>
        </xdr:txBody>
      </xdr:sp>
      <xdr:cxnSp macro="">
        <xdr:nvCxnSpPr>
          <xdr:cNvPr id="1789" name="Straight Connector 1788">
            <a:extLst>
              <a:ext uri="{FF2B5EF4-FFF2-40B4-BE49-F238E27FC236}">
                <a16:creationId xmlns:a16="http://schemas.microsoft.com/office/drawing/2014/main" id="{83BAB867-CCD1-D63D-531A-1D45B7624851}"/>
              </a:ext>
            </a:extLst>
          </xdr:cNvPr>
          <xdr:cNvCxnSpPr/>
        </xdr:nvCxnSpPr>
        <xdr:spPr>
          <a:xfrm>
            <a:off x="4886328" y="121919991"/>
            <a:ext cx="300038" cy="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790" name="Straight Connector 1789">
            <a:extLst>
              <a:ext uri="{FF2B5EF4-FFF2-40B4-BE49-F238E27FC236}">
                <a16:creationId xmlns:a16="http://schemas.microsoft.com/office/drawing/2014/main" id="{4A42EB08-76DD-E3CF-2D37-7B7A886BF269}"/>
              </a:ext>
            </a:extLst>
          </xdr:cNvPr>
          <xdr:cNvCxnSpPr/>
        </xdr:nvCxnSpPr>
        <xdr:spPr>
          <a:xfrm>
            <a:off x="5029200" y="121262775"/>
            <a:ext cx="128587" cy="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1791" name="Isosceles Triangle 1790">
            <a:extLst>
              <a:ext uri="{FF2B5EF4-FFF2-40B4-BE49-F238E27FC236}">
                <a16:creationId xmlns:a16="http://schemas.microsoft.com/office/drawing/2014/main" id="{086BC0CC-E858-8044-F128-C15B453856FF}"/>
              </a:ext>
            </a:extLst>
          </xdr:cNvPr>
          <xdr:cNvSpPr/>
        </xdr:nvSpPr>
        <xdr:spPr>
          <a:xfrm rot="5400000">
            <a:off x="3028950" y="120867487"/>
            <a:ext cx="95250" cy="82112"/>
          </a:xfrm>
          <a:prstGeom prst="triangle">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kern="1200"/>
          </a:p>
        </xdr:txBody>
      </xdr:sp>
      <xdr:cxnSp macro="">
        <xdr:nvCxnSpPr>
          <xdr:cNvPr id="1792" name="Straight Connector 1791">
            <a:extLst>
              <a:ext uri="{FF2B5EF4-FFF2-40B4-BE49-F238E27FC236}">
                <a16:creationId xmlns:a16="http://schemas.microsoft.com/office/drawing/2014/main" id="{30021848-7BCA-0465-BB6B-AF3D3F188CEE}"/>
              </a:ext>
            </a:extLst>
          </xdr:cNvPr>
          <xdr:cNvCxnSpPr/>
        </xdr:nvCxnSpPr>
        <xdr:spPr>
          <a:xfrm>
            <a:off x="3009901" y="120867488"/>
            <a:ext cx="0" cy="32385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1793" name="Isosceles Triangle 1792">
            <a:extLst>
              <a:ext uri="{FF2B5EF4-FFF2-40B4-BE49-F238E27FC236}">
                <a16:creationId xmlns:a16="http://schemas.microsoft.com/office/drawing/2014/main" id="{82A47008-D5DE-2A64-AAC2-2B9FB4FE6B73}"/>
              </a:ext>
            </a:extLst>
          </xdr:cNvPr>
          <xdr:cNvSpPr/>
        </xdr:nvSpPr>
        <xdr:spPr>
          <a:xfrm rot="5400000">
            <a:off x="3028948" y="122788598"/>
            <a:ext cx="95250" cy="82112"/>
          </a:xfrm>
          <a:prstGeom prst="triangle">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kern="1200"/>
          </a:p>
        </xdr:txBody>
      </xdr:sp>
      <xdr:cxnSp macro="">
        <xdr:nvCxnSpPr>
          <xdr:cNvPr id="1794" name="Straight Connector 1793">
            <a:extLst>
              <a:ext uri="{FF2B5EF4-FFF2-40B4-BE49-F238E27FC236}">
                <a16:creationId xmlns:a16="http://schemas.microsoft.com/office/drawing/2014/main" id="{EDFEBB97-7FD2-48A2-4E45-69059CCE966E}"/>
              </a:ext>
            </a:extLst>
          </xdr:cNvPr>
          <xdr:cNvCxnSpPr/>
        </xdr:nvCxnSpPr>
        <xdr:spPr>
          <a:xfrm>
            <a:off x="3009899" y="122555230"/>
            <a:ext cx="0" cy="32385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3458" name="Straight Connector 3457">
            <a:extLst>
              <a:ext uri="{FF2B5EF4-FFF2-40B4-BE49-F238E27FC236}">
                <a16:creationId xmlns:a16="http://schemas.microsoft.com/office/drawing/2014/main" id="{42BA70EA-D7E9-49F9-BBA2-E6DA35C934D1}"/>
              </a:ext>
            </a:extLst>
          </xdr:cNvPr>
          <xdr:cNvCxnSpPr/>
        </xdr:nvCxnSpPr>
        <xdr:spPr>
          <a:xfrm>
            <a:off x="3076582" y="121053234"/>
            <a:ext cx="0" cy="695325"/>
          </a:xfrm>
          <a:prstGeom prst="line">
            <a:avLst/>
          </a:prstGeom>
          <a:no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3459" name="Straight Connector 3458">
            <a:extLst>
              <a:ext uri="{FF2B5EF4-FFF2-40B4-BE49-F238E27FC236}">
                <a16:creationId xmlns:a16="http://schemas.microsoft.com/office/drawing/2014/main" id="{671E82D8-A406-4CBE-851F-2554976049C4}"/>
              </a:ext>
            </a:extLst>
          </xdr:cNvPr>
          <xdr:cNvCxnSpPr/>
        </xdr:nvCxnSpPr>
        <xdr:spPr>
          <a:xfrm>
            <a:off x="2752732" y="121148484"/>
            <a:ext cx="0" cy="595311"/>
          </a:xfrm>
          <a:prstGeom prst="line">
            <a:avLst/>
          </a:prstGeom>
          <a:no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3460" name="Straight Connector 3459">
            <a:extLst>
              <a:ext uri="{FF2B5EF4-FFF2-40B4-BE49-F238E27FC236}">
                <a16:creationId xmlns:a16="http://schemas.microsoft.com/office/drawing/2014/main" id="{9EA89422-FB0E-4223-84B7-34D9240F5550}"/>
              </a:ext>
            </a:extLst>
          </xdr:cNvPr>
          <xdr:cNvCxnSpPr/>
        </xdr:nvCxnSpPr>
        <xdr:spPr>
          <a:xfrm>
            <a:off x="2428881" y="121238972"/>
            <a:ext cx="0" cy="504823"/>
          </a:xfrm>
          <a:prstGeom prst="line">
            <a:avLst/>
          </a:prstGeom>
          <a:no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3461" name="Straight Connector 3460">
            <a:extLst>
              <a:ext uri="{FF2B5EF4-FFF2-40B4-BE49-F238E27FC236}">
                <a16:creationId xmlns:a16="http://schemas.microsoft.com/office/drawing/2014/main" id="{1A5703D1-6679-4EF1-9166-C6C73232FDF0}"/>
              </a:ext>
            </a:extLst>
          </xdr:cNvPr>
          <xdr:cNvCxnSpPr/>
        </xdr:nvCxnSpPr>
        <xdr:spPr>
          <a:xfrm>
            <a:off x="2105030" y="121329459"/>
            <a:ext cx="0" cy="419100"/>
          </a:xfrm>
          <a:prstGeom prst="line">
            <a:avLst/>
          </a:prstGeom>
          <a:no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3462" name="Straight Connector 3461">
            <a:extLst>
              <a:ext uri="{FF2B5EF4-FFF2-40B4-BE49-F238E27FC236}">
                <a16:creationId xmlns:a16="http://schemas.microsoft.com/office/drawing/2014/main" id="{CA364AC8-C352-4DD6-A60B-D04070404FF1}"/>
              </a:ext>
            </a:extLst>
          </xdr:cNvPr>
          <xdr:cNvCxnSpPr/>
        </xdr:nvCxnSpPr>
        <xdr:spPr>
          <a:xfrm>
            <a:off x="1781174" y="121429472"/>
            <a:ext cx="0" cy="314318"/>
          </a:xfrm>
          <a:prstGeom prst="line">
            <a:avLst/>
          </a:prstGeom>
          <a:no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3463" name="Straight Connector 3462">
            <a:extLst>
              <a:ext uri="{FF2B5EF4-FFF2-40B4-BE49-F238E27FC236}">
                <a16:creationId xmlns:a16="http://schemas.microsoft.com/office/drawing/2014/main" id="{3F83588C-AF8C-4F54-850B-0DCB49C1658A}"/>
              </a:ext>
            </a:extLst>
          </xdr:cNvPr>
          <xdr:cNvCxnSpPr/>
        </xdr:nvCxnSpPr>
        <xdr:spPr>
          <a:xfrm>
            <a:off x="1457318" y="121534247"/>
            <a:ext cx="0" cy="209539"/>
          </a:xfrm>
          <a:prstGeom prst="line">
            <a:avLst/>
          </a:prstGeom>
          <a:no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3464" name="Straight Connector 3463">
            <a:extLst>
              <a:ext uri="{FF2B5EF4-FFF2-40B4-BE49-F238E27FC236}">
                <a16:creationId xmlns:a16="http://schemas.microsoft.com/office/drawing/2014/main" id="{71D4A273-9AEE-4A03-924B-28B2EEC60A1E}"/>
              </a:ext>
            </a:extLst>
          </xdr:cNvPr>
          <xdr:cNvCxnSpPr/>
        </xdr:nvCxnSpPr>
        <xdr:spPr>
          <a:xfrm>
            <a:off x="2747968" y="121153247"/>
            <a:ext cx="333377" cy="595312"/>
          </a:xfrm>
          <a:prstGeom prst="line">
            <a:avLst/>
          </a:prstGeom>
          <a:no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3465" name="Straight Connector 3464">
            <a:extLst>
              <a:ext uri="{FF2B5EF4-FFF2-40B4-BE49-F238E27FC236}">
                <a16:creationId xmlns:a16="http://schemas.microsoft.com/office/drawing/2014/main" id="{E844BB76-4041-4314-B0BA-1B24FDAC87A3}"/>
              </a:ext>
            </a:extLst>
          </xdr:cNvPr>
          <xdr:cNvCxnSpPr/>
        </xdr:nvCxnSpPr>
        <xdr:spPr>
          <a:xfrm>
            <a:off x="2433643" y="121248497"/>
            <a:ext cx="319089" cy="495299"/>
          </a:xfrm>
          <a:prstGeom prst="line">
            <a:avLst/>
          </a:prstGeom>
          <a:no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3466" name="Straight Connector 3465">
            <a:extLst>
              <a:ext uri="{FF2B5EF4-FFF2-40B4-BE49-F238E27FC236}">
                <a16:creationId xmlns:a16="http://schemas.microsoft.com/office/drawing/2014/main" id="{0944B41C-91DC-4812-8FEE-FD49E344FE4A}"/>
              </a:ext>
            </a:extLst>
          </xdr:cNvPr>
          <xdr:cNvCxnSpPr/>
        </xdr:nvCxnSpPr>
        <xdr:spPr>
          <a:xfrm>
            <a:off x="2109793" y="121338984"/>
            <a:ext cx="319089" cy="404812"/>
          </a:xfrm>
          <a:prstGeom prst="line">
            <a:avLst/>
          </a:prstGeom>
          <a:no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3467" name="Straight Connector 3466">
            <a:extLst>
              <a:ext uri="{FF2B5EF4-FFF2-40B4-BE49-F238E27FC236}">
                <a16:creationId xmlns:a16="http://schemas.microsoft.com/office/drawing/2014/main" id="{CF6DDC74-B00A-461C-AE29-D9360A641C61}"/>
              </a:ext>
            </a:extLst>
          </xdr:cNvPr>
          <xdr:cNvCxnSpPr/>
        </xdr:nvCxnSpPr>
        <xdr:spPr>
          <a:xfrm>
            <a:off x="1785943" y="121434234"/>
            <a:ext cx="319089" cy="309562"/>
          </a:xfrm>
          <a:prstGeom prst="line">
            <a:avLst/>
          </a:prstGeom>
          <a:no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3468" name="Straight Connector 3467">
            <a:extLst>
              <a:ext uri="{FF2B5EF4-FFF2-40B4-BE49-F238E27FC236}">
                <a16:creationId xmlns:a16="http://schemas.microsoft.com/office/drawing/2014/main" id="{2FE9B7C4-3DF9-40F6-9F67-DCF07F4CC245}"/>
              </a:ext>
            </a:extLst>
          </xdr:cNvPr>
          <xdr:cNvCxnSpPr/>
        </xdr:nvCxnSpPr>
        <xdr:spPr>
          <a:xfrm>
            <a:off x="1462093" y="121524722"/>
            <a:ext cx="319090" cy="223836"/>
          </a:xfrm>
          <a:prstGeom prst="line">
            <a:avLst/>
          </a:prstGeom>
          <a:no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3469" name="Straight Connector 3468">
            <a:extLst>
              <a:ext uri="{FF2B5EF4-FFF2-40B4-BE49-F238E27FC236}">
                <a16:creationId xmlns:a16="http://schemas.microsoft.com/office/drawing/2014/main" id="{6F9FB863-4B52-4C71-B890-DDD6680A1F1C}"/>
              </a:ext>
            </a:extLst>
          </xdr:cNvPr>
          <xdr:cNvCxnSpPr/>
        </xdr:nvCxnSpPr>
        <xdr:spPr>
          <a:xfrm>
            <a:off x="1133480" y="121624734"/>
            <a:ext cx="323853" cy="119061"/>
          </a:xfrm>
          <a:prstGeom prst="line">
            <a:avLst/>
          </a:prstGeom>
          <a:no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3470" name="Straight Connector 3469">
            <a:extLst>
              <a:ext uri="{FF2B5EF4-FFF2-40B4-BE49-F238E27FC236}">
                <a16:creationId xmlns:a16="http://schemas.microsoft.com/office/drawing/2014/main" id="{510EF595-9CED-47E2-B5A0-E1BB6E60D9E2}"/>
              </a:ext>
            </a:extLst>
          </xdr:cNvPr>
          <xdr:cNvCxnSpPr/>
        </xdr:nvCxnSpPr>
        <xdr:spPr>
          <a:xfrm>
            <a:off x="3400446" y="121148484"/>
            <a:ext cx="0" cy="595311"/>
          </a:xfrm>
          <a:prstGeom prst="line">
            <a:avLst/>
          </a:prstGeom>
          <a:no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3471" name="Straight Connector 3470">
            <a:extLst>
              <a:ext uri="{FF2B5EF4-FFF2-40B4-BE49-F238E27FC236}">
                <a16:creationId xmlns:a16="http://schemas.microsoft.com/office/drawing/2014/main" id="{2BCFDCFB-DE0D-45FA-9A9E-A446116051A2}"/>
              </a:ext>
            </a:extLst>
          </xdr:cNvPr>
          <xdr:cNvCxnSpPr/>
        </xdr:nvCxnSpPr>
        <xdr:spPr>
          <a:xfrm>
            <a:off x="3724296" y="121238972"/>
            <a:ext cx="0" cy="504823"/>
          </a:xfrm>
          <a:prstGeom prst="line">
            <a:avLst/>
          </a:prstGeom>
          <a:no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3472" name="Straight Connector 3471">
            <a:extLst>
              <a:ext uri="{FF2B5EF4-FFF2-40B4-BE49-F238E27FC236}">
                <a16:creationId xmlns:a16="http://schemas.microsoft.com/office/drawing/2014/main" id="{8446E07A-25ED-459A-BF7B-5B5AA8392E80}"/>
              </a:ext>
            </a:extLst>
          </xdr:cNvPr>
          <xdr:cNvCxnSpPr/>
        </xdr:nvCxnSpPr>
        <xdr:spPr>
          <a:xfrm>
            <a:off x="4048146" y="121338984"/>
            <a:ext cx="0" cy="409575"/>
          </a:xfrm>
          <a:prstGeom prst="line">
            <a:avLst/>
          </a:prstGeom>
          <a:no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3473" name="Straight Connector 3472">
            <a:extLst>
              <a:ext uri="{FF2B5EF4-FFF2-40B4-BE49-F238E27FC236}">
                <a16:creationId xmlns:a16="http://schemas.microsoft.com/office/drawing/2014/main" id="{67A9EFD7-EF98-4A1B-8D98-8412E2D5EBD2}"/>
              </a:ext>
            </a:extLst>
          </xdr:cNvPr>
          <xdr:cNvCxnSpPr/>
        </xdr:nvCxnSpPr>
        <xdr:spPr>
          <a:xfrm>
            <a:off x="4371988" y="121434234"/>
            <a:ext cx="0" cy="314318"/>
          </a:xfrm>
          <a:prstGeom prst="line">
            <a:avLst/>
          </a:prstGeom>
          <a:no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3474" name="Straight Connector 3473">
            <a:extLst>
              <a:ext uri="{FF2B5EF4-FFF2-40B4-BE49-F238E27FC236}">
                <a16:creationId xmlns:a16="http://schemas.microsoft.com/office/drawing/2014/main" id="{C1E517E2-0349-4EFD-AEE6-9FDCD3BC3A25}"/>
              </a:ext>
            </a:extLst>
          </xdr:cNvPr>
          <xdr:cNvCxnSpPr/>
        </xdr:nvCxnSpPr>
        <xdr:spPr>
          <a:xfrm>
            <a:off x="4695833" y="121524722"/>
            <a:ext cx="0" cy="219064"/>
          </a:xfrm>
          <a:prstGeom prst="line">
            <a:avLst/>
          </a:prstGeom>
          <a:no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3475" name="Straight Connector 3474">
            <a:extLst>
              <a:ext uri="{FF2B5EF4-FFF2-40B4-BE49-F238E27FC236}">
                <a16:creationId xmlns:a16="http://schemas.microsoft.com/office/drawing/2014/main" id="{76F8AA03-EA8B-4B25-B7BF-27C94A067151}"/>
              </a:ext>
            </a:extLst>
          </xdr:cNvPr>
          <xdr:cNvCxnSpPr/>
        </xdr:nvCxnSpPr>
        <xdr:spPr>
          <a:xfrm flipH="1">
            <a:off x="3076582" y="121138959"/>
            <a:ext cx="328611" cy="600074"/>
          </a:xfrm>
          <a:prstGeom prst="line">
            <a:avLst/>
          </a:prstGeom>
          <a:no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3476" name="Straight Connector 3475">
            <a:extLst>
              <a:ext uri="{FF2B5EF4-FFF2-40B4-BE49-F238E27FC236}">
                <a16:creationId xmlns:a16="http://schemas.microsoft.com/office/drawing/2014/main" id="{A6C4016C-830E-43F4-AE47-FB0392C311B5}"/>
              </a:ext>
            </a:extLst>
          </xdr:cNvPr>
          <xdr:cNvCxnSpPr/>
        </xdr:nvCxnSpPr>
        <xdr:spPr>
          <a:xfrm flipH="1">
            <a:off x="3400432" y="121243734"/>
            <a:ext cx="323848" cy="500061"/>
          </a:xfrm>
          <a:prstGeom prst="line">
            <a:avLst/>
          </a:prstGeom>
          <a:no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3477" name="Straight Connector 3476">
            <a:extLst>
              <a:ext uri="{FF2B5EF4-FFF2-40B4-BE49-F238E27FC236}">
                <a16:creationId xmlns:a16="http://schemas.microsoft.com/office/drawing/2014/main" id="{74A6A6AF-E25F-41FE-8511-48CB9BAAFFE5}"/>
              </a:ext>
            </a:extLst>
          </xdr:cNvPr>
          <xdr:cNvCxnSpPr/>
        </xdr:nvCxnSpPr>
        <xdr:spPr>
          <a:xfrm flipH="1">
            <a:off x="3724282" y="121338984"/>
            <a:ext cx="323848" cy="404811"/>
          </a:xfrm>
          <a:prstGeom prst="line">
            <a:avLst/>
          </a:prstGeom>
          <a:no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3478" name="Straight Connector 3477">
            <a:extLst>
              <a:ext uri="{FF2B5EF4-FFF2-40B4-BE49-F238E27FC236}">
                <a16:creationId xmlns:a16="http://schemas.microsoft.com/office/drawing/2014/main" id="{1FFB5CC2-2CDB-413F-B5F6-903894943A2D}"/>
              </a:ext>
            </a:extLst>
          </xdr:cNvPr>
          <xdr:cNvCxnSpPr/>
        </xdr:nvCxnSpPr>
        <xdr:spPr>
          <a:xfrm flipH="1">
            <a:off x="4048132" y="121434234"/>
            <a:ext cx="328611" cy="314323"/>
          </a:xfrm>
          <a:prstGeom prst="line">
            <a:avLst/>
          </a:prstGeom>
          <a:no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3479" name="Straight Connector 3478">
            <a:extLst>
              <a:ext uri="{FF2B5EF4-FFF2-40B4-BE49-F238E27FC236}">
                <a16:creationId xmlns:a16="http://schemas.microsoft.com/office/drawing/2014/main" id="{B41A4D37-CEE4-414A-96CC-A0CEE7372927}"/>
              </a:ext>
            </a:extLst>
          </xdr:cNvPr>
          <xdr:cNvCxnSpPr/>
        </xdr:nvCxnSpPr>
        <xdr:spPr>
          <a:xfrm flipH="1">
            <a:off x="4371982" y="121529484"/>
            <a:ext cx="328611" cy="214311"/>
          </a:xfrm>
          <a:prstGeom prst="line">
            <a:avLst/>
          </a:prstGeom>
          <a:no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3480" name="Straight Connector 3479">
            <a:extLst>
              <a:ext uri="{FF2B5EF4-FFF2-40B4-BE49-F238E27FC236}">
                <a16:creationId xmlns:a16="http://schemas.microsoft.com/office/drawing/2014/main" id="{D488415E-81C6-4D86-9556-3E089925C6C5}"/>
              </a:ext>
            </a:extLst>
          </xdr:cNvPr>
          <xdr:cNvCxnSpPr/>
        </xdr:nvCxnSpPr>
        <xdr:spPr>
          <a:xfrm flipH="1">
            <a:off x="4695831" y="121627909"/>
            <a:ext cx="327024" cy="115886"/>
          </a:xfrm>
          <a:prstGeom prst="line">
            <a:avLst/>
          </a:prstGeom>
          <a:no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3481" name="Straight Connector 3480">
            <a:extLst>
              <a:ext uri="{FF2B5EF4-FFF2-40B4-BE49-F238E27FC236}">
                <a16:creationId xmlns:a16="http://schemas.microsoft.com/office/drawing/2014/main" id="{11D3DB81-61B2-4E0D-BA7E-D5E8292350B1}"/>
              </a:ext>
            </a:extLst>
          </xdr:cNvPr>
          <xdr:cNvCxnSpPr/>
        </xdr:nvCxnSpPr>
        <xdr:spPr>
          <a:xfrm>
            <a:off x="1928817" y="121115147"/>
            <a:ext cx="0" cy="733425"/>
          </a:xfrm>
          <a:prstGeom prst="line">
            <a:avLst/>
          </a:prstGeom>
          <a:ln w="9525">
            <a:solidFill>
              <a:schemeClr val="accent6">
                <a:lumMod val="75000"/>
              </a:schemeClr>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3482" name="Straight Connector 3481">
            <a:extLst>
              <a:ext uri="{FF2B5EF4-FFF2-40B4-BE49-F238E27FC236}">
                <a16:creationId xmlns:a16="http://schemas.microsoft.com/office/drawing/2014/main" id="{DC0CE320-F8F1-4312-8555-DB9641ECDF52}"/>
              </a:ext>
            </a:extLst>
          </xdr:cNvPr>
          <xdr:cNvCxnSpPr/>
        </xdr:nvCxnSpPr>
        <xdr:spPr>
          <a:xfrm>
            <a:off x="1962155" y="121115147"/>
            <a:ext cx="0" cy="733425"/>
          </a:xfrm>
          <a:prstGeom prst="line">
            <a:avLst/>
          </a:prstGeom>
          <a:ln w="9525">
            <a:solidFill>
              <a:schemeClr val="accent6">
                <a:lumMod val="75000"/>
              </a:schemeClr>
            </a:solidFill>
            <a:prstDash val="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80962</xdr:colOff>
      <xdr:row>91</xdr:row>
      <xdr:rowOff>95250</xdr:rowOff>
    </xdr:from>
    <xdr:to>
      <xdr:col>13</xdr:col>
      <xdr:colOff>114300</xdr:colOff>
      <xdr:row>91</xdr:row>
      <xdr:rowOff>95250</xdr:rowOff>
    </xdr:to>
    <xdr:cxnSp macro="">
      <xdr:nvCxnSpPr>
        <xdr:cNvPr id="157" name="Straight Connector 156">
          <a:extLst>
            <a:ext uri="{FF2B5EF4-FFF2-40B4-BE49-F238E27FC236}">
              <a16:creationId xmlns:a16="http://schemas.microsoft.com/office/drawing/2014/main" id="{0D94696D-245C-4EDC-B3F6-ECB741FDEEAB}"/>
            </a:ext>
          </a:extLst>
        </xdr:cNvPr>
        <xdr:cNvCxnSpPr/>
      </xdr:nvCxnSpPr>
      <xdr:spPr>
        <a:xfrm>
          <a:off x="1376362" y="13477875"/>
          <a:ext cx="842963" cy="0"/>
        </a:xfrm>
        <a:prstGeom prst="line">
          <a:avLst/>
        </a:prstGeom>
        <a:ln w="9525">
          <a:solidFill>
            <a:schemeClr val="accent6">
              <a:lumMod val="75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80962</xdr:colOff>
      <xdr:row>91</xdr:row>
      <xdr:rowOff>119063</xdr:rowOff>
    </xdr:from>
    <xdr:to>
      <xdr:col>13</xdr:col>
      <xdr:colOff>114300</xdr:colOff>
      <xdr:row>91</xdr:row>
      <xdr:rowOff>119063</xdr:rowOff>
    </xdr:to>
    <xdr:cxnSp macro="">
      <xdr:nvCxnSpPr>
        <xdr:cNvPr id="169" name="Straight Connector 168">
          <a:extLst>
            <a:ext uri="{FF2B5EF4-FFF2-40B4-BE49-F238E27FC236}">
              <a16:creationId xmlns:a16="http://schemas.microsoft.com/office/drawing/2014/main" id="{DF66C2CE-C57A-4459-877A-6A001CBCE51C}"/>
            </a:ext>
          </a:extLst>
        </xdr:cNvPr>
        <xdr:cNvCxnSpPr/>
      </xdr:nvCxnSpPr>
      <xdr:spPr>
        <a:xfrm>
          <a:off x="1376362" y="13501688"/>
          <a:ext cx="842963" cy="0"/>
        </a:xfrm>
        <a:prstGeom prst="line">
          <a:avLst/>
        </a:prstGeom>
        <a:ln w="9525">
          <a:solidFill>
            <a:schemeClr val="accent6">
              <a:lumMod val="75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xdr:colOff>
      <xdr:row>279</xdr:row>
      <xdr:rowOff>119062</xdr:rowOff>
    </xdr:from>
    <xdr:to>
      <xdr:col>13</xdr:col>
      <xdr:colOff>104775</xdr:colOff>
      <xdr:row>279</xdr:row>
      <xdr:rowOff>119062</xdr:rowOff>
    </xdr:to>
    <xdr:cxnSp macro="">
      <xdr:nvCxnSpPr>
        <xdr:cNvPr id="180" name="Straight Connector 179">
          <a:extLst>
            <a:ext uri="{FF2B5EF4-FFF2-40B4-BE49-F238E27FC236}">
              <a16:creationId xmlns:a16="http://schemas.microsoft.com/office/drawing/2014/main" id="{1C7EEBC5-2B68-4629-B838-CFBDB6F4E3B3}"/>
            </a:ext>
          </a:extLst>
        </xdr:cNvPr>
        <xdr:cNvCxnSpPr/>
      </xdr:nvCxnSpPr>
      <xdr:spPr>
        <a:xfrm>
          <a:off x="1366837" y="40838437"/>
          <a:ext cx="842963" cy="0"/>
        </a:xfrm>
        <a:prstGeom prst="line">
          <a:avLst/>
        </a:prstGeom>
        <a:ln w="9525">
          <a:solidFill>
            <a:schemeClr val="accent6">
              <a:lumMod val="75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xdr:colOff>
      <xdr:row>280</xdr:row>
      <xdr:rowOff>0</xdr:rowOff>
    </xdr:from>
    <xdr:to>
      <xdr:col>13</xdr:col>
      <xdr:colOff>104775</xdr:colOff>
      <xdr:row>280</xdr:row>
      <xdr:rowOff>0</xdr:rowOff>
    </xdr:to>
    <xdr:cxnSp macro="">
      <xdr:nvCxnSpPr>
        <xdr:cNvPr id="182" name="Straight Connector 181">
          <a:extLst>
            <a:ext uri="{FF2B5EF4-FFF2-40B4-BE49-F238E27FC236}">
              <a16:creationId xmlns:a16="http://schemas.microsoft.com/office/drawing/2014/main" id="{4BF1BCE0-2938-4032-A2BE-A38F34B17F02}"/>
            </a:ext>
          </a:extLst>
        </xdr:cNvPr>
        <xdr:cNvCxnSpPr/>
      </xdr:nvCxnSpPr>
      <xdr:spPr>
        <a:xfrm>
          <a:off x="1366837" y="40862250"/>
          <a:ext cx="842963" cy="0"/>
        </a:xfrm>
        <a:prstGeom prst="line">
          <a:avLst/>
        </a:prstGeom>
        <a:ln w="9525">
          <a:solidFill>
            <a:schemeClr val="accent6">
              <a:lumMod val="75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52388</xdr:colOff>
      <xdr:row>472</xdr:row>
      <xdr:rowOff>100012</xdr:rowOff>
    </xdr:from>
    <xdr:to>
      <xdr:col>13</xdr:col>
      <xdr:colOff>85726</xdr:colOff>
      <xdr:row>472</xdr:row>
      <xdr:rowOff>100012</xdr:rowOff>
    </xdr:to>
    <xdr:cxnSp macro="">
      <xdr:nvCxnSpPr>
        <xdr:cNvPr id="183" name="Straight Connector 182">
          <a:extLst>
            <a:ext uri="{FF2B5EF4-FFF2-40B4-BE49-F238E27FC236}">
              <a16:creationId xmlns:a16="http://schemas.microsoft.com/office/drawing/2014/main" id="{AB6986F7-C0BF-41A2-BFD6-82CC2CFD3BCA}"/>
            </a:ext>
          </a:extLst>
        </xdr:cNvPr>
        <xdr:cNvCxnSpPr/>
      </xdr:nvCxnSpPr>
      <xdr:spPr>
        <a:xfrm>
          <a:off x="1347788" y="68832412"/>
          <a:ext cx="842963" cy="0"/>
        </a:xfrm>
        <a:prstGeom prst="line">
          <a:avLst/>
        </a:prstGeom>
        <a:ln w="9525">
          <a:solidFill>
            <a:schemeClr val="accent6">
              <a:lumMod val="75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52388</xdr:colOff>
      <xdr:row>472</xdr:row>
      <xdr:rowOff>123825</xdr:rowOff>
    </xdr:from>
    <xdr:to>
      <xdr:col>13</xdr:col>
      <xdr:colOff>85726</xdr:colOff>
      <xdr:row>472</xdr:row>
      <xdr:rowOff>123825</xdr:rowOff>
    </xdr:to>
    <xdr:cxnSp macro="">
      <xdr:nvCxnSpPr>
        <xdr:cNvPr id="3007" name="Straight Connector 3006">
          <a:extLst>
            <a:ext uri="{FF2B5EF4-FFF2-40B4-BE49-F238E27FC236}">
              <a16:creationId xmlns:a16="http://schemas.microsoft.com/office/drawing/2014/main" id="{56D441FE-7BDC-446D-9437-15899BE7897D}"/>
            </a:ext>
          </a:extLst>
        </xdr:cNvPr>
        <xdr:cNvCxnSpPr/>
      </xdr:nvCxnSpPr>
      <xdr:spPr>
        <a:xfrm>
          <a:off x="1347788" y="68856225"/>
          <a:ext cx="842963" cy="0"/>
        </a:xfrm>
        <a:prstGeom prst="line">
          <a:avLst/>
        </a:prstGeom>
        <a:ln w="9525">
          <a:solidFill>
            <a:schemeClr val="accent6">
              <a:lumMod val="75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61912</xdr:colOff>
      <xdr:row>661</xdr:row>
      <xdr:rowOff>104775</xdr:rowOff>
    </xdr:from>
    <xdr:to>
      <xdr:col>13</xdr:col>
      <xdr:colOff>95250</xdr:colOff>
      <xdr:row>661</xdr:row>
      <xdr:rowOff>104775</xdr:rowOff>
    </xdr:to>
    <xdr:cxnSp macro="">
      <xdr:nvCxnSpPr>
        <xdr:cNvPr id="3008" name="Straight Connector 3007">
          <a:extLst>
            <a:ext uri="{FF2B5EF4-FFF2-40B4-BE49-F238E27FC236}">
              <a16:creationId xmlns:a16="http://schemas.microsoft.com/office/drawing/2014/main" id="{4E9FF972-A0F2-4306-B4B3-E6243D055B8C}"/>
            </a:ext>
          </a:extLst>
        </xdr:cNvPr>
        <xdr:cNvCxnSpPr/>
      </xdr:nvCxnSpPr>
      <xdr:spPr>
        <a:xfrm>
          <a:off x="1357312" y="96288225"/>
          <a:ext cx="842963" cy="0"/>
        </a:xfrm>
        <a:prstGeom prst="line">
          <a:avLst/>
        </a:prstGeom>
        <a:ln w="9525">
          <a:solidFill>
            <a:schemeClr val="accent6">
              <a:lumMod val="75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61912</xdr:colOff>
      <xdr:row>661</xdr:row>
      <xdr:rowOff>128588</xdr:rowOff>
    </xdr:from>
    <xdr:to>
      <xdr:col>13</xdr:col>
      <xdr:colOff>95250</xdr:colOff>
      <xdr:row>661</xdr:row>
      <xdr:rowOff>128588</xdr:rowOff>
    </xdr:to>
    <xdr:cxnSp macro="">
      <xdr:nvCxnSpPr>
        <xdr:cNvPr id="3009" name="Straight Connector 3008">
          <a:extLst>
            <a:ext uri="{FF2B5EF4-FFF2-40B4-BE49-F238E27FC236}">
              <a16:creationId xmlns:a16="http://schemas.microsoft.com/office/drawing/2014/main" id="{B250DB25-2AEE-4816-88C5-327EA3184041}"/>
            </a:ext>
          </a:extLst>
        </xdr:cNvPr>
        <xdr:cNvCxnSpPr/>
      </xdr:nvCxnSpPr>
      <xdr:spPr>
        <a:xfrm>
          <a:off x="1357312" y="96312038"/>
          <a:ext cx="842963" cy="0"/>
        </a:xfrm>
        <a:prstGeom prst="line">
          <a:avLst/>
        </a:prstGeom>
        <a:ln w="9525">
          <a:solidFill>
            <a:schemeClr val="accent6">
              <a:lumMod val="75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66673</xdr:colOff>
      <xdr:row>856</xdr:row>
      <xdr:rowOff>104775</xdr:rowOff>
    </xdr:from>
    <xdr:to>
      <xdr:col>13</xdr:col>
      <xdr:colOff>100011</xdr:colOff>
      <xdr:row>856</xdr:row>
      <xdr:rowOff>104775</xdr:rowOff>
    </xdr:to>
    <xdr:cxnSp macro="">
      <xdr:nvCxnSpPr>
        <xdr:cNvPr id="3010" name="Straight Connector 3009">
          <a:extLst>
            <a:ext uri="{FF2B5EF4-FFF2-40B4-BE49-F238E27FC236}">
              <a16:creationId xmlns:a16="http://schemas.microsoft.com/office/drawing/2014/main" id="{D2CDCA4E-1007-43BA-AD2F-337F50316400}"/>
            </a:ext>
          </a:extLst>
        </xdr:cNvPr>
        <xdr:cNvCxnSpPr/>
      </xdr:nvCxnSpPr>
      <xdr:spPr>
        <a:xfrm>
          <a:off x="1362073" y="124587000"/>
          <a:ext cx="842963" cy="0"/>
        </a:xfrm>
        <a:prstGeom prst="line">
          <a:avLst/>
        </a:prstGeom>
        <a:ln w="9525">
          <a:solidFill>
            <a:schemeClr val="accent6">
              <a:lumMod val="75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66673</xdr:colOff>
      <xdr:row>856</xdr:row>
      <xdr:rowOff>128588</xdr:rowOff>
    </xdr:from>
    <xdr:to>
      <xdr:col>13</xdr:col>
      <xdr:colOff>100011</xdr:colOff>
      <xdr:row>856</xdr:row>
      <xdr:rowOff>128588</xdr:rowOff>
    </xdr:to>
    <xdr:cxnSp macro="">
      <xdr:nvCxnSpPr>
        <xdr:cNvPr id="3011" name="Straight Connector 3010">
          <a:extLst>
            <a:ext uri="{FF2B5EF4-FFF2-40B4-BE49-F238E27FC236}">
              <a16:creationId xmlns:a16="http://schemas.microsoft.com/office/drawing/2014/main" id="{E0EF63A1-3F4B-43B2-9CD6-5468072256B3}"/>
            </a:ext>
          </a:extLst>
        </xdr:cNvPr>
        <xdr:cNvCxnSpPr/>
      </xdr:nvCxnSpPr>
      <xdr:spPr>
        <a:xfrm>
          <a:off x="1362073" y="124610813"/>
          <a:ext cx="842963" cy="0"/>
        </a:xfrm>
        <a:prstGeom prst="line">
          <a:avLst/>
        </a:prstGeom>
        <a:ln w="9525">
          <a:solidFill>
            <a:schemeClr val="accent6">
              <a:lumMod val="75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95250</xdr:colOff>
      <xdr:row>871</xdr:row>
      <xdr:rowOff>133350</xdr:rowOff>
    </xdr:from>
    <xdr:to>
      <xdr:col>18</xdr:col>
      <xdr:colOff>61908</xdr:colOff>
      <xdr:row>888</xdr:row>
      <xdr:rowOff>61919</xdr:rowOff>
    </xdr:to>
    <xdr:grpSp>
      <xdr:nvGrpSpPr>
        <xdr:cNvPr id="3012" name="Group 3011">
          <a:extLst>
            <a:ext uri="{FF2B5EF4-FFF2-40B4-BE49-F238E27FC236}">
              <a16:creationId xmlns:a16="http://schemas.microsoft.com/office/drawing/2014/main" id="{F536419E-B5C3-67DC-FBFB-8E2B874C8303}"/>
            </a:ext>
          </a:extLst>
        </xdr:cNvPr>
        <xdr:cNvGrpSpPr/>
      </xdr:nvGrpSpPr>
      <xdr:grpSpPr>
        <a:xfrm>
          <a:off x="419100" y="126758700"/>
          <a:ext cx="2557458" cy="2357444"/>
          <a:chOff x="419100" y="126758700"/>
          <a:chExt cx="2557458" cy="2357444"/>
        </a:xfrm>
      </xdr:grpSpPr>
      <xdr:cxnSp macro="">
        <xdr:nvCxnSpPr>
          <xdr:cNvPr id="2106" name="Straight Connector 2105">
            <a:extLst>
              <a:ext uri="{FF2B5EF4-FFF2-40B4-BE49-F238E27FC236}">
                <a16:creationId xmlns:a16="http://schemas.microsoft.com/office/drawing/2014/main" id="{17A7370C-DCED-627C-5316-D49CDDC067F8}"/>
              </a:ext>
            </a:extLst>
          </xdr:cNvPr>
          <xdr:cNvCxnSpPr/>
        </xdr:nvCxnSpPr>
        <xdr:spPr>
          <a:xfrm>
            <a:off x="490541" y="127239721"/>
            <a:ext cx="0" cy="76199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108" name="Straight Connector 2107">
            <a:extLst>
              <a:ext uri="{FF2B5EF4-FFF2-40B4-BE49-F238E27FC236}">
                <a16:creationId xmlns:a16="http://schemas.microsoft.com/office/drawing/2014/main" id="{20F6A688-CE0B-DCB4-ED6D-89DD8D807B35}"/>
              </a:ext>
            </a:extLst>
          </xdr:cNvPr>
          <xdr:cNvCxnSpPr/>
        </xdr:nvCxnSpPr>
        <xdr:spPr>
          <a:xfrm>
            <a:off x="2919412" y="126758700"/>
            <a:ext cx="0" cy="1738319"/>
          </a:xfrm>
          <a:prstGeom prst="line">
            <a:avLst/>
          </a:prstGeom>
        </xdr:spPr>
        <xdr:style>
          <a:lnRef idx="1">
            <a:schemeClr val="accent1"/>
          </a:lnRef>
          <a:fillRef idx="0">
            <a:schemeClr val="accent1"/>
          </a:fillRef>
          <a:effectRef idx="0">
            <a:schemeClr val="accent1"/>
          </a:effectRef>
          <a:fontRef idx="minor">
            <a:schemeClr val="tx1"/>
          </a:fontRef>
        </xdr:style>
      </xdr:cxnSp>
      <xdr:sp macro="" textlink="">
        <xdr:nvSpPr>
          <xdr:cNvPr id="2258" name="Rectangle 2257">
            <a:extLst>
              <a:ext uri="{FF2B5EF4-FFF2-40B4-BE49-F238E27FC236}">
                <a16:creationId xmlns:a16="http://schemas.microsoft.com/office/drawing/2014/main" id="{D8903BC4-6409-E733-5491-F179C6B28672}"/>
              </a:ext>
            </a:extLst>
          </xdr:cNvPr>
          <xdr:cNvSpPr/>
        </xdr:nvSpPr>
        <xdr:spPr>
          <a:xfrm>
            <a:off x="981072" y="126820620"/>
            <a:ext cx="1609728" cy="1609728"/>
          </a:xfrm>
          <a:prstGeom prst="rect">
            <a:avLst/>
          </a:prstGeom>
          <a:blipFill>
            <a:blip xmlns:r="http://schemas.openxmlformats.org/officeDocument/2006/relationships" r:embed="rId1"/>
            <a:tile tx="0" ty="0" sx="100000" sy="100000" flip="none" algn="tl"/>
          </a:blip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cxnSp macro="">
        <xdr:nvCxnSpPr>
          <xdr:cNvPr id="2110" name="Straight Connector 2109">
            <a:extLst>
              <a:ext uri="{FF2B5EF4-FFF2-40B4-BE49-F238E27FC236}">
                <a16:creationId xmlns:a16="http://schemas.microsoft.com/office/drawing/2014/main" id="{73CC2169-D74A-8773-AEA0-1848CED3B662}"/>
              </a:ext>
            </a:extLst>
          </xdr:cNvPr>
          <xdr:cNvCxnSpPr/>
        </xdr:nvCxnSpPr>
        <xdr:spPr>
          <a:xfrm>
            <a:off x="2647950" y="126820615"/>
            <a:ext cx="328607"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113" name="Straight Connector 2112">
            <a:extLst>
              <a:ext uri="{FF2B5EF4-FFF2-40B4-BE49-F238E27FC236}">
                <a16:creationId xmlns:a16="http://schemas.microsoft.com/office/drawing/2014/main" id="{1AEF8234-44CB-535C-0FC0-148F8E1B1594}"/>
              </a:ext>
            </a:extLst>
          </xdr:cNvPr>
          <xdr:cNvCxnSpPr/>
        </xdr:nvCxnSpPr>
        <xdr:spPr>
          <a:xfrm flipH="1">
            <a:off x="2876544" y="126787277"/>
            <a:ext cx="76200" cy="762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115" name="Straight Connector 2114">
            <a:extLst>
              <a:ext uri="{FF2B5EF4-FFF2-40B4-BE49-F238E27FC236}">
                <a16:creationId xmlns:a16="http://schemas.microsoft.com/office/drawing/2014/main" id="{8D10C59A-425B-6CC3-3749-503028F36043}"/>
              </a:ext>
            </a:extLst>
          </xdr:cNvPr>
          <xdr:cNvCxnSpPr/>
        </xdr:nvCxnSpPr>
        <xdr:spPr>
          <a:xfrm>
            <a:off x="2647951" y="128430345"/>
            <a:ext cx="328607"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116" name="Straight Connector 2115">
            <a:extLst>
              <a:ext uri="{FF2B5EF4-FFF2-40B4-BE49-F238E27FC236}">
                <a16:creationId xmlns:a16="http://schemas.microsoft.com/office/drawing/2014/main" id="{2C8EF018-5E29-6D49-3264-34EF97B2D16E}"/>
              </a:ext>
            </a:extLst>
          </xdr:cNvPr>
          <xdr:cNvCxnSpPr/>
        </xdr:nvCxnSpPr>
        <xdr:spPr>
          <a:xfrm flipH="1">
            <a:off x="2876545" y="128397007"/>
            <a:ext cx="76200" cy="762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117" name="Straight Connector 2116">
            <a:extLst>
              <a:ext uri="{FF2B5EF4-FFF2-40B4-BE49-F238E27FC236}">
                <a16:creationId xmlns:a16="http://schemas.microsoft.com/office/drawing/2014/main" id="{AE37F21D-184C-38C4-360A-5D86A66FD89D}"/>
              </a:ext>
            </a:extLst>
          </xdr:cNvPr>
          <xdr:cNvCxnSpPr/>
        </xdr:nvCxnSpPr>
        <xdr:spPr>
          <a:xfrm flipH="1">
            <a:off x="428625" y="127301631"/>
            <a:ext cx="476250"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118" name="Straight Connector 2117">
            <a:extLst>
              <a:ext uri="{FF2B5EF4-FFF2-40B4-BE49-F238E27FC236}">
                <a16:creationId xmlns:a16="http://schemas.microsoft.com/office/drawing/2014/main" id="{7D70F9FF-0D02-AF6E-B86F-B613FC3F9182}"/>
              </a:ext>
            </a:extLst>
          </xdr:cNvPr>
          <xdr:cNvCxnSpPr/>
        </xdr:nvCxnSpPr>
        <xdr:spPr>
          <a:xfrm flipH="1">
            <a:off x="447673" y="127268298"/>
            <a:ext cx="76200" cy="762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119" name="Straight Connector 2118">
            <a:extLst>
              <a:ext uri="{FF2B5EF4-FFF2-40B4-BE49-F238E27FC236}">
                <a16:creationId xmlns:a16="http://schemas.microsoft.com/office/drawing/2014/main" id="{18B64BC7-14E0-C5FD-4919-4882447D7CDC}"/>
              </a:ext>
            </a:extLst>
          </xdr:cNvPr>
          <xdr:cNvCxnSpPr/>
        </xdr:nvCxnSpPr>
        <xdr:spPr>
          <a:xfrm flipH="1">
            <a:off x="419100" y="127949332"/>
            <a:ext cx="495300"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121" name="Straight Connector 2120">
            <a:extLst>
              <a:ext uri="{FF2B5EF4-FFF2-40B4-BE49-F238E27FC236}">
                <a16:creationId xmlns:a16="http://schemas.microsoft.com/office/drawing/2014/main" id="{5841F822-9C70-6F05-E405-AB341E042EB5}"/>
              </a:ext>
            </a:extLst>
          </xdr:cNvPr>
          <xdr:cNvCxnSpPr/>
        </xdr:nvCxnSpPr>
        <xdr:spPr>
          <a:xfrm flipH="1">
            <a:off x="447669" y="127915999"/>
            <a:ext cx="76200" cy="762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122" name="Straight Connector 2121">
            <a:extLst>
              <a:ext uri="{FF2B5EF4-FFF2-40B4-BE49-F238E27FC236}">
                <a16:creationId xmlns:a16="http://schemas.microsoft.com/office/drawing/2014/main" id="{22250EC2-0C12-1FED-9500-24A40801042F}"/>
              </a:ext>
            </a:extLst>
          </xdr:cNvPr>
          <xdr:cNvCxnSpPr/>
        </xdr:nvCxnSpPr>
        <xdr:spPr>
          <a:xfrm>
            <a:off x="1462087" y="128487494"/>
            <a:ext cx="0" cy="62388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123" name="Straight Connector 2122">
            <a:extLst>
              <a:ext uri="{FF2B5EF4-FFF2-40B4-BE49-F238E27FC236}">
                <a16:creationId xmlns:a16="http://schemas.microsoft.com/office/drawing/2014/main" id="{D7DD680F-4732-479C-C757-A4C084113FCB}"/>
              </a:ext>
            </a:extLst>
          </xdr:cNvPr>
          <xdr:cNvCxnSpPr/>
        </xdr:nvCxnSpPr>
        <xdr:spPr>
          <a:xfrm>
            <a:off x="2109787" y="128487494"/>
            <a:ext cx="0" cy="62865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141" name="Straight Connector 2140">
            <a:extLst>
              <a:ext uri="{FF2B5EF4-FFF2-40B4-BE49-F238E27FC236}">
                <a16:creationId xmlns:a16="http://schemas.microsoft.com/office/drawing/2014/main" id="{894366F8-E25B-C398-FF9D-A0C676649E89}"/>
              </a:ext>
            </a:extLst>
          </xdr:cNvPr>
          <xdr:cNvCxnSpPr/>
        </xdr:nvCxnSpPr>
        <xdr:spPr>
          <a:xfrm>
            <a:off x="1390649" y="129049470"/>
            <a:ext cx="785813"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142" name="Straight Connector 2141">
            <a:extLst>
              <a:ext uri="{FF2B5EF4-FFF2-40B4-BE49-F238E27FC236}">
                <a16:creationId xmlns:a16="http://schemas.microsoft.com/office/drawing/2014/main" id="{CFF44119-FF43-ED4C-1AAC-2FCA80BA9FA0}"/>
              </a:ext>
            </a:extLst>
          </xdr:cNvPr>
          <xdr:cNvCxnSpPr/>
        </xdr:nvCxnSpPr>
        <xdr:spPr>
          <a:xfrm flipH="1">
            <a:off x="1423985" y="129011369"/>
            <a:ext cx="76200" cy="762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143" name="Straight Connector 2142">
            <a:extLst>
              <a:ext uri="{FF2B5EF4-FFF2-40B4-BE49-F238E27FC236}">
                <a16:creationId xmlns:a16="http://schemas.microsoft.com/office/drawing/2014/main" id="{4C6E5756-8353-4A62-3D26-C217937BF557}"/>
              </a:ext>
            </a:extLst>
          </xdr:cNvPr>
          <xdr:cNvCxnSpPr/>
        </xdr:nvCxnSpPr>
        <xdr:spPr>
          <a:xfrm flipH="1">
            <a:off x="2071684" y="129011370"/>
            <a:ext cx="76200" cy="76200"/>
          </a:xfrm>
          <a:prstGeom prst="line">
            <a:avLst/>
          </a:prstGeom>
        </xdr:spPr>
        <xdr:style>
          <a:lnRef idx="1">
            <a:schemeClr val="accent1"/>
          </a:lnRef>
          <a:fillRef idx="0">
            <a:schemeClr val="accent1"/>
          </a:fillRef>
          <a:effectRef idx="0">
            <a:schemeClr val="accent1"/>
          </a:effectRef>
          <a:fontRef idx="minor">
            <a:schemeClr val="tx1"/>
          </a:fontRef>
        </xdr:style>
      </xdr:cxnSp>
      <xdr:sp macro="" textlink="">
        <xdr:nvSpPr>
          <xdr:cNvPr id="2247" name="Rectangle 2246">
            <a:extLst>
              <a:ext uri="{FF2B5EF4-FFF2-40B4-BE49-F238E27FC236}">
                <a16:creationId xmlns:a16="http://schemas.microsoft.com/office/drawing/2014/main" id="{5D6EA338-AD56-8FE0-C68D-6499779DEAFC}"/>
              </a:ext>
            </a:extLst>
          </xdr:cNvPr>
          <xdr:cNvSpPr/>
        </xdr:nvSpPr>
        <xdr:spPr>
          <a:xfrm>
            <a:off x="809625" y="127525470"/>
            <a:ext cx="652463" cy="190500"/>
          </a:xfrm>
          <a:prstGeom prst="rect">
            <a:avLst/>
          </a:prstGeom>
          <a:blipFill>
            <a:blip xmlns:r="http://schemas.openxmlformats.org/officeDocument/2006/relationships" r:embed="rId1"/>
            <a:tile tx="0" ty="0" sx="100000" sy="100000" flip="none" algn="tl"/>
          </a:blip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cxnSp macro="">
        <xdr:nvCxnSpPr>
          <xdr:cNvPr id="2248" name="Straight Connector 2247">
            <a:extLst>
              <a:ext uri="{FF2B5EF4-FFF2-40B4-BE49-F238E27FC236}">
                <a16:creationId xmlns:a16="http://schemas.microsoft.com/office/drawing/2014/main" id="{8E804CBC-E36D-44AC-A838-18F891AC176A}"/>
              </a:ext>
            </a:extLst>
          </xdr:cNvPr>
          <xdr:cNvCxnSpPr/>
        </xdr:nvCxnSpPr>
        <xdr:spPr>
          <a:xfrm>
            <a:off x="814387" y="127420690"/>
            <a:ext cx="0" cy="414341"/>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2249" name="Rectangle 2248">
            <a:extLst>
              <a:ext uri="{FF2B5EF4-FFF2-40B4-BE49-F238E27FC236}">
                <a16:creationId xmlns:a16="http://schemas.microsoft.com/office/drawing/2014/main" id="{7BDEC95E-B68A-14F2-C5A9-C7E6F75B85B4}"/>
              </a:ext>
            </a:extLst>
          </xdr:cNvPr>
          <xdr:cNvSpPr/>
        </xdr:nvSpPr>
        <xdr:spPr>
          <a:xfrm rot="16200000">
            <a:off x="1479948" y="128155309"/>
            <a:ext cx="607219" cy="190500"/>
          </a:xfrm>
          <a:prstGeom prst="rect">
            <a:avLst/>
          </a:prstGeom>
          <a:blipFill>
            <a:blip xmlns:r="http://schemas.openxmlformats.org/officeDocument/2006/relationships" r:embed="rId1"/>
            <a:tile tx="0" ty="0" sx="100000" sy="100000" flip="none" algn="tl"/>
          </a:blip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cxnSp macro="">
        <xdr:nvCxnSpPr>
          <xdr:cNvPr id="2250" name="Straight Connector 2249">
            <a:extLst>
              <a:ext uri="{FF2B5EF4-FFF2-40B4-BE49-F238E27FC236}">
                <a16:creationId xmlns:a16="http://schemas.microsoft.com/office/drawing/2014/main" id="{B7731D1C-61CC-897B-FF22-A55EC43248B0}"/>
              </a:ext>
            </a:extLst>
          </xdr:cNvPr>
          <xdr:cNvCxnSpPr/>
        </xdr:nvCxnSpPr>
        <xdr:spPr>
          <a:xfrm>
            <a:off x="1585913" y="128554169"/>
            <a:ext cx="409575" cy="0"/>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2251" name="Straight Connector 2250">
            <a:extLst>
              <a:ext uri="{FF2B5EF4-FFF2-40B4-BE49-F238E27FC236}">
                <a16:creationId xmlns:a16="http://schemas.microsoft.com/office/drawing/2014/main" id="{C2D84F0C-D343-C3EC-1700-2A2BBAC03150}"/>
              </a:ext>
            </a:extLst>
          </xdr:cNvPr>
          <xdr:cNvCxnSpPr/>
        </xdr:nvCxnSpPr>
        <xdr:spPr>
          <a:xfrm>
            <a:off x="1624014" y="128763719"/>
            <a:ext cx="319086"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252" name="Straight Connector 2251">
            <a:extLst>
              <a:ext uri="{FF2B5EF4-FFF2-40B4-BE49-F238E27FC236}">
                <a16:creationId xmlns:a16="http://schemas.microsoft.com/office/drawing/2014/main" id="{3723B6DF-3CC4-A0A5-22C5-81B61087F3BD}"/>
              </a:ext>
            </a:extLst>
          </xdr:cNvPr>
          <xdr:cNvCxnSpPr/>
        </xdr:nvCxnSpPr>
        <xdr:spPr>
          <a:xfrm>
            <a:off x="1690688" y="128587508"/>
            <a:ext cx="0" cy="24765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253" name="Straight Connector 2252">
            <a:extLst>
              <a:ext uri="{FF2B5EF4-FFF2-40B4-BE49-F238E27FC236}">
                <a16:creationId xmlns:a16="http://schemas.microsoft.com/office/drawing/2014/main" id="{C4667C22-BFD3-5DA8-F40D-DEDB80E5FC1A}"/>
              </a:ext>
            </a:extLst>
          </xdr:cNvPr>
          <xdr:cNvCxnSpPr/>
        </xdr:nvCxnSpPr>
        <xdr:spPr>
          <a:xfrm flipH="1">
            <a:off x="1652588" y="128725619"/>
            <a:ext cx="76200" cy="762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254" name="Straight Connector 2253">
            <a:extLst>
              <a:ext uri="{FF2B5EF4-FFF2-40B4-BE49-F238E27FC236}">
                <a16:creationId xmlns:a16="http://schemas.microsoft.com/office/drawing/2014/main" id="{EADDDCA4-ACBB-0204-30FC-CED11A9CFE30}"/>
              </a:ext>
            </a:extLst>
          </xdr:cNvPr>
          <xdr:cNvCxnSpPr/>
        </xdr:nvCxnSpPr>
        <xdr:spPr>
          <a:xfrm>
            <a:off x="1881188" y="128587513"/>
            <a:ext cx="0" cy="24765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255" name="Straight Connector 2254">
            <a:extLst>
              <a:ext uri="{FF2B5EF4-FFF2-40B4-BE49-F238E27FC236}">
                <a16:creationId xmlns:a16="http://schemas.microsoft.com/office/drawing/2014/main" id="{0B659EE1-ECE3-67A5-C9F6-2EAFC39E8B2B}"/>
              </a:ext>
            </a:extLst>
          </xdr:cNvPr>
          <xdr:cNvCxnSpPr/>
        </xdr:nvCxnSpPr>
        <xdr:spPr>
          <a:xfrm flipH="1">
            <a:off x="1843088" y="128725624"/>
            <a:ext cx="76200" cy="76200"/>
          </a:xfrm>
          <a:prstGeom prst="line">
            <a:avLst/>
          </a:prstGeom>
        </xdr:spPr>
        <xdr:style>
          <a:lnRef idx="1">
            <a:schemeClr val="accent1"/>
          </a:lnRef>
          <a:fillRef idx="0">
            <a:schemeClr val="accent1"/>
          </a:fillRef>
          <a:effectRef idx="0">
            <a:schemeClr val="accent1"/>
          </a:effectRef>
          <a:fontRef idx="minor">
            <a:schemeClr val="tx1"/>
          </a:fontRef>
        </xdr:style>
      </xdr:cxnSp>
      <xdr:sp macro="" textlink="">
        <xdr:nvSpPr>
          <xdr:cNvPr id="2256" name="Freeform: Shape 2255">
            <a:extLst>
              <a:ext uri="{FF2B5EF4-FFF2-40B4-BE49-F238E27FC236}">
                <a16:creationId xmlns:a16="http://schemas.microsoft.com/office/drawing/2014/main" id="{5942C989-6ADA-4802-5D86-F06BD0651866}"/>
              </a:ext>
            </a:extLst>
          </xdr:cNvPr>
          <xdr:cNvSpPr/>
        </xdr:nvSpPr>
        <xdr:spPr>
          <a:xfrm>
            <a:off x="1033462" y="127049219"/>
            <a:ext cx="1519237" cy="261937"/>
          </a:xfrm>
          <a:custGeom>
            <a:avLst/>
            <a:gdLst>
              <a:gd name="connsiteX0" fmla="*/ 0 w 1519237"/>
              <a:gd name="connsiteY0" fmla="*/ 261937 h 261937"/>
              <a:gd name="connsiteX1" fmla="*/ 0 w 1519237"/>
              <a:gd name="connsiteY1" fmla="*/ 0 h 261937"/>
              <a:gd name="connsiteX2" fmla="*/ 1519237 w 1519237"/>
              <a:gd name="connsiteY2" fmla="*/ 0 h 261937"/>
              <a:gd name="connsiteX3" fmla="*/ 1519237 w 1519237"/>
              <a:gd name="connsiteY3" fmla="*/ 257175 h 261937"/>
            </a:gdLst>
            <a:ahLst/>
            <a:cxnLst>
              <a:cxn ang="0">
                <a:pos x="connsiteX0" y="connsiteY0"/>
              </a:cxn>
              <a:cxn ang="0">
                <a:pos x="connsiteX1" y="connsiteY1"/>
              </a:cxn>
              <a:cxn ang="0">
                <a:pos x="connsiteX2" y="connsiteY2"/>
              </a:cxn>
              <a:cxn ang="0">
                <a:pos x="connsiteX3" y="connsiteY3"/>
              </a:cxn>
            </a:cxnLst>
            <a:rect l="l" t="t" r="r" b="b"/>
            <a:pathLst>
              <a:path w="1519237" h="261937">
                <a:moveTo>
                  <a:pt x="0" y="261937"/>
                </a:moveTo>
                <a:lnTo>
                  <a:pt x="0" y="0"/>
                </a:lnTo>
                <a:lnTo>
                  <a:pt x="1519237" y="0"/>
                </a:lnTo>
                <a:lnTo>
                  <a:pt x="1519237" y="257175"/>
                </a:lnTo>
              </a:path>
            </a:pathLst>
          </a:cu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kern="1200"/>
          </a:p>
        </xdr:txBody>
      </xdr:sp>
      <xdr:sp macro="" textlink="">
        <xdr:nvSpPr>
          <xdr:cNvPr id="2257" name="Freeform: Shape 2256">
            <a:extLst>
              <a:ext uri="{FF2B5EF4-FFF2-40B4-BE49-F238E27FC236}">
                <a16:creationId xmlns:a16="http://schemas.microsoft.com/office/drawing/2014/main" id="{3563F86F-DD07-F236-1F41-EB5071E9B1B2}"/>
              </a:ext>
            </a:extLst>
          </xdr:cNvPr>
          <xdr:cNvSpPr/>
        </xdr:nvSpPr>
        <xdr:spPr>
          <a:xfrm rot="5400000">
            <a:off x="1528762" y="127492131"/>
            <a:ext cx="1519237" cy="261937"/>
          </a:xfrm>
          <a:custGeom>
            <a:avLst/>
            <a:gdLst>
              <a:gd name="connsiteX0" fmla="*/ 0 w 1519237"/>
              <a:gd name="connsiteY0" fmla="*/ 261937 h 261937"/>
              <a:gd name="connsiteX1" fmla="*/ 0 w 1519237"/>
              <a:gd name="connsiteY1" fmla="*/ 0 h 261937"/>
              <a:gd name="connsiteX2" fmla="*/ 1519237 w 1519237"/>
              <a:gd name="connsiteY2" fmla="*/ 0 h 261937"/>
              <a:gd name="connsiteX3" fmla="*/ 1519237 w 1519237"/>
              <a:gd name="connsiteY3" fmla="*/ 257175 h 261937"/>
            </a:gdLst>
            <a:ahLst/>
            <a:cxnLst>
              <a:cxn ang="0">
                <a:pos x="connsiteX0" y="connsiteY0"/>
              </a:cxn>
              <a:cxn ang="0">
                <a:pos x="connsiteX1" y="connsiteY1"/>
              </a:cxn>
              <a:cxn ang="0">
                <a:pos x="connsiteX2" y="connsiteY2"/>
              </a:cxn>
              <a:cxn ang="0">
                <a:pos x="connsiteX3" y="connsiteY3"/>
              </a:cxn>
            </a:cxnLst>
            <a:rect l="l" t="t" r="r" b="b"/>
            <a:pathLst>
              <a:path w="1519237" h="261937">
                <a:moveTo>
                  <a:pt x="0" y="261937"/>
                </a:moveTo>
                <a:lnTo>
                  <a:pt x="0" y="0"/>
                </a:lnTo>
                <a:lnTo>
                  <a:pt x="1519237" y="0"/>
                </a:lnTo>
                <a:lnTo>
                  <a:pt x="1519237" y="257175"/>
                </a:lnTo>
              </a:path>
            </a:pathLst>
          </a:cu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kern="1200"/>
          </a:p>
        </xdr:txBody>
      </xdr:sp>
      <xdr:sp macro="" textlink="">
        <xdr:nvSpPr>
          <xdr:cNvPr id="2259" name="Rectangle 2258">
            <a:extLst>
              <a:ext uri="{FF2B5EF4-FFF2-40B4-BE49-F238E27FC236}">
                <a16:creationId xmlns:a16="http://schemas.microsoft.com/office/drawing/2014/main" id="{70CB7A21-5BF9-29E1-2D2F-18E91B71FF3E}"/>
              </a:ext>
            </a:extLst>
          </xdr:cNvPr>
          <xdr:cNvSpPr/>
        </xdr:nvSpPr>
        <xdr:spPr>
          <a:xfrm>
            <a:off x="1462086" y="127301631"/>
            <a:ext cx="647698" cy="647698"/>
          </a:xfrm>
          <a:prstGeom prst="rect">
            <a:avLst/>
          </a:prstGeom>
          <a:blipFill>
            <a:blip xmlns:r="http://schemas.openxmlformats.org/officeDocument/2006/relationships" r:embed="rId1"/>
            <a:tile tx="0" ty="0" sx="100000" sy="100000" flip="none" algn="tl"/>
          </a:blip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grpSp>
    <xdr:clientData/>
  </xdr:twoCellAnchor>
  <xdr:twoCellAnchor>
    <xdr:from>
      <xdr:col>2</xdr:col>
      <xdr:colOff>95250</xdr:colOff>
      <xdr:row>676</xdr:row>
      <xdr:rowOff>133350</xdr:rowOff>
    </xdr:from>
    <xdr:to>
      <xdr:col>18</xdr:col>
      <xdr:colOff>61908</xdr:colOff>
      <xdr:row>693</xdr:row>
      <xdr:rowOff>61919</xdr:rowOff>
    </xdr:to>
    <xdr:grpSp>
      <xdr:nvGrpSpPr>
        <xdr:cNvPr id="3017" name="Group 3016">
          <a:extLst>
            <a:ext uri="{FF2B5EF4-FFF2-40B4-BE49-F238E27FC236}">
              <a16:creationId xmlns:a16="http://schemas.microsoft.com/office/drawing/2014/main" id="{F18873F2-498B-D2F5-CEC0-D2952C759639}"/>
            </a:ext>
          </a:extLst>
        </xdr:cNvPr>
        <xdr:cNvGrpSpPr/>
      </xdr:nvGrpSpPr>
      <xdr:grpSpPr>
        <a:xfrm>
          <a:off x="419100" y="98459925"/>
          <a:ext cx="2557458" cy="2357444"/>
          <a:chOff x="419100" y="98459925"/>
          <a:chExt cx="2557458" cy="2357444"/>
        </a:xfrm>
      </xdr:grpSpPr>
      <xdr:cxnSp macro="">
        <xdr:nvCxnSpPr>
          <xdr:cNvPr id="2007" name="Straight Connector 2006">
            <a:extLst>
              <a:ext uri="{FF2B5EF4-FFF2-40B4-BE49-F238E27FC236}">
                <a16:creationId xmlns:a16="http://schemas.microsoft.com/office/drawing/2014/main" id="{C3E4FF62-0389-DDA2-D497-160B0217735C}"/>
              </a:ext>
            </a:extLst>
          </xdr:cNvPr>
          <xdr:cNvCxnSpPr/>
        </xdr:nvCxnSpPr>
        <xdr:spPr>
          <a:xfrm>
            <a:off x="490541" y="98940946"/>
            <a:ext cx="0" cy="76199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077" name="Straight Connector 2076">
            <a:extLst>
              <a:ext uri="{FF2B5EF4-FFF2-40B4-BE49-F238E27FC236}">
                <a16:creationId xmlns:a16="http://schemas.microsoft.com/office/drawing/2014/main" id="{F44F73A8-D3F7-FA01-087A-011C9C35216D}"/>
              </a:ext>
            </a:extLst>
          </xdr:cNvPr>
          <xdr:cNvCxnSpPr/>
        </xdr:nvCxnSpPr>
        <xdr:spPr>
          <a:xfrm>
            <a:off x="2919412" y="98459925"/>
            <a:ext cx="0" cy="1738319"/>
          </a:xfrm>
          <a:prstGeom prst="line">
            <a:avLst/>
          </a:prstGeom>
        </xdr:spPr>
        <xdr:style>
          <a:lnRef idx="1">
            <a:schemeClr val="accent1"/>
          </a:lnRef>
          <a:fillRef idx="0">
            <a:schemeClr val="accent1"/>
          </a:fillRef>
          <a:effectRef idx="0">
            <a:schemeClr val="accent1"/>
          </a:effectRef>
          <a:fontRef idx="minor">
            <a:schemeClr val="tx1"/>
          </a:fontRef>
        </xdr:style>
      </xdr:cxnSp>
      <xdr:sp macro="" textlink="">
        <xdr:nvSpPr>
          <xdr:cNvPr id="2103" name="Rectangle 2102">
            <a:extLst>
              <a:ext uri="{FF2B5EF4-FFF2-40B4-BE49-F238E27FC236}">
                <a16:creationId xmlns:a16="http://schemas.microsoft.com/office/drawing/2014/main" id="{57EA2945-823B-435D-8EF5-F61738132DB6}"/>
              </a:ext>
            </a:extLst>
          </xdr:cNvPr>
          <xdr:cNvSpPr/>
        </xdr:nvSpPr>
        <xdr:spPr>
          <a:xfrm>
            <a:off x="981072" y="98521845"/>
            <a:ext cx="1609728" cy="1609728"/>
          </a:xfrm>
          <a:prstGeom prst="rect">
            <a:avLst/>
          </a:prstGeom>
          <a:blipFill>
            <a:blip xmlns:r="http://schemas.openxmlformats.org/officeDocument/2006/relationships" r:embed="rId1"/>
            <a:tile tx="0" ty="0" sx="100000" sy="100000" flip="none" algn="tl"/>
          </a:blip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cxnSp macro="">
        <xdr:nvCxnSpPr>
          <xdr:cNvPr id="2079" name="Straight Connector 2078">
            <a:extLst>
              <a:ext uri="{FF2B5EF4-FFF2-40B4-BE49-F238E27FC236}">
                <a16:creationId xmlns:a16="http://schemas.microsoft.com/office/drawing/2014/main" id="{8FA2794A-2CDD-8BB7-77B9-0D00E6AA7111}"/>
              </a:ext>
            </a:extLst>
          </xdr:cNvPr>
          <xdr:cNvCxnSpPr/>
        </xdr:nvCxnSpPr>
        <xdr:spPr>
          <a:xfrm>
            <a:off x="2647950" y="98521840"/>
            <a:ext cx="328607"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080" name="Straight Connector 2079">
            <a:extLst>
              <a:ext uri="{FF2B5EF4-FFF2-40B4-BE49-F238E27FC236}">
                <a16:creationId xmlns:a16="http://schemas.microsoft.com/office/drawing/2014/main" id="{1DF98B1E-EBF7-7A7D-CFDB-3288571B75E1}"/>
              </a:ext>
            </a:extLst>
          </xdr:cNvPr>
          <xdr:cNvCxnSpPr/>
        </xdr:nvCxnSpPr>
        <xdr:spPr>
          <a:xfrm flipH="1">
            <a:off x="2876544" y="98488502"/>
            <a:ext cx="76200" cy="762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081" name="Straight Connector 2080">
            <a:extLst>
              <a:ext uri="{FF2B5EF4-FFF2-40B4-BE49-F238E27FC236}">
                <a16:creationId xmlns:a16="http://schemas.microsoft.com/office/drawing/2014/main" id="{38704742-580A-DAD2-37FF-627B6E4C20FF}"/>
              </a:ext>
            </a:extLst>
          </xdr:cNvPr>
          <xdr:cNvCxnSpPr/>
        </xdr:nvCxnSpPr>
        <xdr:spPr>
          <a:xfrm>
            <a:off x="2647951" y="100131570"/>
            <a:ext cx="328607"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082" name="Straight Connector 2081">
            <a:extLst>
              <a:ext uri="{FF2B5EF4-FFF2-40B4-BE49-F238E27FC236}">
                <a16:creationId xmlns:a16="http://schemas.microsoft.com/office/drawing/2014/main" id="{5AD6A1EE-0558-9E5A-DBB6-CC231F863C77}"/>
              </a:ext>
            </a:extLst>
          </xdr:cNvPr>
          <xdr:cNvCxnSpPr/>
        </xdr:nvCxnSpPr>
        <xdr:spPr>
          <a:xfrm flipH="1">
            <a:off x="2876545" y="100098232"/>
            <a:ext cx="76200" cy="762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083" name="Straight Connector 2082">
            <a:extLst>
              <a:ext uri="{FF2B5EF4-FFF2-40B4-BE49-F238E27FC236}">
                <a16:creationId xmlns:a16="http://schemas.microsoft.com/office/drawing/2014/main" id="{203C7496-98C3-F879-B6FD-9C8DE970708D}"/>
              </a:ext>
            </a:extLst>
          </xdr:cNvPr>
          <xdr:cNvCxnSpPr/>
        </xdr:nvCxnSpPr>
        <xdr:spPr>
          <a:xfrm flipH="1">
            <a:off x="428625" y="99002856"/>
            <a:ext cx="476250"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084" name="Straight Connector 2083">
            <a:extLst>
              <a:ext uri="{FF2B5EF4-FFF2-40B4-BE49-F238E27FC236}">
                <a16:creationId xmlns:a16="http://schemas.microsoft.com/office/drawing/2014/main" id="{65FB4618-8A5E-1886-1A09-82494A5DEAFE}"/>
              </a:ext>
            </a:extLst>
          </xdr:cNvPr>
          <xdr:cNvCxnSpPr/>
        </xdr:nvCxnSpPr>
        <xdr:spPr>
          <a:xfrm flipH="1">
            <a:off x="447673" y="98969523"/>
            <a:ext cx="76200" cy="762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085" name="Straight Connector 2084">
            <a:extLst>
              <a:ext uri="{FF2B5EF4-FFF2-40B4-BE49-F238E27FC236}">
                <a16:creationId xmlns:a16="http://schemas.microsoft.com/office/drawing/2014/main" id="{B5BA06E6-FAFD-7DE6-EB70-1FDB53232308}"/>
              </a:ext>
            </a:extLst>
          </xdr:cNvPr>
          <xdr:cNvCxnSpPr/>
        </xdr:nvCxnSpPr>
        <xdr:spPr>
          <a:xfrm flipH="1">
            <a:off x="419100" y="99650557"/>
            <a:ext cx="495300"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086" name="Straight Connector 2085">
            <a:extLst>
              <a:ext uri="{FF2B5EF4-FFF2-40B4-BE49-F238E27FC236}">
                <a16:creationId xmlns:a16="http://schemas.microsoft.com/office/drawing/2014/main" id="{F37EA5C2-ED45-2787-C951-A6F5A42A4E09}"/>
              </a:ext>
            </a:extLst>
          </xdr:cNvPr>
          <xdr:cNvCxnSpPr/>
        </xdr:nvCxnSpPr>
        <xdr:spPr>
          <a:xfrm flipH="1">
            <a:off x="447669" y="99617224"/>
            <a:ext cx="76200" cy="762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087" name="Straight Connector 2086">
            <a:extLst>
              <a:ext uri="{FF2B5EF4-FFF2-40B4-BE49-F238E27FC236}">
                <a16:creationId xmlns:a16="http://schemas.microsoft.com/office/drawing/2014/main" id="{13A9EC81-018E-6902-5D86-F0F55A255802}"/>
              </a:ext>
            </a:extLst>
          </xdr:cNvPr>
          <xdr:cNvCxnSpPr/>
        </xdr:nvCxnSpPr>
        <xdr:spPr>
          <a:xfrm>
            <a:off x="1462087" y="100188719"/>
            <a:ext cx="0" cy="62388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088" name="Straight Connector 2087">
            <a:extLst>
              <a:ext uri="{FF2B5EF4-FFF2-40B4-BE49-F238E27FC236}">
                <a16:creationId xmlns:a16="http://schemas.microsoft.com/office/drawing/2014/main" id="{04FD0C25-5531-41E8-DD3C-CA8EDF1C5907}"/>
              </a:ext>
            </a:extLst>
          </xdr:cNvPr>
          <xdr:cNvCxnSpPr/>
        </xdr:nvCxnSpPr>
        <xdr:spPr>
          <a:xfrm>
            <a:off x="2109787" y="100188719"/>
            <a:ext cx="0" cy="62865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089" name="Straight Connector 2088">
            <a:extLst>
              <a:ext uri="{FF2B5EF4-FFF2-40B4-BE49-F238E27FC236}">
                <a16:creationId xmlns:a16="http://schemas.microsoft.com/office/drawing/2014/main" id="{90B1C59B-47F4-735E-9A8C-0BDBBD08147D}"/>
              </a:ext>
            </a:extLst>
          </xdr:cNvPr>
          <xdr:cNvCxnSpPr/>
        </xdr:nvCxnSpPr>
        <xdr:spPr>
          <a:xfrm>
            <a:off x="1390649" y="100750695"/>
            <a:ext cx="785813"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090" name="Straight Connector 2089">
            <a:extLst>
              <a:ext uri="{FF2B5EF4-FFF2-40B4-BE49-F238E27FC236}">
                <a16:creationId xmlns:a16="http://schemas.microsoft.com/office/drawing/2014/main" id="{26A33762-62E5-8D4D-6FC1-63EEB0AB2DDF}"/>
              </a:ext>
            </a:extLst>
          </xdr:cNvPr>
          <xdr:cNvCxnSpPr/>
        </xdr:nvCxnSpPr>
        <xdr:spPr>
          <a:xfrm flipH="1">
            <a:off x="1423985" y="100712594"/>
            <a:ext cx="76200" cy="762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091" name="Straight Connector 2090">
            <a:extLst>
              <a:ext uri="{FF2B5EF4-FFF2-40B4-BE49-F238E27FC236}">
                <a16:creationId xmlns:a16="http://schemas.microsoft.com/office/drawing/2014/main" id="{55D85BDB-DD67-7A18-D446-841CE1075242}"/>
              </a:ext>
            </a:extLst>
          </xdr:cNvPr>
          <xdr:cNvCxnSpPr/>
        </xdr:nvCxnSpPr>
        <xdr:spPr>
          <a:xfrm flipH="1">
            <a:off x="2071684" y="100712595"/>
            <a:ext cx="76200" cy="76200"/>
          </a:xfrm>
          <a:prstGeom prst="line">
            <a:avLst/>
          </a:prstGeom>
        </xdr:spPr>
        <xdr:style>
          <a:lnRef idx="1">
            <a:schemeClr val="accent1"/>
          </a:lnRef>
          <a:fillRef idx="0">
            <a:schemeClr val="accent1"/>
          </a:fillRef>
          <a:effectRef idx="0">
            <a:schemeClr val="accent1"/>
          </a:effectRef>
          <a:fontRef idx="minor">
            <a:schemeClr val="tx1"/>
          </a:fontRef>
        </xdr:style>
      </xdr:cxnSp>
      <xdr:sp macro="" textlink="">
        <xdr:nvSpPr>
          <xdr:cNvPr id="2092" name="Rectangle 2091">
            <a:extLst>
              <a:ext uri="{FF2B5EF4-FFF2-40B4-BE49-F238E27FC236}">
                <a16:creationId xmlns:a16="http://schemas.microsoft.com/office/drawing/2014/main" id="{4E511FE0-FC6A-3F62-FBEA-0B20F85C31C5}"/>
              </a:ext>
            </a:extLst>
          </xdr:cNvPr>
          <xdr:cNvSpPr/>
        </xdr:nvSpPr>
        <xdr:spPr>
          <a:xfrm>
            <a:off x="809625" y="99226695"/>
            <a:ext cx="652463" cy="190500"/>
          </a:xfrm>
          <a:prstGeom prst="rect">
            <a:avLst/>
          </a:prstGeom>
          <a:blipFill>
            <a:blip xmlns:r="http://schemas.openxmlformats.org/officeDocument/2006/relationships" r:embed="rId1"/>
            <a:tile tx="0" ty="0" sx="100000" sy="100000" flip="none" algn="tl"/>
          </a:blip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cxnSp macro="">
        <xdr:nvCxnSpPr>
          <xdr:cNvPr id="2093" name="Straight Connector 2092">
            <a:extLst>
              <a:ext uri="{FF2B5EF4-FFF2-40B4-BE49-F238E27FC236}">
                <a16:creationId xmlns:a16="http://schemas.microsoft.com/office/drawing/2014/main" id="{7241470B-A254-D053-6D75-1F9E406CC88E}"/>
              </a:ext>
            </a:extLst>
          </xdr:cNvPr>
          <xdr:cNvCxnSpPr/>
        </xdr:nvCxnSpPr>
        <xdr:spPr>
          <a:xfrm>
            <a:off x="814387" y="99121915"/>
            <a:ext cx="0" cy="414341"/>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2094" name="Rectangle 2093">
            <a:extLst>
              <a:ext uri="{FF2B5EF4-FFF2-40B4-BE49-F238E27FC236}">
                <a16:creationId xmlns:a16="http://schemas.microsoft.com/office/drawing/2014/main" id="{00AC6165-99E5-9488-1A14-28BFA74075EE}"/>
              </a:ext>
            </a:extLst>
          </xdr:cNvPr>
          <xdr:cNvSpPr/>
        </xdr:nvSpPr>
        <xdr:spPr>
          <a:xfrm rot="16200000">
            <a:off x="1479948" y="99856534"/>
            <a:ext cx="607219" cy="190500"/>
          </a:xfrm>
          <a:prstGeom prst="rect">
            <a:avLst/>
          </a:prstGeom>
          <a:blipFill>
            <a:blip xmlns:r="http://schemas.openxmlformats.org/officeDocument/2006/relationships" r:embed="rId1"/>
            <a:tile tx="0" ty="0" sx="100000" sy="100000" flip="none" algn="tl"/>
          </a:blip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cxnSp macro="">
        <xdr:nvCxnSpPr>
          <xdr:cNvPr id="2095" name="Straight Connector 2094">
            <a:extLst>
              <a:ext uri="{FF2B5EF4-FFF2-40B4-BE49-F238E27FC236}">
                <a16:creationId xmlns:a16="http://schemas.microsoft.com/office/drawing/2014/main" id="{84FE6EE5-66D5-1E61-E5DE-962006A4E4E6}"/>
              </a:ext>
            </a:extLst>
          </xdr:cNvPr>
          <xdr:cNvCxnSpPr/>
        </xdr:nvCxnSpPr>
        <xdr:spPr>
          <a:xfrm>
            <a:off x="1585913" y="100255394"/>
            <a:ext cx="409575" cy="0"/>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2096" name="Straight Connector 2095">
            <a:extLst>
              <a:ext uri="{FF2B5EF4-FFF2-40B4-BE49-F238E27FC236}">
                <a16:creationId xmlns:a16="http://schemas.microsoft.com/office/drawing/2014/main" id="{FC9CF8A1-2797-6B53-1963-541496AA433A}"/>
              </a:ext>
            </a:extLst>
          </xdr:cNvPr>
          <xdr:cNvCxnSpPr/>
        </xdr:nvCxnSpPr>
        <xdr:spPr>
          <a:xfrm>
            <a:off x="1624014" y="100464944"/>
            <a:ext cx="319086"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097" name="Straight Connector 2096">
            <a:extLst>
              <a:ext uri="{FF2B5EF4-FFF2-40B4-BE49-F238E27FC236}">
                <a16:creationId xmlns:a16="http://schemas.microsoft.com/office/drawing/2014/main" id="{ABA29AE9-B155-D0EF-8E13-66DBAC5B21B7}"/>
              </a:ext>
            </a:extLst>
          </xdr:cNvPr>
          <xdr:cNvCxnSpPr/>
        </xdr:nvCxnSpPr>
        <xdr:spPr>
          <a:xfrm>
            <a:off x="1690688" y="100288733"/>
            <a:ext cx="0" cy="24765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098" name="Straight Connector 2097">
            <a:extLst>
              <a:ext uri="{FF2B5EF4-FFF2-40B4-BE49-F238E27FC236}">
                <a16:creationId xmlns:a16="http://schemas.microsoft.com/office/drawing/2014/main" id="{FBE063B6-F74F-352E-0DCF-51D5FA4533C0}"/>
              </a:ext>
            </a:extLst>
          </xdr:cNvPr>
          <xdr:cNvCxnSpPr/>
        </xdr:nvCxnSpPr>
        <xdr:spPr>
          <a:xfrm flipH="1">
            <a:off x="1652588" y="100426844"/>
            <a:ext cx="76200" cy="762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099" name="Straight Connector 2098">
            <a:extLst>
              <a:ext uri="{FF2B5EF4-FFF2-40B4-BE49-F238E27FC236}">
                <a16:creationId xmlns:a16="http://schemas.microsoft.com/office/drawing/2014/main" id="{C0B30BAF-C381-4E94-0950-25D633002897}"/>
              </a:ext>
            </a:extLst>
          </xdr:cNvPr>
          <xdr:cNvCxnSpPr/>
        </xdr:nvCxnSpPr>
        <xdr:spPr>
          <a:xfrm>
            <a:off x="1881188" y="100288738"/>
            <a:ext cx="0" cy="24765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100" name="Straight Connector 2099">
            <a:extLst>
              <a:ext uri="{FF2B5EF4-FFF2-40B4-BE49-F238E27FC236}">
                <a16:creationId xmlns:a16="http://schemas.microsoft.com/office/drawing/2014/main" id="{3982ED26-89AE-E779-B32B-AF1F9C150239}"/>
              </a:ext>
            </a:extLst>
          </xdr:cNvPr>
          <xdr:cNvCxnSpPr/>
        </xdr:nvCxnSpPr>
        <xdr:spPr>
          <a:xfrm flipH="1">
            <a:off x="1843088" y="100426849"/>
            <a:ext cx="76200" cy="76200"/>
          </a:xfrm>
          <a:prstGeom prst="line">
            <a:avLst/>
          </a:prstGeom>
        </xdr:spPr>
        <xdr:style>
          <a:lnRef idx="1">
            <a:schemeClr val="accent1"/>
          </a:lnRef>
          <a:fillRef idx="0">
            <a:schemeClr val="accent1"/>
          </a:fillRef>
          <a:effectRef idx="0">
            <a:schemeClr val="accent1"/>
          </a:effectRef>
          <a:fontRef idx="minor">
            <a:schemeClr val="tx1"/>
          </a:fontRef>
        </xdr:style>
      </xdr:cxnSp>
      <xdr:sp macro="" textlink="">
        <xdr:nvSpPr>
          <xdr:cNvPr id="2101" name="Freeform: Shape 2100">
            <a:extLst>
              <a:ext uri="{FF2B5EF4-FFF2-40B4-BE49-F238E27FC236}">
                <a16:creationId xmlns:a16="http://schemas.microsoft.com/office/drawing/2014/main" id="{10D07FF2-5E13-9F82-7DD5-22E604EDD18D}"/>
              </a:ext>
            </a:extLst>
          </xdr:cNvPr>
          <xdr:cNvSpPr/>
        </xdr:nvSpPr>
        <xdr:spPr>
          <a:xfrm>
            <a:off x="1033462" y="98750444"/>
            <a:ext cx="1519237" cy="261937"/>
          </a:xfrm>
          <a:custGeom>
            <a:avLst/>
            <a:gdLst>
              <a:gd name="connsiteX0" fmla="*/ 0 w 1519237"/>
              <a:gd name="connsiteY0" fmla="*/ 261937 h 261937"/>
              <a:gd name="connsiteX1" fmla="*/ 0 w 1519237"/>
              <a:gd name="connsiteY1" fmla="*/ 0 h 261937"/>
              <a:gd name="connsiteX2" fmla="*/ 1519237 w 1519237"/>
              <a:gd name="connsiteY2" fmla="*/ 0 h 261937"/>
              <a:gd name="connsiteX3" fmla="*/ 1519237 w 1519237"/>
              <a:gd name="connsiteY3" fmla="*/ 257175 h 261937"/>
            </a:gdLst>
            <a:ahLst/>
            <a:cxnLst>
              <a:cxn ang="0">
                <a:pos x="connsiteX0" y="connsiteY0"/>
              </a:cxn>
              <a:cxn ang="0">
                <a:pos x="connsiteX1" y="connsiteY1"/>
              </a:cxn>
              <a:cxn ang="0">
                <a:pos x="connsiteX2" y="connsiteY2"/>
              </a:cxn>
              <a:cxn ang="0">
                <a:pos x="connsiteX3" y="connsiteY3"/>
              </a:cxn>
            </a:cxnLst>
            <a:rect l="l" t="t" r="r" b="b"/>
            <a:pathLst>
              <a:path w="1519237" h="261937">
                <a:moveTo>
                  <a:pt x="0" y="261937"/>
                </a:moveTo>
                <a:lnTo>
                  <a:pt x="0" y="0"/>
                </a:lnTo>
                <a:lnTo>
                  <a:pt x="1519237" y="0"/>
                </a:lnTo>
                <a:lnTo>
                  <a:pt x="1519237" y="257175"/>
                </a:lnTo>
              </a:path>
            </a:pathLst>
          </a:cu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kern="1200"/>
          </a:p>
        </xdr:txBody>
      </xdr:sp>
      <xdr:sp macro="" textlink="">
        <xdr:nvSpPr>
          <xdr:cNvPr id="2102" name="Freeform: Shape 2101">
            <a:extLst>
              <a:ext uri="{FF2B5EF4-FFF2-40B4-BE49-F238E27FC236}">
                <a16:creationId xmlns:a16="http://schemas.microsoft.com/office/drawing/2014/main" id="{E749DA19-C838-5BC5-87BD-2B5624038F9D}"/>
              </a:ext>
            </a:extLst>
          </xdr:cNvPr>
          <xdr:cNvSpPr/>
        </xdr:nvSpPr>
        <xdr:spPr>
          <a:xfrm rot="5400000">
            <a:off x="1528762" y="99193356"/>
            <a:ext cx="1519237" cy="261937"/>
          </a:xfrm>
          <a:custGeom>
            <a:avLst/>
            <a:gdLst>
              <a:gd name="connsiteX0" fmla="*/ 0 w 1519237"/>
              <a:gd name="connsiteY0" fmla="*/ 261937 h 261937"/>
              <a:gd name="connsiteX1" fmla="*/ 0 w 1519237"/>
              <a:gd name="connsiteY1" fmla="*/ 0 h 261937"/>
              <a:gd name="connsiteX2" fmla="*/ 1519237 w 1519237"/>
              <a:gd name="connsiteY2" fmla="*/ 0 h 261937"/>
              <a:gd name="connsiteX3" fmla="*/ 1519237 w 1519237"/>
              <a:gd name="connsiteY3" fmla="*/ 257175 h 261937"/>
            </a:gdLst>
            <a:ahLst/>
            <a:cxnLst>
              <a:cxn ang="0">
                <a:pos x="connsiteX0" y="connsiteY0"/>
              </a:cxn>
              <a:cxn ang="0">
                <a:pos x="connsiteX1" y="connsiteY1"/>
              </a:cxn>
              <a:cxn ang="0">
                <a:pos x="connsiteX2" y="connsiteY2"/>
              </a:cxn>
              <a:cxn ang="0">
                <a:pos x="connsiteX3" y="connsiteY3"/>
              </a:cxn>
            </a:cxnLst>
            <a:rect l="l" t="t" r="r" b="b"/>
            <a:pathLst>
              <a:path w="1519237" h="261937">
                <a:moveTo>
                  <a:pt x="0" y="261937"/>
                </a:moveTo>
                <a:lnTo>
                  <a:pt x="0" y="0"/>
                </a:lnTo>
                <a:lnTo>
                  <a:pt x="1519237" y="0"/>
                </a:lnTo>
                <a:lnTo>
                  <a:pt x="1519237" y="257175"/>
                </a:lnTo>
              </a:path>
            </a:pathLst>
          </a:cu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kern="1200"/>
          </a:p>
        </xdr:txBody>
      </xdr:sp>
      <xdr:sp macro="" textlink="">
        <xdr:nvSpPr>
          <xdr:cNvPr id="2104" name="Rectangle 2103">
            <a:extLst>
              <a:ext uri="{FF2B5EF4-FFF2-40B4-BE49-F238E27FC236}">
                <a16:creationId xmlns:a16="http://schemas.microsoft.com/office/drawing/2014/main" id="{BC68FDAA-2A26-8E62-C8F9-3609C585A69F}"/>
              </a:ext>
            </a:extLst>
          </xdr:cNvPr>
          <xdr:cNvSpPr/>
        </xdr:nvSpPr>
        <xdr:spPr>
          <a:xfrm>
            <a:off x="1462086" y="99002856"/>
            <a:ext cx="647698" cy="647698"/>
          </a:xfrm>
          <a:prstGeom prst="rect">
            <a:avLst/>
          </a:prstGeom>
          <a:blipFill>
            <a:blip xmlns:r="http://schemas.openxmlformats.org/officeDocument/2006/relationships" r:embed="rId1"/>
            <a:tile tx="0" ty="0" sx="100000" sy="100000" flip="none" algn="tl"/>
          </a:blip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grpSp>
    <xdr:clientData/>
  </xdr:twoCellAnchor>
  <xdr:twoCellAnchor>
    <xdr:from>
      <xdr:col>2</xdr:col>
      <xdr:colOff>95250</xdr:colOff>
      <xdr:row>487</xdr:row>
      <xdr:rowOff>133350</xdr:rowOff>
    </xdr:from>
    <xdr:to>
      <xdr:col>18</xdr:col>
      <xdr:colOff>61908</xdr:colOff>
      <xdr:row>504</xdr:row>
      <xdr:rowOff>61919</xdr:rowOff>
    </xdr:to>
    <xdr:grpSp>
      <xdr:nvGrpSpPr>
        <xdr:cNvPr id="3018" name="Group 3017">
          <a:extLst>
            <a:ext uri="{FF2B5EF4-FFF2-40B4-BE49-F238E27FC236}">
              <a16:creationId xmlns:a16="http://schemas.microsoft.com/office/drawing/2014/main" id="{111CD762-65C9-AD89-4B15-998BF590E598}"/>
            </a:ext>
          </a:extLst>
        </xdr:cNvPr>
        <xdr:cNvGrpSpPr/>
      </xdr:nvGrpSpPr>
      <xdr:grpSpPr>
        <a:xfrm>
          <a:off x="419100" y="71008875"/>
          <a:ext cx="2557458" cy="2357444"/>
          <a:chOff x="419100" y="71008875"/>
          <a:chExt cx="2557458" cy="2357444"/>
        </a:xfrm>
      </xdr:grpSpPr>
      <xdr:cxnSp macro="">
        <xdr:nvCxnSpPr>
          <xdr:cNvPr id="1905" name="Straight Connector 1904">
            <a:extLst>
              <a:ext uri="{FF2B5EF4-FFF2-40B4-BE49-F238E27FC236}">
                <a16:creationId xmlns:a16="http://schemas.microsoft.com/office/drawing/2014/main" id="{C5B65974-52AD-4786-A436-C763BA5A5325}"/>
              </a:ext>
            </a:extLst>
          </xdr:cNvPr>
          <xdr:cNvCxnSpPr/>
        </xdr:nvCxnSpPr>
        <xdr:spPr>
          <a:xfrm>
            <a:off x="490541" y="71489896"/>
            <a:ext cx="0" cy="76199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908" name="Straight Connector 1907">
            <a:extLst>
              <a:ext uri="{FF2B5EF4-FFF2-40B4-BE49-F238E27FC236}">
                <a16:creationId xmlns:a16="http://schemas.microsoft.com/office/drawing/2014/main" id="{1116C3AC-BA24-79E4-91E4-8D10018E1E19}"/>
              </a:ext>
            </a:extLst>
          </xdr:cNvPr>
          <xdr:cNvCxnSpPr/>
        </xdr:nvCxnSpPr>
        <xdr:spPr>
          <a:xfrm>
            <a:off x="2919412" y="71008875"/>
            <a:ext cx="0" cy="1738319"/>
          </a:xfrm>
          <a:prstGeom prst="line">
            <a:avLst/>
          </a:prstGeom>
        </xdr:spPr>
        <xdr:style>
          <a:lnRef idx="1">
            <a:schemeClr val="accent1"/>
          </a:lnRef>
          <a:fillRef idx="0">
            <a:schemeClr val="accent1"/>
          </a:fillRef>
          <a:effectRef idx="0">
            <a:schemeClr val="accent1"/>
          </a:effectRef>
          <a:fontRef idx="minor">
            <a:schemeClr val="tx1"/>
          </a:fontRef>
        </xdr:style>
      </xdr:cxnSp>
      <xdr:sp macro="" textlink="">
        <xdr:nvSpPr>
          <xdr:cNvPr id="1995" name="Rectangle 1994">
            <a:extLst>
              <a:ext uri="{FF2B5EF4-FFF2-40B4-BE49-F238E27FC236}">
                <a16:creationId xmlns:a16="http://schemas.microsoft.com/office/drawing/2014/main" id="{5DDF8EED-6763-C3AB-B297-2B6218CEC722}"/>
              </a:ext>
            </a:extLst>
          </xdr:cNvPr>
          <xdr:cNvSpPr/>
        </xdr:nvSpPr>
        <xdr:spPr>
          <a:xfrm>
            <a:off x="981072" y="71070795"/>
            <a:ext cx="1609728" cy="1609728"/>
          </a:xfrm>
          <a:prstGeom prst="rect">
            <a:avLst/>
          </a:prstGeom>
          <a:blipFill>
            <a:blip xmlns:r="http://schemas.openxmlformats.org/officeDocument/2006/relationships" r:embed="rId1"/>
            <a:tile tx="0" ty="0" sx="100000" sy="100000" flip="none" algn="tl"/>
          </a:blip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cxnSp macro="">
        <xdr:nvCxnSpPr>
          <xdr:cNvPr id="1928" name="Straight Connector 1927">
            <a:extLst>
              <a:ext uri="{FF2B5EF4-FFF2-40B4-BE49-F238E27FC236}">
                <a16:creationId xmlns:a16="http://schemas.microsoft.com/office/drawing/2014/main" id="{99CB03D9-B138-6BAD-38A8-4E5A7C1A0A6F}"/>
              </a:ext>
            </a:extLst>
          </xdr:cNvPr>
          <xdr:cNvCxnSpPr/>
        </xdr:nvCxnSpPr>
        <xdr:spPr>
          <a:xfrm>
            <a:off x="2647950" y="71070790"/>
            <a:ext cx="328607"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929" name="Straight Connector 1928">
            <a:extLst>
              <a:ext uri="{FF2B5EF4-FFF2-40B4-BE49-F238E27FC236}">
                <a16:creationId xmlns:a16="http://schemas.microsoft.com/office/drawing/2014/main" id="{7F0964A0-4C88-EDBD-83AA-2F91790AAC8D}"/>
              </a:ext>
            </a:extLst>
          </xdr:cNvPr>
          <xdr:cNvCxnSpPr/>
        </xdr:nvCxnSpPr>
        <xdr:spPr>
          <a:xfrm flipH="1">
            <a:off x="2876544" y="71037452"/>
            <a:ext cx="76200" cy="762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930" name="Straight Connector 1929">
            <a:extLst>
              <a:ext uri="{FF2B5EF4-FFF2-40B4-BE49-F238E27FC236}">
                <a16:creationId xmlns:a16="http://schemas.microsoft.com/office/drawing/2014/main" id="{21471187-1C15-AC2C-4E9B-30A70C500D3D}"/>
              </a:ext>
            </a:extLst>
          </xdr:cNvPr>
          <xdr:cNvCxnSpPr/>
        </xdr:nvCxnSpPr>
        <xdr:spPr>
          <a:xfrm>
            <a:off x="2647951" y="72680520"/>
            <a:ext cx="328607"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931" name="Straight Connector 1930">
            <a:extLst>
              <a:ext uri="{FF2B5EF4-FFF2-40B4-BE49-F238E27FC236}">
                <a16:creationId xmlns:a16="http://schemas.microsoft.com/office/drawing/2014/main" id="{1AD1A9BE-4568-942F-327F-A8E3010C8D64}"/>
              </a:ext>
            </a:extLst>
          </xdr:cNvPr>
          <xdr:cNvCxnSpPr/>
        </xdr:nvCxnSpPr>
        <xdr:spPr>
          <a:xfrm flipH="1">
            <a:off x="2876545" y="72647182"/>
            <a:ext cx="76200" cy="762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932" name="Straight Connector 1931">
            <a:extLst>
              <a:ext uri="{FF2B5EF4-FFF2-40B4-BE49-F238E27FC236}">
                <a16:creationId xmlns:a16="http://schemas.microsoft.com/office/drawing/2014/main" id="{2C185684-3D09-3CFB-D6A3-7EEB4A8E88B8}"/>
              </a:ext>
            </a:extLst>
          </xdr:cNvPr>
          <xdr:cNvCxnSpPr/>
        </xdr:nvCxnSpPr>
        <xdr:spPr>
          <a:xfrm flipH="1">
            <a:off x="428625" y="71551806"/>
            <a:ext cx="476250"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934" name="Straight Connector 1933">
            <a:extLst>
              <a:ext uri="{FF2B5EF4-FFF2-40B4-BE49-F238E27FC236}">
                <a16:creationId xmlns:a16="http://schemas.microsoft.com/office/drawing/2014/main" id="{6A0F1800-D1EF-66FE-ED61-7FD314B3295C}"/>
              </a:ext>
            </a:extLst>
          </xdr:cNvPr>
          <xdr:cNvCxnSpPr/>
        </xdr:nvCxnSpPr>
        <xdr:spPr>
          <a:xfrm flipH="1">
            <a:off x="447673" y="71518473"/>
            <a:ext cx="76200" cy="762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936" name="Straight Connector 1935">
            <a:extLst>
              <a:ext uri="{FF2B5EF4-FFF2-40B4-BE49-F238E27FC236}">
                <a16:creationId xmlns:a16="http://schemas.microsoft.com/office/drawing/2014/main" id="{E0351134-F330-BD92-5DB3-393B19E95687}"/>
              </a:ext>
            </a:extLst>
          </xdr:cNvPr>
          <xdr:cNvCxnSpPr/>
        </xdr:nvCxnSpPr>
        <xdr:spPr>
          <a:xfrm flipH="1">
            <a:off x="419100" y="72199507"/>
            <a:ext cx="495300"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937" name="Straight Connector 1936">
            <a:extLst>
              <a:ext uri="{FF2B5EF4-FFF2-40B4-BE49-F238E27FC236}">
                <a16:creationId xmlns:a16="http://schemas.microsoft.com/office/drawing/2014/main" id="{81375D4F-2203-6886-DF64-ECB0E981A41A}"/>
              </a:ext>
            </a:extLst>
          </xdr:cNvPr>
          <xdr:cNvCxnSpPr/>
        </xdr:nvCxnSpPr>
        <xdr:spPr>
          <a:xfrm flipH="1">
            <a:off x="447669" y="72166174"/>
            <a:ext cx="76200" cy="762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938" name="Straight Connector 1937">
            <a:extLst>
              <a:ext uri="{FF2B5EF4-FFF2-40B4-BE49-F238E27FC236}">
                <a16:creationId xmlns:a16="http://schemas.microsoft.com/office/drawing/2014/main" id="{F5E9A86D-1A03-E42E-9751-AA6CAD27D326}"/>
              </a:ext>
            </a:extLst>
          </xdr:cNvPr>
          <xdr:cNvCxnSpPr/>
        </xdr:nvCxnSpPr>
        <xdr:spPr>
          <a:xfrm>
            <a:off x="1462087" y="72737669"/>
            <a:ext cx="0" cy="62388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940" name="Straight Connector 1939">
            <a:extLst>
              <a:ext uri="{FF2B5EF4-FFF2-40B4-BE49-F238E27FC236}">
                <a16:creationId xmlns:a16="http://schemas.microsoft.com/office/drawing/2014/main" id="{7AECD2B1-4B56-2DDE-ADD1-E52B9A36B6BE}"/>
              </a:ext>
            </a:extLst>
          </xdr:cNvPr>
          <xdr:cNvCxnSpPr/>
        </xdr:nvCxnSpPr>
        <xdr:spPr>
          <a:xfrm>
            <a:off x="2109787" y="72737669"/>
            <a:ext cx="0" cy="62865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941" name="Straight Connector 1940">
            <a:extLst>
              <a:ext uri="{FF2B5EF4-FFF2-40B4-BE49-F238E27FC236}">
                <a16:creationId xmlns:a16="http://schemas.microsoft.com/office/drawing/2014/main" id="{2D9FB124-5407-02C5-FBCF-20CD217A4E01}"/>
              </a:ext>
            </a:extLst>
          </xdr:cNvPr>
          <xdr:cNvCxnSpPr/>
        </xdr:nvCxnSpPr>
        <xdr:spPr>
          <a:xfrm>
            <a:off x="1390649" y="73299645"/>
            <a:ext cx="785813"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942" name="Straight Connector 1941">
            <a:extLst>
              <a:ext uri="{FF2B5EF4-FFF2-40B4-BE49-F238E27FC236}">
                <a16:creationId xmlns:a16="http://schemas.microsoft.com/office/drawing/2014/main" id="{EA99E9A3-4F98-8DB6-ADCC-2207F39EE88E}"/>
              </a:ext>
            </a:extLst>
          </xdr:cNvPr>
          <xdr:cNvCxnSpPr/>
        </xdr:nvCxnSpPr>
        <xdr:spPr>
          <a:xfrm flipH="1">
            <a:off x="1423985" y="73261544"/>
            <a:ext cx="76200" cy="762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943" name="Straight Connector 1942">
            <a:extLst>
              <a:ext uri="{FF2B5EF4-FFF2-40B4-BE49-F238E27FC236}">
                <a16:creationId xmlns:a16="http://schemas.microsoft.com/office/drawing/2014/main" id="{D2ECAF31-350E-EE0D-A5E8-1FF601C6BF69}"/>
              </a:ext>
            </a:extLst>
          </xdr:cNvPr>
          <xdr:cNvCxnSpPr/>
        </xdr:nvCxnSpPr>
        <xdr:spPr>
          <a:xfrm flipH="1">
            <a:off x="2071684" y="73261545"/>
            <a:ext cx="76200" cy="76200"/>
          </a:xfrm>
          <a:prstGeom prst="line">
            <a:avLst/>
          </a:prstGeom>
        </xdr:spPr>
        <xdr:style>
          <a:lnRef idx="1">
            <a:schemeClr val="accent1"/>
          </a:lnRef>
          <a:fillRef idx="0">
            <a:schemeClr val="accent1"/>
          </a:fillRef>
          <a:effectRef idx="0">
            <a:schemeClr val="accent1"/>
          </a:effectRef>
          <a:fontRef idx="minor">
            <a:schemeClr val="tx1"/>
          </a:fontRef>
        </xdr:style>
      </xdr:cxnSp>
      <xdr:sp macro="" textlink="">
        <xdr:nvSpPr>
          <xdr:cNvPr id="1944" name="Rectangle 1943">
            <a:extLst>
              <a:ext uri="{FF2B5EF4-FFF2-40B4-BE49-F238E27FC236}">
                <a16:creationId xmlns:a16="http://schemas.microsoft.com/office/drawing/2014/main" id="{829BF68B-44AC-11C8-D361-529238548D4B}"/>
              </a:ext>
            </a:extLst>
          </xdr:cNvPr>
          <xdr:cNvSpPr/>
        </xdr:nvSpPr>
        <xdr:spPr>
          <a:xfrm>
            <a:off x="809625" y="71775645"/>
            <a:ext cx="652463" cy="190500"/>
          </a:xfrm>
          <a:prstGeom prst="rect">
            <a:avLst/>
          </a:prstGeom>
          <a:blipFill>
            <a:blip xmlns:r="http://schemas.openxmlformats.org/officeDocument/2006/relationships" r:embed="rId1"/>
            <a:tile tx="0" ty="0" sx="100000" sy="100000" flip="none" algn="tl"/>
          </a:blip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cxnSp macro="">
        <xdr:nvCxnSpPr>
          <xdr:cNvPr id="1945" name="Straight Connector 1944">
            <a:extLst>
              <a:ext uri="{FF2B5EF4-FFF2-40B4-BE49-F238E27FC236}">
                <a16:creationId xmlns:a16="http://schemas.microsoft.com/office/drawing/2014/main" id="{5816012C-0F4F-CEA8-F6F0-9BC301C37B94}"/>
              </a:ext>
            </a:extLst>
          </xdr:cNvPr>
          <xdr:cNvCxnSpPr/>
        </xdr:nvCxnSpPr>
        <xdr:spPr>
          <a:xfrm>
            <a:off x="814387" y="71670865"/>
            <a:ext cx="0" cy="414341"/>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1948" name="Rectangle 1947">
            <a:extLst>
              <a:ext uri="{FF2B5EF4-FFF2-40B4-BE49-F238E27FC236}">
                <a16:creationId xmlns:a16="http://schemas.microsoft.com/office/drawing/2014/main" id="{CCDA8A20-B88B-7EC2-1ACC-B2C8326C0B0A}"/>
              </a:ext>
            </a:extLst>
          </xdr:cNvPr>
          <xdr:cNvSpPr/>
        </xdr:nvSpPr>
        <xdr:spPr>
          <a:xfrm rot="16200000">
            <a:off x="1479948" y="72405484"/>
            <a:ext cx="607219" cy="190500"/>
          </a:xfrm>
          <a:prstGeom prst="rect">
            <a:avLst/>
          </a:prstGeom>
          <a:blipFill>
            <a:blip xmlns:r="http://schemas.openxmlformats.org/officeDocument/2006/relationships" r:embed="rId1"/>
            <a:tile tx="0" ty="0" sx="100000" sy="100000" flip="none" algn="tl"/>
          </a:blip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cxnSp macro="">
        <xdr:nvCxnSpPr>
          <xdr:cNvPr id="1950" name="Straight Connector 1949">
            <a:extLst>
              <a:ext uri="{FF2B5EF4-FFF2-40B4-BE49-F238E27FC236}">
                <a16:creationId xmlns:a16="http://schemas.microsoft.com/office/drawing/2014/main" id="{CC28EA8E-398E-2508-FA56-EBCEA273981D}"/>
              </a:ext>
            </a:extLst>
          </xdr:cNvPr>
          <xdr:cNvCxnSpPr/>
        </xdr:nvCxnSpPr>
        <xdr:spPr>
          <a:xfrm>
            <a:off x="1585913" y="72804344"/>
            <a:ext cx="409575" cy="0"/>
          </a:xfrm>
          <a:prstGeom prst="line">
            <a:avLst/>
          </a:prstGeom>
          <a:ln w="952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953" name="Straight Connector 1952">
            <a:extLst>
              <a:ext uri="{FF2B5EF4-FFF2-40B4-BE49-F238E27FC236}">
                <a16:creationId xmlns:a16="http://schemas.microsoft.com/office/drawing/2014/main" id="{6C4A353A-3774-A781-0FEB-C50A86FDC14B}"/>
              </a:ext>
            </a:extLst>
          </xdr:cNvPr>
          <xdr:cNvCxnSpPr/>
        </xdr:nvCxnSpPr>
        <xdr:spPr>
          <a:xfrm>
            <a:off x="1624014" y="73013894"/>
            <a:ext cx="319086"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974" name="Straight Connector 1973">
            <a:extLst>
              <a:ext uri="{FF2B5EF4-FFF2-40B4-BE49-F238E27FC236}">
                <a16:creationId xmlns:a16="http://schemas.microsoft.com/office/drawing/2014/main" id="{8F75B6C5-1032-D784-488E-5C0EAEBABFAF}"/>
              </a:ext>
            </a:extLst>
          </xdr:cNvPr>
          <xdr:cNvCxnSpPr/>
        </xdr:nvCxnSpPr>
        <xdr:spPr>
          <a:xfrm>
            <a:off x="1690688" y="72837683"/>
            <a:ext cx="0" cy="24765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975" name="Straight Connector 1974">
            <a:extLst>
              <a:ext uri="{FF2B5EF4-FFF2-40B4-BE49-F238E27FC236}">
                <a16:creationId xmlns:a16="http://schemas.microsoft.com/office/drawing/2014/main" id="{E05F7929-6E76-572D-E5E8-63C152FD3628}"/>
              </a:ext>
            </a:extLst>
          </xdr:cNvPr>
          <xdr:cNvCxnSpPr/>
        </xdr:nvCxnSpPr>
        <xdr:spPr>
          <a:xfrm flipH="1">
            <a:off x="1652588" y="72975794"/>
            <a:ext cx="76200" cy="762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981" name="Straight Connector 1980">
            <a:extLst>
              <a:ext uri="{FF2B5EF4-FFF2-40B4-BE49-F238E27FC236}">
                <a16:creationId xmlns:a16="http://schemas.microsoft.com/office/drawing/2014/main" id="{7F33064F-7372-9AA1-6D13-0C5E60F8B1DB}"/>
              </a:ext>
            </a:extLst>
          </xdr:cNvPr>
          <xdr:cNvCxnSpPr/>
        </xdr:nvCxnSpPr>
        <xdr:spPr>
          <a:xfrm>
            <a:off x="1881188" y="72837688"/>
            <a:ext cx="0" cy="24765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983" name="Straight Connector 1982">
            <a:extLst>
              <a:ext uri="{FF2B5EF4-FFF2-40B4-BE49-F238E27FC236}">
                <a16:creationId xmlns:a16="http://schemas.microsoft.com/office/drawing/2014/main" id="{2627B9E6-EF25-9044-9BA4-72A66F3379F5}"/>
              </a:ext>
            </a:extLst>
          </xdr:cNvPr>
          <xdr:cNvCxnSpPr/>
        </xdr:nvCxnSpPr>
        <xdr:spPr>
          <a:xfrm flipH="1">
            <a:off x="1843088" y="72975799"/>
            <a:ext cx="76200" cy="76200"/>
          </a:xfrm>
          <a:prstGeom prst="line">
            <a:avLst/>
          </a:prstGeom>
        </xdr:spPr>
        <xdr:style>
          <a:lnRef idx="1">
            <a:schemeClr val="accent1"/>
          </a:lnRef>
          <a:fillRef idx="0">
            <a:schemeClr val="accent1"/>
          </a:fillRef>
          <a:effectRef idx="0">
            <a:schemeClr val="accent1"/>
          </a:effectRef>
          <a:fontRef idx="minor">
            <a:schemeClr val="tx1"/>
          </a:fontRef>
        </xdr:style>
      </xdr:cxnSp>
      <xdr:sp macro="" textlink="">
        <xdr:nvSpPr>
          <xdr:cNvPr id="1986" name="Freeform: Shape 1985">
            <a:extLst>
              <a:ext uri="{FF2B5EF4-FFF2-40B4-BE49-F238E27FC236}">
                <a16:creationId xmlns:a16="http://schemas.microsoft.com/office/drawing/2014/main" id="{CF0BA3F8-C94C-5C71-AEAF-9885357FBE7D}"/>
              </a:ext>
            </a:extLst>
          </xdr:cNvPr>
          <xdr:cNvSpPr/>
        </xdr:nvSpPr>
        <xdr:spPr>
          <a:xfrm>
            <a:off x="1033462" y="71299394"/>
            <a:ext cx="1519237" cy="261937"/>
          </a:xfrm>
          <a:custGeom>
            <a:avLst/>
            <a:gdLst>
              <a:gd name="connsiteX0" fmla="*/ 0 w 1519237"/>
              <a:gd name="connsiteY0" fmla="*/ 261937 h 261937"/>
              <a:gd name="connsiteX1" fmla="*/ 0 w 1519237"/>
              <a:gd name="connsiteY1" fmla="*/ 0 h 261937"/>
              <a:gd name="connsiteX2" fmla="*/ 1519237 w 1519237"/>
              <a:gd name="connsiteY2" fmla="*/ 0 h 261937"/>
              <a:gd name="connsiteX3" fmla="*/ 1519237 w 1519237"/>
              <a:gd name="connsiteY3" fmla="*/ 257175 h 261937"/>
            </a:gdLst>
            <a:ahLst/>
            <a:cxnLst>
              <a:cxn ang="0">
                <a:pos x="connsiteX0" y="connsiteY0"/>
              </a:cxn>
              <a:cxn ang="0">
                <a:pos x="connsiteX1" y="connsiteY1"/>
              </a:cxn>
              <a:cxn ang="0">
                <a:pos x="connsiteX2" y="connsiteY2"/>
              </a:cxn>
              <a:cxn ang="0">
                <a:pos x="connsiteX3" y="connsiteY3"/>
              </a:cxn>
            </a:cxnLst>
            <a:rect l="l" t="t" r="r" b="b"/>
            <a:pathLst>
              <a:path w="1519237" h="261937">
                <a:moveTo>
                  <a:pt x="0" y="261937"/>
                </a:moveTo>
                <a:lnTo>
                  <a:pt x="0" y="0"/>
                </a:lnTo>
                <a:lnTo>
                  <a:pt x="1519237" y="0"/>
                </a:lnTo>
                <a:lnTo>
                  <a:pt x="1519237" y="257175"/>
                </a:lnTo>
              </a:path>
            </a:pathLst>
          </a:cu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kern="1200"/>
          </a:p>
        </xdr:txBody>
      </xdr:sp>
      <xdr:sp macro="" textlink="">
        <xdr:nvSpPr>
          <xdr:cNvPr id="1992" name="Freeform: Shape 1991">
            <a:extLst>
              <a:ext uri="{FF2B5EF4-FFF2-40B4-BE49-F238E27FC236}">
                <a16:creationId xmlns:a16="http://schemas.microsoft.com/office/drawing/2014/main" id="{8DEAFA50-CB59-5287-3D0D-E783028CE0AF}"/>
              </a:ext>
            </a:extLst>
          </xdr:cNvPr>
          <xdr:cNvSpPr/>
        </xdr:nvSpPr>
        <xdr:spPr>
          <a:xfrm rot="5400000">
            <a:off x="1528762" y="71742306"/>
            <a:ext cx="1519237" cy="261937"/>
          </a:xfrm>
          <a:custGeom>
            <a:avLst/>
            <a:gdLst>
              <a:gd name="connsiteX0" fmla="*/ 0 w 1519237"/>
              <a:gd name="connsiteY0" fmla="*/ 261937 h 261937"/>
              <a:gd name="connsiteX1" fmla="*/ 0 w 1519237"/>
              <a:gd name="connsiteY1" fmla="*/ 0 h 261937"/>
              <a:gd name="connsiteX2" fmla="*/ 1519237 w 1519237"/>
              <a:gd name="connsiteY2" fmla="*/ 0 h 261937"/>
              <a:gd name="connsiteX3" fmla="*/ 1519237 w 1519237"/>
              <a:gd name="connsiteY3" fmla="*/ 257175 h 261937"/>
            </a:gdLst>
            <a:ahLst/>
            <a:cxnLst>
              <a:cxn ang="0">
                <a:pos x="connsiteX0" y="connsiteY0"/>
              </a:cxn>
              <a:cxn ang="0">
                <a:pos x="connsiteX1" y="connsiteY1"/>
              </a:cxn>
              <a:cxn ang="0">
                <a:pos x="connsiteX2" y="connsiteY2"/>
              </a:cxn>
              <a:cxn ang="0">
                <a:pos x="connsiteX3" y="connsiteY3"/>
              </a:cxn>
            </a:cxnLst>
            <a:rect l="l" t="t" r="r" b="b"/>
            <a:pathLst>
              <a:path w="1519237" h="261937">
                <a:moveTo>
                  <a:pt x="0" y="261937"/>
                </a:moveTo>
                <a:lnTo>
                  <a:pt x="0" y="0"/>
                </a:lnTo>
                <a:lnTo>
                  <a:pt x="1519237" y="0"/>
                </a:lnTo>
                <a:lnTo>
                  <a:pt x="1519237" y="257175"/>
                </a:lnTo>
              </a:path>
            </a:pathLst>
          </a:cu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kern="1200"/>
          </a:p>
        </xdr:txBody>
      </xdr:sp>
      <xdr:sp macro="" textlink="">
        <xdr:nvSpPr>
          <xdr:cNvPr id="2001" name="Rectangle 2000">
            <a:extLst>
              <a:ext uri="{FF2B5EF4-FFF2-40B4-BE49-F238E27FC236}">
                <a16:creationId xmlns:a16="http://schemas.microsoft.com/office/drawing/2014/main" id="{F9CDAF05-2A32-DD2C-0DFB-10FB2831E10D}"/>
              </a:ext>
            </a:extLst>
          </xdr:cNvPr>
          <xdr:cNvSpPr/>
        </xdr:nvSpPr>
        <xdr:spPr>
          <a:xfrm>
            <a:off x="1462086" y="71551806"/>
            <a:ext cx="647698" cy="647698"/>
          </a:xfrm>
          <a:prstGeom prst="rect">
            <a:avLst/>
          </a:prstGeom>
          <a:blipFill>
            <a:blip xmlns:r="http://schemas.openxmlformats.org/officeDocument/2006/relationships" r:embed="rId1"/>
            <a:tile tx="0" ty="0" sx="100000" sy="100000" flip="none" algn="tl"/>
          </a:blip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grpSp>
    <xdr:clientData/>
  </xdr:twoCellAnchor>
  <xdr:twoCellAnchor>
    <xdr:from>
      <xdr:col>11</xdr:col>
      <xdr:colOff>123831</xdr:colOff>
      <xdr:row>98</xdr:row>
      <xdr:rowOff>76349</xdr:rowOff>
    </xdr:from>
    <xdr:to>
      <xdr:col>15</xdr:col>
      <xdr:colOff>95251</xdr:colOff>
      <xdr:row>103</xdr:row>
      <xdr:rowOff>37940</xdr:rowOff>
    </xdr:to>
    <xdr:grpSp>
      <xdr:nvGrpSpPr>
        <xdr:cNvPr id="3367" name="Group 3366">
          <a:extLst>
            <a:ext uri="{FF2B5EF4-FFF2-40B4-BE49-F238E27FC236}">
              <a16:creationId xmlns:a16="http://schemas.microsoft.com/office/drawing/2014/main" id="{F8785A18-93AC-5443-8A38-3FA7523CD958}"/>
            </a:ext>
          </a:extLst>
        </xdr:cNvPr>
        <xdr:cNvGrpSpPr/>
      </xdr:nvGrpSpPr>
      <xdr:grpSpPr>
        <a:xfrm>
          <a:off x="1905006" y="14459099"/>
          <a:ext cx="619120" cy="675966"/>
          <a:chOff x="1905006" y="14411474"/>
          <a:chExt cx="619120" cy="675966"/>
        </a:xfrm>
      </xdr:grpSpPr>
      <xdr:sp macro="" textlink="">
        <xdr:nvSpPr>
          <xdr:cNvPr id="2366" name="Freeform: Shape 2365">
            <a:extLst>
              <a:ext uri="{FF2B5EF4-FFF2-40B4-BE49-F238E27FC236}">
                <a16:creationId xmlns:a16="http://schemas.microsoft.com/office/drawing/2014/main" id="{AF188173-0F55-4958-9376-B012A4341266}"/>
              </a:ext>
            </a:extLst>
          </xdr:cNvPr>
          <xdr:cNvSpPr/>
        </xdr:nvSpPr>
        <xdr:spPr>
          <a:xfrm>
            <a:off x="2019290" y="14411474"/>
            <a:ext cx="504836" cy="675966"/>
          </a:xfrm>
          <a:custGeom>
            <a:avLst/>
            <a:gdLst>
              <a:gd name="connsiteX0" fmla="*/ 481012 w 561975"/>
              <a:gd name="connsiteY0" fmla="*/ 90488 h 752475"/>
              <a:gd name="connsiteX1" fmla="*/ 561975 w 561975"/>
              <a:gd name="connsiteY1" fmla="*/ 0 h 752475"/>
              <a:gd name="connsiteX2" fmla="*/ 0 w 561975"/>
              <a:gd name="connsiteY2" fmla="*/ 209550 h 752475"/>
              <a:gd name="connsiteX3" fmla="*/ 0 w 561975"/>
              <a:gd name="connsiteY3" fmla="*/ 752475 h 752475"/>
              <a:gd name="connsiteX4" fmla="*/ 538162 w 561975"/>
              <a:gd name="connsiteY4" fmla="*/ 752475 h 752475"/>
              <a:gd name="connsiteX5" fmla="*/ 538162 w 561975"/>
              <a:gd name="connsiteY5" fmla="*/ 219075 h 752475"/>
              <a:gd name="connsiteX6" fmla="*/ 452437 w 561975"/>
              <a:gd name="connsiteY6" fmla="*/ 271463 h 75247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561975" h="752475">
                <a:moveTo>
                  <a:pt x="481012" y="90488"/>
                </a:moveTo>
                <a:lnTo>
                  <a:pt x="561975" y="0"/>
                </a:lnTo>
                <a:lnTo>
                  <a:pt x="0" y="209550"/>
                </a:lnTo>
                <a:lnTo>
                  <a:pt x="0" y="752475"/>
                </a:lnTo>
                <a:lnTo>
                  <a:pt x="538162" y="752475"/>
                </a:lnTo>
                <a:lnTo>
                  <a:pt x="538162" y="219075"/>
                </a:lnTo>
                <a:lnTo>
                  <a:pt x="452437" y="271463"/>
                </a:lnTo>
              </a:path>
            </a:pathLst>
          </a:cu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139" name="Freeform: Shape 138">
            <a:extLst>
              <a:ext uri="{FF2B5EF4-FFF2-40B4-BE49-F238E27FC236}">
                <a16:creationId xmlns:a16="http://schemas.microsoft.com/office/drawing/2014/main" id="{91818B7F-AA5C-EE9B-BA88-F07536156E44}"/>
              </a:ext>
            </a:extLst>
          </xdr:cNvPr>
          <xdr:cNvSpPr/>
        </xdr:nvSpPr>
        <xdr:spPr>
          <a:xfrm>
            <a:off x="1905006" y="14692325"/>
            <a:ext cx="581025" cy="209550"/>
          </a:xfrm>
          <a:custGeom>
            <a:avLst/>
            <a:gdLst>
              <a:gd name="connsiteX0" fmla="*/ 514350 w 581025"/>
              <a:gd name="connsiteY0" fmla="*/ 57150 h 209550"/>
              <a:gd name="connsiteX1" fmla="*/ 581025 w 581025"/>
              <a:gd name="connsiteY1" fmla="*/ 0 h 209550"/>
              <a:gd name="connsiteX2" fmla="*/ 500063 w 581025"/>
              <a:gd name="connsiteY2" fmla="*/ 209550 h 209550"/>
              <a:gd name="connsiteX3" fmla="*/ 0 w 581025"/>
              <a:gd name="connsiteY3" fmla="*/ 209550 h 209550"/>
              <a:gd name="connsiteX4" fmla="*/ 0 w 581025"/>
              <a:gd name="connsiteY4" fmla="*/ 47625 h 209550"/>
              <a:gd name="connsiteX5" fmla="*/ 500063 w 581025"/>
              <a:gd name="connsiteY5" fmla="*/ 47625 h 209550"/>
              <a:gd name="connsiteX6" fmla="*/ 452438 w 581025"/>
              <a:gd name="connsiteY6" fmla="*/ 128588 h 20955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581025" h="209550">
                <a:moveTo>
                  <a:pt x="514350" y="57150"/>
                </a:moveTo>
                <a:lnTo>
                  <a:pt x="581025" y="0"/>
                </a:lnTo>
                <a:lnTo>
                  <a:pt x="500063" y="209550"/>
                </a:lnTo>
                <a:lnTo>
                  <a:pt x="0" y="209550"/>
                </a:lnTo>
                <a:lnTo>
                  <a:pt x="0" y="47625"/>
                </a:lnTo>
                <a:lnTo>
                  <a:pt x="500063" y="47625"/>
                </a:lnTo>
                <a:lnTo>
                  <a:pt x="452438" y="128588"/>
                </a:lnTo>
              </a:path>
            </a:pathLst>
          </a:cu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168" name="Freeform: Shape 167">
            <a:extLst>
              <a:ext uri="{FF2B5EF4-FFF2-40B4-BE49-F238E27FC236}">
                <a16:creationId xmlns:a16="http://schemas.microsoft.com/office/drawing/2014/main" id="{CE7D1F9E-4206-4274-A4E5-D68CB781130F}"/>
              </a:ext>
            </a:extLst>
          </xdr:cNvPr>
          <xdr:cNvSpPr/>
        </xdr:nvSpPr>
        <xdr:spPr>
          <a:xfrm rot="16200000">
            <a:off x="1928814" y="14620875"/>
            <a:ext cx="581025" cy="209550"/>
          </a:xfrm>
          <a:custGeom>
            <a:avLst/>
            <a:gdLst>
              <a:gd name="connsiteX0" fmla="*/ 514350 w 581025"/>
              <a:gd name="connsiteY0" fmla="*/ 57150 h 209550"/>
              <a:gd name="connsiteX1" fmla="*/ 581025 w 581025"/>
              <a:gd name="connsiteY1" fmla="*/ 0 h 209550"/>
              <a:gd name="connsiteX2" fmla="*/ 500063 w 581025"/>
              <a:gd name="connsiteY2" fmla="*/ 209550 h 209550"/>
              <a:gd name="connsiteX3" fmla="*/ 0 w 581025"/>
              <a:gd name="connsiteY3" fmla="*/ 209550 h 209550"/>
              <a:gd name="connsiteX4" fmla="*/ 0 w 581025"/>
              <a:gd name="connsiteY4" fmla="*/ 47625 h 209550"/>
              <a:gd name="connsiteX5" fmla="*/ 500063 w 581025"/>
              <a:gd name="connsiteY5" fmla="*/ 47625 h 209550"/>
              <a:gd name="connsiteX6" fmla="*/ 452438 w 581025"/>
              <a:gd name="connsiteY6" fmla="*/ 128588 h 20955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581025" h="209550">
                <a:moveTo>
                  <a:pt x="514350" y="57150"/>
                </a:moveTo>
                <a:lnTo>
                  <a:pt x="581025" y="0"/>
                </a:lnTo>
                <a:lnTo>
                  <a:pt x="500063" y="209550"/>
                </a:lnTo>
                <a:lnTo>
                  <a:pt x="0" y="209550"/>
                </a:lnTo>
                <a:lnTo>
                  <a:pt x="0" y="47625"/>
                </a:lnTo>
                <a:lnTo>
                  <a:pt x="500063" y="47625"/>
                </a:lnTo>
                <a:lnTo>
                  <a:pt x="452438" y="128588"/>
                </a:lnTo>
              </a:path>
            </a:pathLst>
          </a:cu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grpSp>
    <xdr:clientData/>
  </xdr:twoCellAnchor>
  <xdr:twoCellAnchor>
    <xdr:from>
      <xdr:col>11</xdr:col>
      <xdr:colOff>123825</xdr:colOff>
      <xdr:row>286</xdr:row>
      <xdr:rowOff>76200</xdr:rowOff>
    </xdr:from>
    <xdr:to>
      <xdr:col>15</xdr:col>
      <xdr:colOff>95245</xdr:colOff>
      <xdr:row>291</xdr:row>
      <xdr:rowOff>37791</xdr:rowOff>
    </xdr:to>
    <xdr:grpSp>
      <xdr:nvGrpSpPr>
        <xdr:cNvPr id="3370" name="Group 3369">
          <a:extLst>
            <a:ext uri="{FF2B5EF4-FFF2-40B4-BE49-F238E27FC236}">
              <a16:creationId xmlns:a16="http://schemas.microsoft.com/office/drawing/2014/main" id="{6D61C6F1-6D32-4FFB-BFA6-B08754BFFD56}"/>
            </a:ext>
          </a:extLst>
        </xdr:cNvPr>
        <xdr:cNvGrpSpPr/>
      </xdr:nvGrpSpPr>
      <xdr:grpSpPr>
        <a:xfrm>
          <a:off x="1905000" y="41814750"/>
          <a:ext cx="619120" cy="675966"/>
          <a:chOff x="1905006" y="14411474"/>
          <a:chExt cx="619120" cy="675966"/>
        </a:xfrm>
      </xdr:grpSpPr>
      <xdr:sp macro="" textlink="">
        <xdr:nvSpPr>
          <xdr:cNvPr id="3373" name="Freeform: Shape 3372">
            <a:extLst>
              <a:ext uri="{FF2B5EF4-FFF2-40B4-BE49-F238E27FC236}">
                <a16:creationId xmlns:a16="http://schemas.microsoft.com/office/drawing/2014/main" id="{984249F4-D935-02E6-6915-FDE3830FA5C8}"/>
              </a:ext>
            </a:extLst>
          </xdr:cNvPr>
          <xdr:cNvSpPr/>
        </xdr:nvSpPr>
        <xdr:spPr>
          <a:xfrm>
            <a:off x="2019290" y="14411474"/>
            <a:ext cx="504836" cy="675966"/>
          </a:xfrm>
          <a:custGeom>
            <a:avLst/>
            <a:gdLst>
              <a:gd name="connsiteX0" fmla="*/ 481012 w 561975"/>
              <a:gd name="connsiteY0" fmla="*/ 90488 h 752475"/>
              <a:gd name="connsiteX1" fmla="*/ 561975 w 561975"/>
              <a:gd name="connsiteY1" fmla="*/ 0 h 752475"/>
              <a:gd name="connsiteX2" fmla="*/ 0 w 561975"/>
              <a:gd name="connsiteY2" fmla="*/ 209550 h 752475"/>
              <a:gd name="connsiteX3" fmla="*/ 0 w 561975"/>
              <a:gd name="connsiteY3" fmla="*/ 752475 h 752475"/>
              <a:gd name="connsiteX4" fmla="*/ 538162 w 561975"/>
              <a:gd name="connsiteY4" fmla="*/ 752475 h 752475"/>
              <a:gd name="connsiteX5" fmla="*/ 538162 w 561975"/>
              <a:gd name="connsiteY5" fmla="*/ 219075 h 752475"/>
              <a:gd name="connsiteX6" fmla="*/ 452437 w 561975"/>
              <a:gd name="connsiteY6" fmla="*/ 271463 h 75247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561975" h="752475">
                <a:moveTo>
                  <a:pt x="481012" y="90488"/>
                </a:moveTo>
                <a:lnTo>
                  <a:pt x="561975" y="0"/>
                </a:lnTo>
                <a:lnTo>
                  <a:pt x="0" y="209550"/>
                </a:lnTo>
                <a:lnTo>
                  <a:pt x="0" y="752475"/>
                </a:lnTo>
                <a:lnTo>
                  <a:pt x="538162" y="752475"/>
                </a:lnTo>
                <a:lnTo>
                  <a:pt x="538162" y="219075"/>
                </a:lnTo>
                <a:lnTo>
                  <a:pt x="452437" y="271463"/>
                </a:lnTo>
              </a:path>
            </a:pathLst>
          </a:cu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3376" name="Freeform: Shape 3375">
            <a:extLst>
              <a:ext uri="{FF2B5EF4-FFF2-40B4-BE49-F238E27FC236}">
                <a16:creationId xmlns:a16="http://schemas.microsoft.com/office/drawing/2014/main" id="{EC8AF180-8577-83F8-DE82-AA7CEECAAC80}"/>
              </a:ext>
            </a:extLst>
          </xdr:cNvPr>
          <xdr:cNvSpPr/>
        </xdr:nvSpPr>
        <xdr:spPr>
          <a:xfrm>
            <a:off x="1905006" y="14692325"/>
            <a:ext cx="581025" cy="209550"/>
          </a:xfrm>
          <a:custGeom>
            <a:avLst/>
            <a:gdLst>
              <a:gd name="connsiteX0" fmla="*/ 514350 w 581025"/>
              <a:gd name="connsiteY0" fmla="*/ 57150 h 209550"/>
              <a:gd name="connsiteX1" fmla="*/ 581025 w 581025"/>
              <a:gd name="connsiteY1" fmla="*/ 0 h 209550"/>
              <a:gd name="connsiteX2" fmla="*/ 500063 w 581025"/>
              <a:gd name="connsiteY2" fmla="*/ 209550 h 209550"/>
              <a:gd name="connsiteX3" fmla="*/ 0 w 581025"/>
              <a:gd name="connsiteY3" fmla="*/ 209550 h 209550"/>
              <a:gd name="connsiteX4" fmla="*/ 0 w 581025"/>
              <a:gd name="connsiteY4" fmla="*/ 47625 h 209550"/>
              <a:gd name="connsiteX5" fmla="*/ 500063 w 581025"/>
              <a:gd name="connsiteY5" fmla="*/ 47625 h 209550"/>
              <a:gd name="connsiteX6" fmla="*/ 452438 w 581025"/>
              <a:gd name="connsiteY6" fmla="*/ 128588 h 20955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581025" h="209550">
                <a:moveTo>
                  <a:pt x="514350" y="57150"/>
                </a:moveTo>
                <a:lnTo>
                  <a:pt x="581025" y="0"/>
                </a:lnTo>
                <a:lnTo>
                  <a:pt x="500063" y="209550"/>
                </a:lnTo>
                <a:lnTo>
                  <a:pt x="0" y="209550"/>
                </a:lnTo>
                <a:lnTo>
                  <a:pt x="0" y="47625"/>
                </a:lnTo>
                <a:lnTo>
                  <a:pt x="500063" y="47625"/>
                </a:lnTo>
                <a:lnTo>
                  <a:pt x="452438" y="128588"/>
                </a:lnTo>
              </a:path>
            </a:pathLst>
          </a:cu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3377" name="Freeform: Shape 3376">
            <a:extLst>
              <a:ext uri="{FF2B5EF4-FFF2-40B4-BE49-F238E27FC236}">
                <a16:creationId xmlns:a16="http://schemas.microsoft.com/office/drawing/2014/main" id="{A74EFADB-2D1F-1A3E-8405-23347470D115}"/>
              </a:ext>
            </a:extLst>
          </xdr:cNvPr>
          <xdr:cNvSpPr/>
        </xdr:nvSpPr>
        <xdr:spPr>
          <a:xfrm rot="16200000">
            <a:off x="1928814" y="14620875"/>
            <a:ext cx="581025" cy="209550"/>
          </a:xfrm>
          <a:custGeom>
            <a:avLst/>
            <a:gdLst>
              <a:gd name="connsiteX0" fmla="*/ 514350 w 581025"/>
              <a:gd name="connsiteY0" fmla="*/ 57150 h 209550"/>
              <a:gd name="connsiteX1" fmla="*/ 581025 w 581025"/>
              <a:gd name="connsiteY1" fmla="*/ 0 h 209550"/>
              <a:gd name="connsiteX2" fmla="*/ 500063 w 581025"/>
              <a:gd name="connsiteY2" fmla="*/ 209550 h 209550"/>
              <a:gd name="connsiteX3" fmla="*/ 0 w 581025"/>
              <a:gd name="connsiteY3" fmla="*/ 209550 h 209550"/>
              <a:gd name="connsiteX4" fmla="*/ 0 w 581025"/>
              <a:gd name="connsiteY4" fmla="*/ 47625 h 209550"/>
              <a:gd name="connsiteX5" fmla="*/ 500063 w 581025"/>
              <a:gd name="connsiteY5" fmla="*/ 47625 h 209550"/>
              <a:gd name="connsiteX6" fmla="*/ 452438 w 581025"/>
              <a:gd name="connsiteY6" fmla="*/ 128588 h 20955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581025" h="209550">
                <a:moveTo>
                  <a:pt x="514350" y="57150"/>
                </a:moveTo>
                <a:lnTo>
                  <a:pt x="581025" y="0"/>
                </a:lnTo>
                <a:lnTo>
                  <a:pt x="500063" y="209550"/>
                </a:lnTo>
                <a:lnTo>
                  <a:pt x="0" y="209550"/>
                </a:lnTo>
                <a:lnTo>
                  <a:pt x="0" y="47625"/>
                </a:lnTo>
                <a:lnTo>
                  <a:pt x="500063" y="47625"/>
                </a:lnTo>
                <a:lnTo>
                  <a:pt x="452438" y="128588"/>
                </a:lnTo>
              </a:path>
            </a:pathLst>
          </a:cu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grpSp>
    <xdr:clientData/>
  </xdr:twoCellAnchor>
  <xdr:twoCellAnchor>
    <xdr:from>
      <xdr:col>11</xdr:col>
      <xdr:colOff>123825</xdr:colOff>
      <xdr:row>479</xdr:row>
      <xdr:rowOff>85725</xdr:rowOff>
    </xdr:from>
    <xdr:to>
      <xdr:col>15</xdr:col>
      <xdr:colOff>95245</xdr:colOff>
      <xdr:row>484</xdr:row>
      <xdr:rowOff>47316</xdr:rowOff>
    </xdr:to>
    <xdr:grpSp>
      <xdr:nvGrpSpPr>
        <xdr:cNvPr id="3378" name="Group 3377">
          <a:extLst>
            <a:ext uri="{FF2B5EF4-FFF2-40B4-BE49-F238E27FC236}">
              <a16:creationId xmlns:a16="http://schemas.microsoft.com/office/drawing/2014/main" id="{65D9555F-5C68-44B5-8733-85586666D7BA}"/>
            </a:ext>
          </a:extLst>
        </xdr:cNvPr>
        <xdr:cNvGrpSpPr/>
      </xdr:nvGrpSpPr>
      <xdr:grpSpPr>
        <a:xfrm>
          <a:off x="1905000" y="69818250"/>
          <a:ext cx="619120" cy="675966"/>
          <a:chOff x="1905006" y="14411474"/>
          <a:chExt cx="619120" cy="675966"/>
        </a:xfrm>
      </xdr:grpSpPr>
      <xdr:sp macro="" textlink="">
        <xdr:nvSpPr>
          <xdr:cNvPr id="3379" name="Freeform: Shape 3378">
            <a:extLst>
              <a:ext uri="{FF2B5EF4-FFF2-40B4-BE49-F238E27FC236}">
                <a16:creationId xmlns:a16="http://schemas.microsoft.com/office/drawing/2014/main" id="{1CA4A4CE-74B9-BEAD-3392-C2724E44B8EB}"/>
              </a:ext>
            </a:extLst>
          </xdr:cNvPr>
          <xdr:cNvSpPr/>
        </xdr:nvSpPr>
        <xdr:spPr>
          <a:xfrm>
            <a:off x="2019290" y="14411474"/>
            <a:ext cx="504836" cy="675966"/>
          </a:xfrm>
          <a:custGeom>
            <a:avLst/>
            <a:gdLst>
              <a:gd name="connsiteX0" fmla="*/ 481012 w 561975"/>
              <a:gd name="connsiteY0" fmla="*/ 90488 h 752475"/>
              <a:gd name="connsiteX1" fmla="*/ 561975 w 561975"/>
              <a:gd name="connsiteY1" fmla="*/ 0 h 752475"/>
              <a:gd name="connsiteX2" fmla="*/ 0 w 561975"/>
              <a:gd name="connsiteY2" fmla="*/ 209550 h 752475"/>
              <a:gd name="connsiteX3" fmla="*/ 0 w 561975"/>
              <a:gd name="connsiteY3" fmla="*/ 752475 h 752475"/>
              <a:gd name="connsiteX4" fmla="*/ 538162 w 561975"/>
              <a:gd name="connsiteY4" fmla="*/ 752475 h 752475"/>
              <a:gd name="connsiteX5" fmla="*/ 538162 w 561975"/>
              <a:gd name="connsiteY5" fmla="*/ 219075 h 752475"/>
              <a:gd name="connsiteX6" fmla="*/ 452437 w 561975"/>
              <a:gd name="connsiteY6" fmla="*/ 271463 h 75247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561975" h="752475">
                <a:moveTo>
                  <a:pt x="481012" y="90488"/>
                </a:moveTo>
                <a:lnTo>
                  <a:pt x="561975" y="0"/>
                </a:lnTo>
                <a:lnTo>
                  <a:pt x="0" y="209550"/>
                </a:lnTo>
                <a:lnTo>
                  <a:pt x="0" y="752475"/>
                </a:lnTo>
                <a:lnTo>
                  <a:pt x="538162" y="752475"/>
                </a:lnTo>
                <a:lnTo>
                  <a:pt x="538162" y="219075"/>
                </a:lnTo>
                <a:lnTo>
                  <a:pt x="452437" y="271463"/>
                </a:lnTo>
              </a:path>
            </a:pathLst>
          </a:cu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3384" name="Freeform: Shape 3383">
            <a:extLst>
              <a:ext uri="{FF2B5EF4-FFF2-40B4-BE49-F238E27FC236}">
                <a16:creationId xmlns:a16="http://schemas.microsoft.com/office/drawing/2014/main" id="{2A5A7487-848A-F01F-B25E-9B3B83F5A7C5}"/>
              </a:ext>
            </a:extLst>
          </xdr:cNvPr>
          <xdr:cNvSpPr/>
        </xdr:nvSpPr>
        <xdr:spPr>
          <a:xfrm>
            <a:off x="1905006" y="14692325"/>
            <a:ext cx="581025" cy="209550"/>
          </a:xfrm>
          <a:custGeom>
            <a:avLst/>
            <a:gdLst>
              <a:gd name="connsiteX0" fmla="*/ 514350 w 581025"/>
              <a:gd name="connsiteY0" fmla="*/ 57150 h 209550"/>
              <a:gd name="connsiteX1" fmla="*/ 581025 w 581025"/>
              <a:gd name="connsiteY1" fmla="*/ 0 h 209550"/>
              <a:gd name="connsiteX2" fmla="*/ 500063 w 581025"/>
              <a:gd name="connsiteY2" fmla="*/ 209550 h 209550"/>
              <a:gd name="connsiteX3" fmla="*/ 0 w 581025"/>
              <a:gd name="connsiteY3" fmla="*/ 209550 h 209550"/>
              <a:gd name="connsiteX4" fmla="*/ 0 w 581025"/>
              <a:gd name="connsiteY4" fmla="*/ 47625 h 209550"/>
              <a:gd name="connsiteX5" fmla="*/ 500063 w 581025"/>
              <a:gd name="connsiteY5" fmla="*/ 47625 h 209550"/>
              <a:gd name="connsiteX6" fmla="*/ 452438 w 581025"/>
              <a:gd name="connsiteY6" fmla="*/ 128588 h 20955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581025" h="209550">
                <a:moveTo>
                  <a:pt x="514350" y="57150"/>
                </a:moveTo>
                <a:lnTo>
                  <a:pt x="581025" y="0"/>
                </a:lnTo>
                <a:lnTo>
                  <a:pt x="500063" y="209550"/>
                </a:lnTo>
                <a:lnTo>
                  <a:pt x="0" y="209550"/>
                </a:lnTo>
                <a:lnTo>
                  <a:pt x="0" y="47625"/>
                </a:lnTo>
                <a:lnTo>
                  <a:pt x="500063" y="47625"/>
                </a:lnTo>
                <a:lnTo>
                  <a:pt x="452438" y="128588"/>
                </a:lnTo>
              </a:path>
            </a:pathLst>
          </a:cu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3386" name="Freeform: Shape 3385">
            <a:extLst>
              <a:ext uri="{FF2B5EF4-FFF2-40B4-BE49-F238E27FC236}">
                <a16:creationId xmlns:a16="http://schemas.microsoft.com/office/drawing/2014/main" id="{9A57B111-9576-EFE8-B53C-3A3E983859B0}"/>
              </a:ext>
            </a:extLst>
          </xdr:cNvPr>
          <xdr:cNvSpPr/>
        </xdr:nvSpPr>
        <xdr:spPr>
          <a:xfrm rot="16200000">
            <a:off x="1928814" y="14620875"/>
            <a:ext cx="581025" cy="209550"/>
          </a:xfrm>
          <a:custGeom>
            <a:avLst/>
            <a:gdLst>
              <a:gd name="connsiteX0" fmla="*/ 514350 w 581025"/>
              <a:gd name="connsiteY0" fmla="*/ 57150 h 209550"/>
              <a:gd name="connsiteX1" fmla="*/ 581025 w 581025"/>
              <a:gd name="connsiteY1" fmla="*/ 0 h 209550"/>
              <a:gd name="connsiteX2" fmla="*/ 500063 w 581025"/>
              <a:gd name="connsiteY2" fmla="*/ 209550 h 209550"/>
              <a:gd name="connsiteX3" fmla="*/ 0 w 581025"/>
              <a:gd name="connsiteY3" fmla="*/ 209550 h 209550"/>
              <a:gd name="connsiteX4" fmla="*/ 0 w 581025"/>
              <a:gd name="connsiteY4" fmla="*/ 47625 h 209550"/>
              <a:gd name="connsiteX5" fmla="*/ 500063 w 581025"/>
              <a:gd name="connsiteY5" fmla="*/ 47625 h 209550"/>
              <a:gd name="connsiteX6" fmla="*/ 452438 w 581025"/>
              <a:gd name="connsiteY6" fmla="*/ 128588 h 20955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581025" h="209550">
                <a:moveTo>
                  <a:pt x="514350" y="57150"/>
                </a:moveTo>
                <a:lnTo>
                  <a:pt x="581025" y="0"/>
                </a:lnTo>
                <a:lnTo>
                  <a:pt x="500063" y="209550"/>
                </a:lnTo>
                <a:lnTo>
                  <a:pt x="0" y="209550"/>
                </a:lnTo>
                <a:lnTo>
                  <a:pt x="0" y="47625"/>
                </a:lnTo>
                <a:lnTo>
                  <a:pt x="500063" y="47625"/>
                </a:lnTo>
                <a:lnTo>
                  <a:pt x="452438" y="128588"/>
                </a:lnTo>
              </a:path>
            </a:pathLst>
          </a:cu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grpSp>
    <xdr:clientData/>
  </xdr:twoCellAnchor>
  <xdr:twoCellAnchor>
    <xdr:from>
      <xdr:col>11</xdr:col>
      <xdr:colOff>133350</xdr:colOff>
      <xdr:row>668</xdr:row>
      <xdr:rowOff>85725</xdr:rowOff>
    </xdr:from>
    <xdr:to>
      <xdr:col>15</xdr:col>
      <xdr:colOff>104770</xdr:colOff>
      <xdr:row>673</xdr:row>
      <xdr:rowOff>47316</xdr:rowOff>
    </xdr:to>
    <xdr:grpSp>
      <xdr:nvGrpSpPr>
        <xdr:cNvPr id="3387" name="Group 3386">
          <a:extLst>
            <a:ext uri="{FF2B5EF4-FFF2-40B4-BE49-F238E27FC236}">
              <a16:creationId xmlns:a16="http://schemas.microsoft.com/office/drawing/2014/main" id="{9F56B360-7674-4385-8D66-3332BAF7F649}"/>
            </a:ext>
          </a:extLst>
        </xdr:cNvPr>
        <xdr:cNvGrpSpPr/>
      </xdr:nvGrpSpPr>
      <xdr:grpSpPr>
        <a:xfrm>
          <a:off x="1914525" y="97269300"/>
          <a:ext cx="619120" cy="675966"/>
          <a:chOff x="1905006" y="14411474"/>
          <a:chExt cx="619120" cy="675966"/>
        </a:xfrm>
      </xdr:grpSpPr>
      <xdr:sp macro="" textlink="">
        <xdr:nvSpPr>
          <xdr:cNvPr id="3388" name="Freeform: Shape 3387">
            <a:extLst>
              <a:ext uri="{FF2B5EF4-FFF2-40B4-BE49-F238E27FC236}">
                <a16:creationId xmlns:a16="http://schemas.microsoft.com/office/drawing/2014/main" id="{F51576CE-8B6D-7762-F8BD-C03EC35BF138}"/>
              </a:ext>
            </a:extLst>
          </xdr:cNvPr>
          <xdr:cNvSpPr/>
        </xdr:nvSpPr>
        <xdr:spPr>
          <a:xfrm>
            <a:off x="2019290" y="14411474"/>
            <a:ext cx="504836" cy="675966"/>
          </a:xfrm>
          <a:custGeom>
            <a:avLst/>
            <a:gdLst>
              <a:gd name="connsiteX0" fmla="*/ 481012 w 561975"/>
              <a:gd name="connsiteY0" fmla="*/ 90488 h 752475"/>
              <a:gd name="connsiteX1" fmla="*/ 561975 w 561975"/>
              <a:gd name="connsiteY1" fmla="*/ 0 h 752475"/>
              <a:gd name="connsiteX2" fmla="*/ 0 w 561975"/>
              <a:gd name="connsiteY2" fmla="*/ 209550 h 752475"/>
              <a:gd name="connsiteX3" fmla="*/ 0 w 561975"/>
              <a:gd name="connsiteY3" fmla="*/ 752475 h 752475"/>
              <a:gd name="connsiteX4" fmla="*/ 538162 w 561975"/>
              <a:gd name="connsiteY4" fmla="*/ 752475 h 752475"/>
              <a:gd name="connsiteX5" fmla="*/ 538162 w 561975"/>
              <a:gd name="connsiteY5" fmla="*/ 219075 h 752475"/>
              <a:gd name="connsiteX6" fmla="*/ 452437 w 561975"/>
              <a:gd name="connsiteY6" fmla="*/ 271463 h 75247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561975" h="752475">
                <a:moveTo>
                  <a:pt x="481012" y="90488"/>
                </a:moveTo>
                <a:lnTo>
                  <a:pt x="561975" y="0"/>
                </a:lnTo>
                <a:lnTo>
                  <a:pt x="0" y="209550"/>
                </a:lnTo>
                <a:lnTo>
                  <a:pt x="0" y="752475"/>
                </a:lnTo>
                <a:lnTo>
                  <a:pt x="538162" y="752475"/>
                </a:lnTo>
                <a:lnTo>
                  <a:pt x="538162" y="219075"/>
                </a:lnTo>
                <a:lnTo>
                  <a:pt x="452437" y="271463"/>
                </a:lnTo>
              </a:path>
            </a:pathLst>
          </a:cu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3394" name="Freeform: Shape 3393">
            <a:extLst>
              <a:ext uri="{FF2B5EF4-FFF2-40B4-BE49-F238E27FC236}">
                <a16:creationId xmlns:a16="http://schemas.microsoft.com/office/drawing/2014/main" id="{01A0A216-DC39-D5B8-D1C5-292FBC383E88}"/>
              </a:ext>
            </a:extLst>
          </xdr:cNvPr>
          <xdr:cNvSpPr/>
        </xdr:nvSpPr>
        <xdr:spPr>
          <a:xfrm>
            <a:off x="1905006" y="14692325"/>
            <a:ext cx="581025" cy="209550"/>
          </a:xfrm>
          <a:custGeom>
            <a:avLst/>
            <a:gdLst>
              <a:gd name="connsiteX0" fmla="*/ 514350 w 581025"/>
              <a:gd name="connsiteY0" fmla="*/ 57150 h 209550"/>
              <a:gd name="connsiteX1" fmla="*/ 581025 w 581025"/>
              <a:gd name="connsiteY1" fmla="*/ 0 h 209550"/>
              <a:gd name="connsiteX2" fmla="*/ 500063 w 581025"/>
              <a:gd name="connsiteY2" fmla="*/ 209550 h 209550"/>
              <a:gd name="connsiteX3" fmla="*/ 0 w 581025"/>
              <a:gd name="connsiteY3" fmla="*/ 209550 h 209550"/>
              <a:gd name="connsiteX4" fmla="*/ 0 w 581025"/>
              <a:gd name="connsiteY4" fmla="*/ 47625 h 209550"/>
              <a:gd name="connsiteX5" fmla="*/ 500063 w 581025"/>
              <a:gd name="connsiteY5" fmla="*/ 47625 h 209550"/>
              <a:gd name="connsiteX6" fmla="*/ 452438 w 581025"/>
              <a:gd name="connsiteY6" fmla="*/ 128588 h 20955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581025" h="209550">
                <a:moveTo>
                  <a:pt x="514350" y="57150"/>
                </a:moveTo>
                <a:lnTo>
                  <a:pt x="581025" y="0"/>
                </a:lnTo>
                <a:lnTo>
                  <a:pt x="500063" y="209550"/>
                </a:lnTo>
                <a:lnTo>
                  <a:pt x="0" y="209550"/>
                </a:lnTo>
                <a:lnTo>
                  <a:pt x="0" y="47625"/>
                </a:lnTo>
                <a:lnTo>
                  <a:pt x="500063" y="47625"/>
                </a:lnTo>
                <a:lnTo>
                  <a:pt x="452438" y="128588"/>
                </a:lnTo>
              </a:path>
            </a:pathLst>
          </a:cu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3395" name="Freeform: Shape 3394">
            <a:extLst>
              <a:ext uri="{FF2B5EF4-FFF2-40B4-BE49-F238E27FC236}">
                <a16:creationId xmlns:a16="http://schemas.microsoft.com/office/drawing/2014/main" id="{DB0C8932-F60E-3A54-D502-BCBF848D9930}"/>
              </a:ext>
            </a:extLst>
          </xdr:cNvPr>
          <xdr:cNvSpPr/>
        </xdr:nvSpPr>
        <xdr:spPr>
          <a:xfrm rot="16200000">
            <a:off x="1928814" y="14620875"/>
            <a:ext cx="581025" cy="209550"/>
          </a:xfrm>
          <a:custGeom>
            <a:avLst/>
            <a:gdLst>
              <a:gd name="connsiteX0" fmla="*/ 514350 w 581025"/>
              <a:gd name="connsiteY0" fmla="*/ 57150 h 209550"/>
              <a:gd name="connsiteX1" fmla="*/ 581025 w 581025"/>
              <a:gd name="connsiteY1" fmla="*/ 0 h 209550"/>
              <a:gd name="connsiteX2" fmla="*/ 500063 w 581025"/>
              <a:gd name="connsiteY2" fmla="*/ 209550 h 209550"/>
              <a:gd name="connsiteX3" fmla="*/ 0 w 581025"/>
              <a:gd name="connsiteY3" fmla="*/ 209550 h 209550"/>
              <a:gd name="connsiteX4" fmla="*/ 0 w 581025"/>
              <a:gd name="connsiteY4" fmla="*/ 47625 h 209550"/>
              <a:gd name="connsiteX5" fmla="*/ 500063 w 581025"/>
              <a:gd name="connsiteY5" fmla="*/ 47625 h 209550"/>
              <a:gd name="connsiteX6" fmla="*/ 452438 w 581025"/>
              <a:gd name="connsiteY6" fmla="*/ 128588 h 20955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581025" h="209550">
                <a:moveTo>
                  <a:pt x="514350" y="57150"/>
                </a:moveTo>
                <a:lnTo>
                  <a:pt x="581025" y="0"/>
                </a:lnTo>
                <a:lnTo>
                  <a:pt x="500063" y="209550"/>
                </a:lnTo>
                <a:lnTo>
                  <a:pt x="0" y="209550"/>
                </a:lnTo>
                <a:lnTo>
                  <a:pt x="0" y="47625"/>
                </a:lnTo>
                <a:lnTo>
                  <a:pt x="500063" y="47625"/>
                </a:lnTo>
                <a:lnTo>
                  <a:pt x="452438" y="128588"/>
                </a:lnTo>
              </a:path>
            </a:pathLst>
          </a:cu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grpSp>
    <xdr:clientData/>
  </xdr:twoCellAnchor>
  <xdr:twoCellAnchor>
    <xdr:from>
      <xdr:col>11</xdr:col>
      <xdr:colOff>133350</xdr:colOff>
      <xdr:row>863</xdr:row>
      <xdr:rowOff>85725</xdr:rowOff>
    </xdr:from>
    <xdr:to>
      <xdr:col>15</xdr:col>
      <xdr:colOff>104770</xdr:colOff>
      <xdr:row>868</xdr:row>
      <xdr:rowOff>47316</xdr:rowOff>
    </xdr:to>
    <xdr:grpSp>
      <xdr:nvGrpSpPr>
        <xdr:cNvPr id="3396" name="Group 3395">
          <a:extLst>
            <a:ext uri="{FF2B5EF4-FFF2-40B4-BE49-F238E27FC236}">
              <a16:creationId xmlns:a16="http://schemas.microsoft.com/office/drawing/2014/main" id="{1407667C-8B16-42EB-BB4B-4FB6DB075493}"/>
            </a:ext>
          </a:extLst>
        </xdr:cNvPr>
        <xdr:cNvGrpSpPr/>
      </xdr:nvGrpSpPr>
      <xdr:grpSpPr>
        <a:xfrm>
          <a:off x="1914525" y="125568075"/>
          <a:ext cx="619120" cy="675966"/>
          <a:chOff x="1905006" y="14411474"/>
          <a:chExt cx="619120" cy="675966"/>
        </a:xfrm>
      </xdr:grpSpPr>
      <xdr:sp macro="" textlink="">
        <xdr:nvSpPr>
          <xdr:cNvPr id="3398" name="Freeform: Shape 3397">
            <a:extLst>
              <a:ext uri="{FF2B5EF4-FFF2-40B4-BE49-F238E27FC236}">
                <a16:creationId xmlns:a16="http://schemas.microsoft.com/office/drawing/2014/main" id="{19654296-2349-EAD3-1AF3-E50FA1D5A7E6}"/>
              </a:ext>
            </a:extLst>
          </xdr:cNvPr>
          <xdr:cNvSpPr/>
        </xdr:nvSpPr>
        <xdr:spPr>
          <a:xfrm>
            <a:off x="2019290" y="14411474"/>
            <a:ext cx="504836" cy="675966"/>
          </a:xfrm>
          <a:custGeom>
            <a:avLst/>
            <a:gdLst>
              <a:gd name="connsiteX0" fmla="*/ 481012 w 561975"/>
              <a:gd name="connsiteY0" fmla="*/ 90488 h 752475"/>
              <a:gd name="connsiteX1" fmla="*/ 561975 w 561975"/>
              <a:gd name="connsiteY1" fmla="*/ 0 h 752475"/>
              <a:gd name="connsiteX2" fmla="*/ 0 w 561975"/>
              <a:gd name="connsiteY2" fmla="*/ 209550 h 752475"/>
              <a:gd name="connsiteX3" fmla="*/ 0 w 561975"/>
              <a:gd name="connsiteY3" fmla="*/ 752475 h 752475"/>
              <a:gd name="connsiteX4" fmla="*/ 538162 w 561975"/>
              <a:gd name="connsiteY4" fmla="*/ 752475 h 752475"/>
              <a:gd name="connsiteX5" fmla="*/ 538162 w 561975"/>
              <a:gd name="connsiteY5" fmla="*/ 219075 h 752475"/>
              <a:gd name="connsiteX6" fmla="*/ 452437 w 561975"/>
              <a:gd name="connsiteY6" fmla="*/ 271463 h 75247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561975" h="752475">
                <a:moveTo>
                  <a:pt x="481012" y="90488"/>
                </a:moveTo>
                <a:lnTo>
                  <a:pt x="561975" y="0"/>
                </a:lnTo>
                <a:lnTo>
                  <a:pt x="0" y="209550"/>
                </a:lnTo>
                <a:lnTo>
                  <a:pt x="0" y="752475"/>
                </a:lnTo>
                <a:lnTo>
                  <a:pt x="538162" y="752475"/>
                </a:lnTo>
                <a:lnTo>
                  <a:pt x="538162" y="219075"/>
                </a:lnTo>
                <a:lnTo>
                  <a:pt x="452437" y="271463"/>
                </a:lnTo>
              </a:path>
            </a:pathLst>
          </a:cu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3399" name="Freeform: Shape 3398">
            <a:extLst>
              <a:ext uri="{FF2B5EF4-FFF2-40B4-BE49-F238E27FC236}">
                <a16:creationId xmlns:a16="http://schemas.microsoft.com/office/drawing/2014/main" id="{289D2626-68E5-EA1B-153E-4F848D95D4B3}"/>
              </a:ext>
            </a:extLst>
          </xdr:cNvPr>
          <xdr:cNvSpPr/>
        </xdr:nvSpPr>
        <xdr:spPr>
          <a:xfrm>
            <a:off x="1905006" y="14692325"/>
            <a:ext cx="581025" cy="209550"/>
          </a:xfrm>
          <a:custGeom>
            <a:avLst/>
            <a:gdLst>
              <a:gd name="connsiteX0" fmla="*/ 514350 w 581025"/>
              <a:gd name="connsiteY0" fmla="*/ 57150 h 209550"/>
              <a:gd name="connsiteX1" fmla="*/ 581025 w 581025"/>
              <a:gd name="connsiteY1" fmla="*/ 0 h 209550"/>
              <a:gd name="connsiteX2" fmla="*/ 500063 w 581025"/>
              <a:gd name="connsiteY2" fmla="*/ 209550 h 209550"/>
              <a:gd name="connsiteX3" fmla="*/ 0 w 581025"/>
              <a:gd name="connsiteY3" fmla="*/ 209550 h 209550"/>
              <a:gd name="connsiteX4" fmla="*/ 0 w 581025"/>
              <a:gd name="connsiteY4" fmla="*/ 47625 h 209550"/>
              <a:gd name="connsiteX5" fmla="*/ 500063 w 581025"/>
              <a:gd name="connsiteY5" fmla="*/ 47625 h 209550"/>
              <a:gd name="connsiteX6" fmla="*/ 452438 w 581025"/>
              <a:gd name="connsiteY6" fmla="*/ 128588 h 20955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581025" h="209550">
                <a:moveTo>
                  <a:pt x="514350" y="57150"/>
                </a:moveTo>
                <a:lnTo>
                  <a:pt x="581025" y="0"/>
                </a:lnTo>
                <a:lnTo>
                  <a:pt x="500063" y="209550"/>
                </a:lnTo>
                <a:lnTo>
                  <a:pt x="0" y="209550"/>
                </a:lnTo>
                <a:lnTo>
                  <a:pt x="0" y="47625"/>
                </a:lnTo>
                <a:lnTo>
                  <a:pt x="500063" y="47625"/>
                </a:lnTo>
                <a:lnTo>
                  <a:pt x="452438" y="128588"/>
                </a:lnTo>
              </a:path>
            </a:pathLst>
          </a:cu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sp macro="" textlink="">
        <xdr:nvSpPr>
          <xdr:cNvPr id="3401" name="Freeform: Shape 3400">
            <a:extLst>
              <a:ext uri="{FF2B5EF4-FFF2-40B4-BE49-F238E27FC236}">
                <a16:creationId xmlns:a16="http://schemas.microsoft.com/office/drawing/2014/main" id="{DB521174-0BAF-B004-3BF7-DE53EF09F98E}"/>
              </a:ext>
            </a:extLst>
          </xdr:cNvPr>
          <xdr:cNvSpPr/>
        </xdr:nvSpPr>
        <xdr:spPr>
          <a:xfrm rot="16200000">
            <a:off x="1928814" y="14620875"/>
            <a:ext cx="581025" cy="209550"/>
          </a:xfrm>
          <a:custGeom>
            <a:avLst/>
            <a:gdLst>
              <a:gd name="connsiteX0" fmla="*/ 514350 w 581025"/>
              <a:gd name="connsiteY0" fmla="*/ 57150 h 209550"/>
              <a:gd name="connsiteX1" fmla="*/ 581025 w 581025"/>
              <a:gd name="connsiteY1" fmla="*/ 0 h 209550"/>
              <a:gd name="connsiteX2" fmla="*/ 500063 w 581025"/>
              <a:gd name="connsiteY2" fmla="*/ 209550 h 209550"/>
              <a:gd name="connsiteX3" fmla="*/ 0 w 581025"/>
              <a:gd name="connsiteY3" fmla="*/ 209550 h 209550"/>
              <a:gd name="connsiteX4" fmla="*/ 0 w 581025"/>
              <a:gd name="connsiteY4" fmla="*/ 47625 h 209550"/>
              <a:gd name="connsiteX5" fmla="*/ 500063 w 581025"/>
              <a:gd name="connsiteY5" fmla="*/ 47625 h 209550"/>
              <a:gd name="connsiteX6" fmla="*/ 452438 w 581025"/>
              <a:gd name="connsiteY6" fmla="*/ 128588 h 20955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581025" h="209550">
                <a:moveTo>
                  <a:pt x="514350" y="57150"/>
                </a:moveTo>
                <a:lnTo>
                  <a:pt x="581025" y="0"/>
                </a:lnTo>
                <a:lnTo>
                  <a:pt x="500063" y="209550"/>
                </a:lnTo>
                <a:lnTo>
                  <a:pt x="0" y="209550"/>
                </a:lnTo>
                <a:lnTo>
                  <a:pt x="0" y="47625"/>
                </a:lnTo>
                <a:lnTo>
                  <a:pt x="500063" y="47625"/>
                </a:lnTo>
                <a:lnTo>
                  <a:pt x="452438" y="128588"/>
                </a:lnTo>
              </a:path>
            </a:pathLst>
          </a:cu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tr-TR" sz="1100" kern="1200">
              <a:solidFill>
                <a:schemeClr val="lt1"/>
              </a:solidFill>
              <a:latin typeface="+mn-lt"/>
              <a:ea typeface="+mn-ea"/>
              <a:cs typeface="+mn-cs"/>
            </a:endParaRPr>
          </a:p>
        </xdr:txBody>
      </xdr:sp>
    </xdr:grpSp>
    <xdr:clientData/>
  </xdr:twoCellAnchor>
  <xdr:twoCellAnchor>
    <xdr:from>
      <xdr:col>2</xdr:col>
      <xdr:colOff>95250</xdr:colOff>
      <xdr:row>634</xdr:row>
      <xdr:rowOff>123825</xdr:rowOff>
    </xdr:from>
    <xdr:to>
      <xdr:col>34</xdr:col>
      <xdr:colOff>57148</xdr:colOff>
      <xdr:row>653</xdr:row>
      <xdr:rowOff>69850</xdr:rowOff>
    </xdr:to>
    <xdr:grpSp>
      <xdr:nvGrpSpPr>
        <xdr:cNvPr id="3364" name="Group 3363">
          <a:extLst>
            <a:ext uri="{FF2B5EF4-FFF2-40B4-BE49-F238E27FC236}">
              <a16:creationId xmlns:a16="http://schemas.microsoft.com/office/drawing/2014/main" id="{A2910E85-1DBC-9C3A-0BEA-82A64142658B}"/>
            </a:ext>
          </a:extLst>
        </xdr:cNvPr>
        <xdr:cNvGrpSpPr/>
      </xdr:nvGrpSpPr>
      <xdr:grpSpPr>
        <a:xfrm>
          <a:off x="419100" y="92449650"/>
          <a:ext cx="5143498" cy="2660650"/>
          <a:chOff x="419100" y="92449650"/>
          <a:chExt cx="5143498" cy="2660650"/>
        </a:xfrm>
      </xdr:grpSpPr>
      <xdr:sp macro="" textlink="">
        <xdr:nvSpPr>
          <xdr:cNvPr id="1796" name="Freeform: Shape 1795">
            <a:extLst>
              <a:ext uri="{FF2B5EF4-FFF2-40B4-BE49-F238E27FC236}">
                <a16:creationId xmlns:a16="http://schemas.microsoft.com/office/drawing/2014/main" id="{9A25A06A-DC3E-DAF8-512D-38803958A40C}"/>
              </a:ext>
            </a:extLst>
          </xdr:cNvPr>
          <xdr:cNvSpPr/>
        </xdr:nvSpPr>
        <xdr:spPr>
          <a:xfrm>
            <a:off x="1133475" y="92751275"/>
            <a:ext cx="3889375" cy="1717675"/>
          </a:xfrm>
          <a:custGeom>
            <a:avLst/>
            <a:gdLst>
              <a:gd name="connsiteX0" fmla="*/ 0 w 3892550"/>
              <a:gd name="connsiteY0" fmla="*/ 574675 h 1717675"/>
              <a:gd name="connsiteX1" fmla="*/ 0 w 3892550"/>
              <a:gd name="connsiteY1" fmla="*/ 1717675 h 1717675"/>
              <a:gd name="connsiteX2" fmla="*/ 3892550 w 3892550"/>
              <a:gd name="connsiteY2" fmla="*/ 1717675 h 1717675"/>
              <a:gd name="connsiteX3" fmla="*/ 3892550 w 3892550"/>
              <a:gd name="connsiteY3" fmla="*/ 577850 h 1717675"/>
              <a:gd name="connsiteX4" fmla="*/ 1946275 w 3892550"/>
              <a:gd name="connsiteY4" fmla="*/ 0 h 1717675"/>
              <a:gd name="connsiteX5" fmla="*/ 0 w 3892550"/>
              <a:gd name="connsiteY5" fmla="*/ 574675 h 171767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3892550" h="1717675">
                <a:moveTo>
                  <a:pt x="0" y="574675"/>
                </a:moveTo>
                <a:lnTo>
                  <a:pt x="0" y="1717675"/>
                </a:lnTo>
                <a:lnTo>
                  <a:pt x="3892550" y="1717675"/>
                </a:lnTo>
                <a:lnTo>
                  <a:pt x="3892550" y="577850"/>
                </a:lnTo>
                <a:lnTo>
                  <a:pt x="1946275" y="0"/>
                </a:lnTo>
                <a:lnTo>
                  <a:pt x="0" y="574675"/>
                </a:lnTo>
                <a:close/>
              </a:path>
            </a:pathLst>
          </a:cu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kern="1200"/>
          </a:p>
        </xdr:txBody>
      </xdr:sp>
      <xdr:sp macro="" textlink="">
        <xdr:nvSpPr>
          <xdr:cNvPr id="1797" name="Rectangle 1796">
            <a:extLst>
              <a:ext uri="{FF2B5EF4-FFF2-40B4-BE49-F238E27FC236}">
                <a16:creationId xmlns:a16="http://schemas.microsoft.com/office/drawing/2014/main" id="{EB613EA2-7C81-73A2-1EB8-14A06E4B0ECD}"/>
              </a:ext>
            </a:extLst>
          </xdr:cNvPr>
          <xdr:cNvSpPr/>
        </xdr:nvSpPr>
        <xdr:spPr>
          <a:xfrm>
            <a:off x="971551" y="94478476"/>
            <a:ext cx="323849" cy="95250"/>
          </a:xfrm>
          <a:prstGeom prst="rect">
            <a:avLst/>
          </a:prstGeom>
          <a:pattFill prst="ltUpDiag">
            <a:fgClr>
              <a:schemeClr val="tx1"/>
            </a:fgClr>
            <a:bgClr>
              <a:schemeClr val="bg1"/>
            </a:bgClr>
          </a:patt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kern="1200"/>
          </a:p>
        </xdr:txBody>
      </xdr:sp>
      <xdr:cxnSp macro="">
        <xdr:nvCxnSpPr>
          <xdr:cNvPr id="1798" name="Straight Connector 1797">
            <a:extLst>
              <a:ext uri="{FF2B5EF4-FFF2-40B4-BE49-F238E27FC236}">
                <a16:creationId xmlns:a16="http://schemas.microsoft.com/office/drawing/2014/main" id="{F9BD6BF9-0AFC-0E53-FA95-6D9A238B2805}"/>
              </a:ext>
            </a:extLst>
          </xdr:cNvPr>
          <xdr:cNvCxnSpPr/>
        </xdr:nvCxnSpPr>
        <xdr:spPr>
          <a:xfrm>
            <a:off x="966788" y="94468950"/>
            <a:ext cx="328612"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799" name="Rectangle 1798">
            <a:extLst>
              <a:ext uri="{FF2B5EF4-FFF2-40B4-BE49-F238E27FC236}">
                <a16:creationId xmlns:a16="http://schemas.microsoft.com/office/drawing/2014/main" id="{4D46E8A6-1BFD-E8B2-23C4-F7F355BD8072}"/>
              </a:ext>
            </a:extLst>
          </xdr:cNvPr>
          <xdr:cNvSpPr/>
        </xdr:nvSpPr>
        <xdr:spPr>
          <a:xfrm>
            <a:off x="4857751" y="94478476"/>
            <a:ext cx="323849" cy="95250"/>
          </a:xfrm>
          <a:prstGeom prst="rect">
            <a:avLst/>
          </a:prstGeom>
          <a:pattFill prst="ltUpDiag">
            <a:fgClr>
              <a:schemeClr val="tx1"/>
            </a:fgClr>
            <a:bgClr>
              <a:schemeClr val="bg1"/>
            </a:bgClr>
          </a:patt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kern="1200"/>
          </a:p>
        </xdr:txBody>
      </xdr:sp>
      <xdr:cxnSp macro="">
        <xdr:nvCxnSpPr>
          <xdr:cNvPr id="1800" name="Straight Connector 1799">
            <a:extLst>
              <a:ext uri="{FF2B5EF4-FFF2-40B4-BE49-F238E27FC236}">
                <a16:creationId xmlns:a16="http://schemas.microsoft.com/office/drawing/2014/main" id="{4D3309AC-0CCF-A930-55DB-63B9BF8B5CAB}"/>
              </a:ext>
            </a:extLst>
          </xdr:cNvPr>
          <xdr:cNvCxnSpPr/>
        </xdr:nvCxnSpPr>
        <xdr:spPr>
          <a:xfrm>
            <a:off x="4852988" y="94468950"/>
            <a:ext cx="328612"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801" name="Straight Connector 1800">
            <a:extLst>
              <a:ext uri="{FF2B5EF4-FFF2-40B4-BE49-F238E27FC236}">
                <a16:creationId xmlns:a16="http://schemas.microsoft.com/office/drawing/2014/main" id="{384D7F53-E566-B942-F962-C31E195F8680}"/>
              </a:ext>
            </a:extLst>
          </xdr:cNvPr>
          <xdr:cNvCxnSpPr/>
        </xdr:nvCxnSpPr>
        <xdr:spPr>
          <a:xfrm flipV="1">
            <a:off x="2428876" y="92940188"/>
            <a:ext cx="0" cy="1533525"/>
          </a:xfrm>
          <a:prstGeom prst="line">
            <a:avLst/>
          </a:prstGeom>
          <a:noFill/>
          <a:ln w="6350"/>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1802" name="Straight Connector 1801">
            <a:extLst>
              <a:ext uri="{FF2B5EF4-FFF2-40B4-BE49-F238E27FC236}">
                <a16:creationId xmlns:a16="http://schemas.microsoft.com/office/drawing/2014/main" id="{D2913825-8B10-BF1F-D163-1CA19DB1A65C}"/>
              </a:ext>
            </a:extLst>
          </xdr:cNvPr>
          <xdr:cNvCxnSpPr/>
        </xdr:nvCxnSpPr>
        <xdr:spPr>
          <a:xfrm flipV="1">
            <a:off x="3724275" y="92944950"/>
            <a:ext cx="0" cy="1524000"/>
          </a:xfrm>
          <a:prstGeom prst="line">
            <a:avLst/>
          </a:prstGeom>
          <a:noFill/>
          <a:ln w="6350"/>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1803" name="Straight Connector 1802">
            <a:extLst>
              <a:ext uri="{FF2B5EF4-FFF2-40B4-BE49-F238E27FC236}">
                <a16:creationId xmlns:a16="http://schemas.microsoft.com/office/drawing/2014/main" id="{F320586A-E56B-5A2E-EAC1-04B3D9048FF7}"/>
              </a:ext>
            </a:extLst>
          </xdr:cNvPr>
          <xdr:cNvCxnSpPr/>
        </xdr:nvCxnSpPr>
        <xdr:spPr>
          <a:xfrm>
            <a:off x="1133475" y="93687907"/>
            <a:ext cx="400050" cy="0"/>
          </a:xfrm>
          <a:prstGeom prst="line">
            <a:avLst/>
          </a:prstGeom>
          <a:noFill/>
          <a:ln w="6350"/>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1804" name="Straight Connector 1803">
            <a:extLst>
              <a:ext uri="{FF2B5EF4-FFF2-40B4-BE49-F238E27FC236}">
                <a16:creationId xmlns:a16="http://schemas.microsoft.com/office/drawing/2014/main" id="{E8F76984-BF36-33F7-A482-DBE2F8DC1B4F}"/>
              </a:ext>
            </a:extLst>
          </xdr:cNvPr>
          <xdr:cNvCxnSpPr/>
        </xdr:nvCxnSpPr>
        <xdr:spPr>
          <a:xfrm>
            <a:off x="1133470" y="94092722"/>
            <a:ext cx="404818" cy="0"/>
          </a:xfrm>
          <a:prstGeom prst="line">
            <a:avLst/>
          </a:prstGeom>
          <a:noFill/>
          <a:ln w="6350"/>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1805" name="Straight Connector 1804">
            <a:extLst>
              <a:ext uri="{FF2B5EF4-FFF2-40B4-BE49-F238E27FC236}">
                <a16:creationId xmlns:a16="http://schemas.microsoft.com/office/drawing/2014/main" id="{6E57A276-8B57-59EB-C98A-76A799254CBB}"/>
              </a:ext>
            </a:extLst>
          </xdr:cNvPr>
          <xdr:cNvCxnSpPr/>
        </xdr:nvCxnSpPr>
        <xdr:spPr>
          <a:xfrm>
            <a:off x="1133474" y="93325950"/>
            <a:ext cx="400051" cy="0"/>
          </a:xfrm>
          <a:prstGeom prst="line">
            <a:avLst/>
          </a:prstGeom>
          <a:noFill/>
          <a:ln w="6350"/>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1806" name="Straight Connector 1805">
            <a:extLst>
              <a:ext uri="{FF2B5EF4-FFF2-40B4-BE49-F238E27FC236}">
                <a16:creationId xmlns:a16="http://schemas.microsoft.com/office/drawing/2014/main" id="{2012B1C6-7A8D-214E-D159-C4648BDB5E59}"/>
              </a:ext>
            </a:extLst>
          </xdr:cNvPr>
          <xdr:cNvCxnSpPr/>
        </xdr:nvCxnSpPr>
        <xdr:spPr>
          <a:xfrm flipV="1">
            <a:off x="1543040" y="93206888"/>
            <a:ext cx="0" cy="1262065"/>
          </a:xfrm>
          <a:prstGeom prst="line">
            <a:avLst/>
          </a:prstGeom>
          <a:noFill/>
          <a:ln w="6350"/>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1807" name="Straight Connector 1806">
            <a:extLst>
              <a:ext uri="{FF2B5EF4-FFF2-40B4-BE49-F238E27FC236}">
                <a16:creationId xmlns:a16="http://schemas.microsoft.com/office/drawing/2014/main" id="{60D5C3E1-6591-0F4D-356C-F81D8395B644}"/>
              </a:ext>
            </a:extLst>
          </xdr:cNvPr>
          <xdr:cNvCxnSpPr/>
        </xdr:nvCxnSpPr>
        <xdr:spPr>
          <a:xfrm flipV="1">
            <a:off x="2014535" y="93073538"/>
            <a:ext cx="0" cy="1395415"/>
          </a:xfrm>
          <a:prstGeom prst="line">
            <a:avLst/>
          </a:prstGeom>
          <a:noFill/>
          <a:ln w="6350"/>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1808" name="Straight Connector 1807">
            <a:extLst>
              <a:ext uri="{FF2B5EF4-FFF2-40B4-BE49-F238E27FC236}">
                <a16:creationId xmlns:a16="http://schemas.microsoft.com/office/drawing/2014/main" id="{C203CA7D-F296-BA8D-D324-617C35957F06}"/>
              </a:ext>
            </a:extLst>
          </xdr:cNvPr>
          <xdr:cNvCxnSpPr/>
        </xdr:nvCxnSpPr>
        <xdr:spPr>
          <a:xfrm flipV="1">
            <a:off x="4610100" y="93206887"/>
            <a:ext cx="0" cy="1262065"/>
          </a:xfrm>
          <a:prstGeom prst="line">
            <a:avLst/>
          </a:prstGeom>
          <a:noFill/>
          <a:ln w="6350"/>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1809" name="Straight Connector 1808">
            <a:extLst>
              <a:ext uri="{FF2B5EF4-FFF2-40B4-BE49-F238E27FC236}">
                <a16:creationId xmlns:a16="http://schemas.microsoft.com/office/drawing/2014/main" id="{925CAA68-B353-45A3-23A3-866375B495FE}"/>
              </a:ext>
            </a:extLst>
          </xdr:cNvPr>
          <xdr:cNvCxnSpPr/>
        </xdr:nvCxnSpPr>
        <xdr:spPr>
          <a:xfrm flipV="1">
            <a:off x="4152908" y="93073538"/>
            <a:ext cx="0" cy="1395415"/>
          </a:xfrm>
          <a:prstGeom prst="line">
            <a:avLst/>
          </a:prstGeom>
          <a:noFill/>
          <a:ln w="6350"/>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1810" name="Straight Connector 1809">
            <a:extLst>
              <a:ext uri="{FF2B5EF4-FFF2-40B4-BE49-F238E27FC236}">
                <a16:creationId xmlns:a16="http://schemas.microsoft.com/office/drawing/2014/main" id="{BB32A028-4893-CFC6-4483-831B8CBFE350}"/>
              </a:ext>
            </a:extLst>
          </xdr:cNvPr>
          <xdr:cNvCxnSpPr/>
        </xdr:nvCxnSpPr>
        <xdr:spPr>
          <a:xfrm flipV="1">
            <a:off x="3076575" y="92754449"/>
            <a:ext cx="0" cy="942976"/>
          </a:xfrm>
          <a:prstGeom prst="line">
            <a:avLst/>
          </a:prstGeom>
          <a:noFill/>
          <a:ln w="6350"/>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1811" name="Straight Connector 1810">
            <a:extLst>
              <a:ext uri="{FF2B5EF4-FFF2-40B4-BE49-F238E27FC236}">
                <a16:creationId xmlns:a16="http://schemas.microsoft.com/office/drawing/2014/main" id="{970FAF67-352C-D6A5-B2E1-DA42B69C0B7C}"/>
              </a:ext>
            </a:extLst>
          </xdr:cNvPr>
          <xdr:cNvCxnSpPr/>
        </xdr:nvCxnSpPr>
        <xdr:spPr>
          <a:xfrm>
            <a:off x="2428875" y="93687902"/>
            <a:ext cx="1295400" cy="0"/>
          </a:xfrm>
          <a:prstGeom prst="line">
            <a:avLst/>
          </a:prstGeom>
          <a:noFill/>
          <a:ln w="6350"/>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1812" name="Straight Connector 1811">
            <a:extLst>
              <a:ext uri="{FF2B5EF4-FFF2-40B4-BE49-F238E27FC236}">
                <a16:creationId xmlns:a16="http://schemas.microsoft.com/office/drawing/2014/main" id="{D8413901-C544-E4CA-A3D9-36CD01E7F214}"/>
              </a:ext>
            </a:extLst>
          </xdr:cNvPr>
          <xdr:cNvCxnSpPr/>
        </xdr:nvCxnSpPr>
        <xdr:spPr>
          <a:xfrm>
            <a:off x="4613275" y="93687909"/>
            <a:ext cx="411173" cy="0"/>
          </a:xfrm>
          <a:prstGeom prst="line">
            <a:avLst/>
          </a:prstGeom>
          <a:noFill/>
          <a:ln w="6350"/>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1813" name="Straight Connector 1812">
            <a:extLst>
              <a:ext uri="{FF2B5EF4-FFF2-40B4-BE49-F238E27FC236}">
                <a16:creationId xmlns:a16="http://schemas.microsoft.com/office/drawing/2014/main" id="{C28D2466-A354-D640-9123-CAA91CE7383B}"/>
              </a:ext>
            </a:extLst>
          </xdr:cNvPr>
          <xdr:cNvCxnSpPr/>
        </xdr:nvCxnSpPr>
        <xdr:spPr>
          <a:xfrm>
            <a:off x="4616450" y="94092724"/>
            <a:ext cx="407998" cy="0"/>
          </a:xfrm>
          <a:prstGeom prst="line">
            <a:avLst/>
          </a:prstGeom>
          <a:noFill/>
          <a:ln w="6350"/>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1814" name="Straight Connector 1813">
            <a:extLst>
              <a:ext uri="{FF2B5EF4-FFF2-40B4-BE49-F238E27FC236}">
                <a16:creationId xmlns:a16="http://schemas.microsoft.com/office/drawing/2014/main" id="{F1A31054-0DF1-055F-92DD-FFC2FFF601FD}"/>
              </a:ext>
            </a:extLst>
          </xdr:cNvPr>
          <xdr:cNvCxnSpPr/>
        </xdr:nvCxnSpPr>
        <xdr:spPr>
          <a:xfrm>
            <a:off x="2438400" y="93692663"/>
            <a:ext cx="1285875" cy="776287"/>
          </a:xfrm>
          <a:prstGeom prst="line">
            <a:avLst/>
          </a:prstGeom>
          <a:noFill/>
          <a:ln w="6350"/>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1815" name="Straight Connector 1814">
            <a:extLst>
              <a:ext uri="{FF2B5EF4-FFF2-40B4-BE49-F238E27FC236}">
                <a16:creationId xmlns:a16="http://schemas.microsoft.com/office/drawing/2014/main" id="{C581E097-6868-2DD2-0695-0CA9FD739228}"/>
              </a:ext>
            </a:extLst>
          </xdr:cNvPr>
          <xdr:cNvCxnSpPr/>
        </xdr:nvCxnSpPr>
        <xdr:spPr>
          <a:xfrm flipH="1">
            <a:off x="2425699" y="93683138"/>
            <a:ext cx="1303339" cy="785812"/>
          </a:xfrm>
          <a:prstGeom prst="line">
            <a:avLst/>
          </a:prstGeom>
          <a:noFill/>
          <a:ln w="6350"/>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1816" name="Straight Connector 1815">
            <a:extLst>
              <a:ext uri="{FF2B5EF4-FFF2-40B4-BE49-F238E27FC236}">
                <a16:creationId xmlns:a16="http://schemas.microsoft.com/office/drawing/2014/main" id="{5964C4C7-94ED-41BB-1EDC-730E255F1008}"/>
              </a:ext>
            </a:extLst>
          </xdr:cNvPr>
          <xdr:cNvCxnSpPr/>
        </xdr:nvCxnSpPr>
        <xdr:spPr>
          <a:xfrm>
            <a:off x="1133475" y="94608650"/>
            <a:ext cx="0" cy="4857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817" name="Straight Connector 1816">
            <a:extLst>
              <a:ext uri="{FF2B5EF4-FFF2-40B4-BE49-F238E27FC236}">
                <a16:creationId xmlns:a16="http://schemas.microsoft.com/office/drawing/2014/main" id="{553647FF-0759-590A-6C71-85EA80C99B79}"/>
              </a:ext>
            </a:extLst>
          </xdr:cNvPr>
          <xdr:cNvCxnSpPr/>
        </xdr:nvCxnSpPr>
        <xdr:spPr>
          <a:xfrm>
            <a:off x="1079500" y="94757875"/>
            <a:ext cx="40163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818" name="Straight Connector 1817">
            <a:extLst>
              <a:ext uri="{FF2B5EF4-FFF2-40B4-BE49-F238E27FC236}">
                <a16:creationId xmlns:a16="http://schemas.microsoft.com/office/drawing/2014/main" id="{BD9F6C45-3F0D-C175-DD79-1E19AB6D1AE0}"/>
              </a:ext>
            </a:extLst>
          </xdr:cNvPr>
          <xdr:cNvCxnSpPr/>
        </xdr:nvCxnSpPr>
        <xdr:spPr>
          <a:xfrm flipH="1">
            <a:off x="1101725" y="94732475"/>
            <a:ext cx="60325" cy="603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819" name="Straight Connector 1818">
            <a:extLst>
              <a:ext uri="{FF2B5EF4-FFF2-40B4-BE49-F238E27FC236}">
                <a16:creationId xmlns:a16="http://schemas.microsoft.com/office/drawing/2014/main" id="{EEC35C68-AC33-0157-E5B9-D6983E17B05F}"/>
              </a:ext>
            </a:extLst>
          </xdr:cNvPr>
          <xdr:cNvCxnSpPr/>
        </xdr:nvCxnSpPr>
        <xdr:spPr>
          <a:xfrm>
            <a:off x="1076325" y="95040450"/>
            <a:ext cx="3987800"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820" name="Straight Connector 1819">
            <a:extLst>
              <a:ext uri="{FF2B5EF4-FFF2-40B4-BE49-F238E27FC236}">
                <a16:creationId xmlns:a16="http://schemas.microsoft.com/office/drawing/2014/main" id="{42CB9902-0630-9E1B-FB33-F4852DBDB699}"/>
              </a:ext>
            </a:extLst>
          </xdr:cNvPr>
          <xdr:cNvCxnSpPr/>
        </xdr:nvCxnSpPr>
        <xdr:spPr>
          <a:xfrm flipH="1">
            <a:off x="1101725" y="95011875"/>
            <a:ext cx="60325" cy="603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821" name="Straight Connector 1820">
            <a:extLst>
              <a:ext uri="{FF2B5EF4-FFF2-40B4-BE49-F238E27FC236}">
                <a16:creationId xmlns:a16="http://schemas.microsoft.com/office/drawing/2014/main" id="{0A48798B-4B8A-80C2-2630-4A0723A014E4}"/>
              </a:ext>
            </a:extLst>
          </xdr:cNvPr>
          <xdr:cNvCxnSpPr/>
        </xdr:nvCxnSpPr>
        <xdr:spPr>
          <a:xfrm>
            <a:off x="1543050" y="94557850"/>
            <a:ext cx="0" cy="25400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822" name="Straight Connector 1821">
            <a:extLst>
              <a:ext uri="{FF2B5EF4-FFF2-40B4-BE49-F238E27FC236}">
                <a16:creationId xmlns:a16="http://schemas.microsoft.com/office/drawing/2014/main" id="{ACA6103E-E1CD-B06D-9AE3-98B59CF8E516}"/>
              </a:ext>
            </a:extLst>
          </xdr:cNvPr>
          <xdr:cNvCxnSpPr/>
        </xdr:nvCxnSpPr>
        <xdr:spPr>
          <a:xfrm flipH="1">
            <a:off x="1511300" y="94729300"/>
            <a:ext cx="60325" cy="603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823" name="Straight Connector 1822">
            <a:extLst>
              <a:ext uri="{FF2B5EF4-FFF2-40B4-BE49-F238E27FC236}">
                <a16:creationId xmlns:a16="http://schemas.microsoft.com/office/drawing/2014/main" id="{1B95FB4E-BE15-58F1-FE78-34B3D4DBFFDE}"/>
              </a:ext>
            </a:extLst>
          </xdr:cNvPr>
          <xdr:cNvCxnSpPr/>
        </xdr:nvCxnSpPr>
        <xdr:spPr>
          <a:xfrm>
            <a:off x="2012950" y="94541975"/>
            <a:ext cx="0" cy="2698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824" name="Straight Connector 1823">
            <a:extLst>
              <a:ext uri="{FF2B5EF4-FFF2-40B4-BE49-F238E27FC236}">
                <a16:creationId xmlns:a16="http://schemas.microsoft.com/office/drawing/2014/main" id="{18C31C29-B734-8095-98BF-BA5414200F6C}"/>
              </a:ext>
            </a:extLst>
          </xdr:cNvPr>
          <xdr:cNvCxnSpPr/>
        </xdr:nvCxnSpPr>
        <xdr:spPr>
          <a:xfrm flipH="1">
            <a:off x="1981200" y="94729300"/>
            <a:ext cx="60325" cy="603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825" name="Straight Connector 1824">
            <a:extLst>
              <a:ext uri="{FF2B5EF4-FFF2-40B4-BE49-F238E27FC236}">
                <a16:creationId xmlns:a16="http://schemas.microsoft.com/office/drawing/2014/main" id="{3ACB4BCC-4A4A-4CE6-3A24-AAD2BABACE74}"/>
              </a:ext>
            </a:extLst>
          </xdr:cNvPr>
          <xdr:cNvCxnSpPr/>
        </xdr:nvCxnSpPr>
        <xdr:spPr>
          <a:xfrm>
            <a:off x="2432050" y="94541975"/>
            <a:ext cx="0" cy="2698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826" name="Straight Connector 1825">
            <a:extLst>
              <a:ext uri="{FF2B5EF4-FFF2-40B4-BE49-F238E27FC236}">
                <a16:creationId xmlns:a16="http://schemas.microsoft.com/office/drawing/2014/main" id="{8E4318F9-248F-D1DC-AB85-AAB7B32A3218}"/>
              </a:ext>
            </a:extLst>
          </xdr:cNvPr>
          <xdr:cNvCxnSpPr/>
        </xdr:nvCxnSpPr>
        <xdr:spPr>
          <a:xfrm flipH="1">
            <a:off x="2400300" y="94729300"/>
            <a:ext cx="60325" cy="603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827" name="Straight Connector 1826">
            <a:extLst>
              <a:ext uri="{FF2B5EF4-FFF2-40B4-BE49-F238E27FC236}">
                <a16:creationId xmlns:a16="http://schemas.microsoft.com/office/drawing/2014/main" id="{20FC2C66-45D5-0CF3-1715-0EF3FB77A9D6}"/>
              </a:ext>
            </a:extLst>
          </xdr:cNvPr>
          <xdr:cNvCxnSpPr/>
        </xdr:nvCxnSpPr>
        <xdr:spPr>
          <a:xfrm>
            <a:off x="3727450" y="94541975"/>
            <a:ext cx="0" cy="2698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828" name="Straight Connector 1827">
            <a:extLst>
              <a:ext uri="{FF2B5EF4-FFF2-40B4-BE49-F238E27FC236}">
                <a16:creationId xmlns:a16="http://schemas.microsoft.com/office/drawing/2014/main" id="{AE090B7E-76B2-E6F6-FAE3-4A8E2C825854}"/>
              </a:ext>
            </a:extLst>
          </xdr:cNvPr>
          <xdr:cNvCxnSpPr/>
        </xdr:nvCxnSpPr>
        <xdr:spPr>
          <a:xfrm flipH="1">
            <a:off x="3695700" y="94729300"/>
            <a:ext cx="60325" cy="603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829" name="Straight Connector 1828">
            <a:extLst>
              <a:ext uri="{FF2B5EF4-FFF2-40B4-BE49-F238E27FC236}">
                <a16:creationId xmlns:a16="http://schemas.microsoft.com/office/drawing/2014/main" id="{A94F9F22-4413-9A65-37D3-0A6F7A6F81E2}"/>
              </a:ext>
            </a:extLst>
          </xdr:cNvPr>
          <xdr:cNvCxnSpPr/>
        </xdr:nvCxnSpPr>
        <xdr:spPr>
          <a:xfrm>
            <a:off x="4152900" y="94541975"/>
            <a:ext cx="0" cy="2698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830" name="Straight Connector 1829">
            <a:extLst>
              <a:ext uri="{FF2B5EF4-FFF2-40B4-BE49-F238E27FC236}">
                <a16:creationId xmlns:a16="http://schemas.microsoft.com/office/drawing/2014/main" id="{2F8A887D-64F8-7640-0791-0DFCD6295B7D}"/>
              </a:ext>
            </a:extLst>
          </xdr:cNvPr>
          <xdr:cNvCxnSpPr/>
        </xdr:nvCxnSpPr>
        <xdr:spPr>
          <a:xfrm flipH="1">
            <a:off x="4121150" y="94729300"/>
            <a:ext cx="60325" cy="603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831" name="Straight Connector 1830">
            <a:extLst>
              <a:ext uri="{FF2B5EF4-FFF2-40B4-BE49-F238E27FC236}">
                <a16:creationId xmlns:a16="http://schemas.microsoft.com/office/drawing/2014/main" id="{17151CE8-4E5A-E1EC-1D76-C72F3BEA98EE}"/>
              </a:ext>
            </a:extLst>
          </xdr:cNvPr>
          <xdr:cNvCxnSpPr/>
        </xdr:nvCxnSpPr>
        <xdr:spPr>
          <a:xfrm>
            <a:off x="4610100" y="94541975"/>
            <a:ext cx="0" cy="2698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832" name="Straight Connector 1831">
            <a:extLst>
              <a:ext uri="{FF2B5EF4-FFF2-40B4-BE49-F238E27FC236}">
                <a16:creationId xmlns:a16="http://schemas.microsoft.com/office/drawing/2014/main" id="{BBEBD0BA-5F81-A1CB-339F-5695DF374D9E}"/>
              </a:ext>
            </a:extLst>
          </xdr:cNvPr>
          <xdr:cNvCxnSpPr/>
        </xdr:nvCxnSpPr>
        <xdr:spPr>
          <a:xfrm flipH="1">
            <a:off x="4578350" y="94729300"/>
            <a:ext cx="60325" cy="603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833" name="Straight Connector 1832">
            <a:extLst>
              <a:ext uri="{FF2B5EF4-FFF2-40B4-BE49-F238E27FC236}">
                <a16:creationId xmlns:a16="http://schemas.microsoft.com/office/drawing/2014/main" id="{BDA18A41-0FA9-F312-30A7-53D92380616E}"/>
              </a:ext>
            </a:extLst>
          </xdr:cNvPr>
          <xdr:cNvCxnSpPr/>
        </xdr:nvCxnSpPr>
        <xdr:spPr>
          <a:xfrm>
            <a:off x="5019675" y="94608650"/>
            <a:ext cx="0" cy="50165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834" name="Straight Connector 1833">
            <a:extLst>
              <a:ext uri="{FF2B5EF4-FFF2-40B4-BE49-F238E27FC236}">
                <a16:creationId xmlns:a16="http://schemas.microsoft.com/office/drawing/2014/main" id="{17284019-6809-56D7-B44E-84B42330F1AC}"/>
              </a:ext>
            </a:extLst>
          </xdr:cNvPr>
          <xdr:cNvCxnSpPr/>
        </xdr:nvCxnSpPr>
        <xdr:spPr>
          <a:xfrm flipH="1">
            <a:off x="4987925" y="94729300"/>
            <a:ext cx="60325" cy="603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835" name="Straight Connector 1834">
            <a:extLst>
              <a:ext uri="{FF2B5EF4-FFF2-40B4-BE49-F238E27FC236}">
                <a16:creationId xmlns:a16="http://schemas.microsoft.com/office/drawing/2014/main" id="{C87B470E-B9D1-8A0A-A580-50D83FCC3779}"/>
              </a:ext>
            </a:extLst>
          </xdr:cNvPr>
          <xdr:cNvCxnSpPr/>
        </xdr:nvCxnSpPr>
        <xdr:spPr>
          <a:xfrm flipH="1">
            <a:off x="4991100" y="95008700"/>
            <a:ext cx="60325" cy="603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836" name="Straight Connector 1835">
            <a:extLst>
              <a:ext uri="{FF2B5EF4-FFF2-40B4-BE49-F238E27FC236}">
                <a16:creationId xmlns:a16="http://schemas.microsoft.com/office/drawing/2014/main" id="{2AA6D99E-4AF9-2D0C-8704-32BCC5C09FD3}"/>
              </a:ext>
            </a:extLst>
          </xdr:cNvPr>
          <xdr:cNvCxnSpPr/>
        </xdr:nvCxnSpPr>
        <xdr:spPr>
          <a:xfrm flipH="1">
            <a:off x="419100" y="92754451"/>
            <a:ext cx="23907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837" name="Straight Connector 1836">
            <a:extLst>
              <a:ext uri="{FF2B5EF4-FFF2-40B4-BE49-F238E27FC236}">
                <a16:creationId xmlns:a16="http://schemas.microsoft.com/office/drawing/2014/main" id="{84529427-1C3A-8216-3993-6372C6B71D2C}"/>
              </a:ext>
            </a:extLst>
          </xdr:cNvPr>
          <xdr:cNvCxnSpPr/>
        </xdr:nvCxnSpPr>
        <xdr:spPr>
          <a:xfrm>
            <a:off x="809625" y="92687776"/>
            <a:ext cx="0" cy="1841499"/>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838" name="Straight Connector 1837">
            <a:extLst>
              <a:ext uri="{FF2B5EF4-FFF2-40B4-BE49-F238E27FC236}">
                <a16:creationId xmlns:a16="http://schemas.microsoft.com/office/drawing/2014/main" id="{3EC5CB00-E7CE-1338-64E0-BE01FF4E1B05}"/>
              </a:ext>
            </a:extLst>
          </xdr:cNvPr>
          <xdr:cNvCxnSpPr/>
        </xdr:nvCxnSpPr>
        <xdr:spPr>
          <a:xfrm flipH="1">
            <a:off x="773113" y="92722700"/>
            <a:ext cx="66675" cy="666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839" name="Straight Connector 1838">
            <a:extLst>
              <a:ext uri="{FF2B5EF4-FFF2-40B4-BE49-F238E27FC236}">
                <a16:creationId xmlns:a16="http://schemas.microsoft.com/office/drawing/2014/main" id="{30A9B2F0-DA2A-481C-5896-8E2F63D8C2CB}"/>
              </a:ext>
            </a:extLst>
          </xdr:cNvPr>
          <xdr:cNvCxnSpPr/>
        </xdr:nvCxnSpPr>
        <xdr:spPr>
          <a:xfrm>
            <a:off x="487362" y="92687775"/>
            <a:ext cx="0" cy="184785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840" name="Straight Connector 1839">
            <a:extLst>
              <a:ext uri="{FF2B5EF4-FFF2-40B4-BE49-F238E27FC236}">
                <a16:creationId xmlns:a16="http://schemas.microsoft.com/office/drawing/2014/main" id="{5F3C3E9F-8040-9077-B8DF-236E901C547A}"/>
              </a:ext>
            </a:extLst>
          </xdr:cNvPr>
          <xdr:cNvCxnSpPr/>
        </xdr:nvCxnSpPr>
        <xdr:spPr>
          <a:xfrm flipH="1">
            <a:off x="450850" y="92722699"/>
            <a:ext cx="66675" cy="666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841" name="Straight Connector 1840">
            <a:extLst>
              <a:ext uri="{FF2B5EF4-FFF2-40B4-BE49-F238E27FC236}">
                <a16:creationId xmlns:a16="http://schemas.microsoft.com/office/drawing/2014/main" id="{C28F75EA-95A9-1C0B-D593-272D30D71EAF}"/>
              </a:ext>
            </a:extLst>
          </xdr:cNvPr>
          <xdr:cNvCxnSpPr/>
        </xdr:nvCxnSpPr>
        <xdr:spPr>
          <a:xfrm flipH="1">
            <a:off x="742950" y="93329126"/>
            <a:ext cx="317500"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842" name="Straight Connector 1841">
            <a:extLst>
              <a:ext uri="{FF2B5EF4-FFF2-40B4-BE49-F238E27FC236}">
                <a16:creationId xmlns:a16="http://schemas.microsoft.com/office/drawing/2014/main" id="{47C052E1-B500-8E11-BA7A-F5771DFE8D08}"/>
              </a:ext>
            </a:extLst>
          </xdr:cNvPr>
          <xdr:cNvCxnSpPr/>
        </xdr:nvCxnSpPr>
        <xdr:spPr>
          <a:xfrm flipH="1">
            <a:off x="774700" y="93297374"/>
            <a:ext cx="66675" cy="666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843" name="Straight Connector 1842">
            <a:extLst>
              <a:ext uri="{FF2B5EF4-FFF2-40B4-BE49-F238E27FC236}">
                <a16:creationId xmlns:a16="http://schemas.microsoft.com/office/drawing/2014/main" id="{8CDB31CA-56B9-EFF0-0241-E3D455C88AE9}"/>
              </a:ext>
            </a:extLst>
          </xdr:cNvPr>
          <xdr:cNvCxnSpPr/>
        </xdr:nvCxnSpPr>
        <xdr:spPr>
          <a:xfrm flipH="1">
            <a:off x="742950" y="93687901"/>
            <a:ext cx="317500"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844" name="Straight Connector 1843">
            <a:extLst>
              <a:ext uri="{FF2B5EF4-FFF2-40B4-BE49-F238E27FC236}">
                <a16:creationId xmlns:a16="http://schemas.microsoft.com/office/drawing/2014/main" id="{A907DAE7-54F9-F668-5BB7-7DA12B558E4C}"/>
              </a:ext>
            </a:extLst>
          </xdr:cNvPr>
          <xdr:cNvCxnSpPr/>
        </xdr:nvCxnSpPr>
        <xdr:spPr>
          <a:xfrm flipH="1">
            <a:off x="774700" y="93656149"/>
            <a:ext cx="66675" cy="666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845" name="Straight Connector 1844">
            <a:extLst>
              <a:ext uri="{FF2B5EF4-FFF2-40B4-BE49-F238E27FC236}">
                <a16:creationId xmlns:a16="http://schemas.microsoft.com/office/drawing/2014/main" id="{F757B80C-8633-CB1D-A5BC-3BCF127E57A9}"/>
              </a:ext>
            </a:extLst>
          </xdr:cNvPr>
          <xdr:cNvCxnSpPr/>
        </xdr:nvCxnSpPr>
        <xdr:spPr>
          <a:xfrm flipH="1">
            <a:off x="742950" y="94094301"/>
            <a:ext cx="317500"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846" name="Straight Connector 1845">
            <a:extLst>
              <a:ext uri="{FF2B5EF4-FFF2-40B4-BE49-F238E27FC236}">
                <a16:creationId xmlns:a16="http://schemas.microsoft.com/office/drawing/2014/main" id="{745A3D11-AC89-5EDA-4179-8AB8A904851C}"/>
              </a:ext>
            </a:extLst>
          </xdr:cNvPr>
          <xdr:cNvCxnSpPr/>
        </xdr:nvCxnSpPr>
        <xdr:spPr>
          <a:xfrm flipH="1">
            <a:off x="774700" y="94062549"/>
            <a:ext cx="66675" cy="666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847" name="Straight Connector 1846">
            <a:extLst>
              <a:ext uri="{FF2B5EF4-FFF2-40B4-BE49-F238E27FC236}">
                <a16:creationId xmlns:a16="http://schemas.microsoft.com/office/drawing/2014/main" id="{4728A7E1-A415-3B8A-5319-F2FBF41AA380}"/>
              </a:ext>
            </a:extLst>
          </xdr:cNvPr>
          <xdr:cNvCxnSpPr/>
        </xdr:nvCxnSpPr>
        <xdr:spPr>
          <a:xfrm flipH="1">
            <a:off x="419100" y="94468952"/>
            <a:ext cx="482600"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848" name="Straight Connector 1847">
            <a:extLst>
              <a:ext uri="{FF2B5EF4-FFF2-40B4-BE49-F238E27FC236}">
                <a16:creationId xmlns:a16="http://schemas.microsoft.com/office/drawing/2014/main" id="{0847DE00-1C18-9EA4-E38E-726707E6CBA6}"/>
              </a:ext>
            </a:extLst>
          </xdr:cNvPr>
          <xdr:cNvCxnSpPr/>
        </xdr:nvCxnSpPr>
        <xdr:spPr>
          <a:xfrm flipH="1">
            <a:off x="773113" y="94437201"/>
            <a:ext cx="66675" cy="666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849" name="Straight Connector 1848">
            <a:extLst>
              <a:ext uri="{FF2B5EF4-FFF2-40B4-BE49-F238E27FC236}">
                <a16:creationId xmlns:a16="http://schemas.microsoft.com/office/drawing/2014/main" id="{D979149A-620B-CD85-29D0-C14FD65BE82C}"/>
              </a:ext>
            </a:extLst>
          </xdr:cNvPr>
          <xdr:cNvCxnSpPr/>
        </xdr:nvCxnSpPr>
        <xdr:spPr>
          <a:xfrm flipH="1">
            <a:off x="450850" y="94437200"/>
            <a:ext cx="66675" cy="6667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850" name="Straight Connector 1849">
            <a:extLst>
              <a:ext uri="{FF2B5EF4-FFF2-40B4-BE49-F238E27FC236}">
                <a16:creationId xmlns:a16="http://schemas.microsoft.com/office/drawing/2014/main" id="{284C7DD8-150B-5123-EFB0-73F6219EFA81}"/>
              </a:ext>
            </a:extLst>
          </xdr:cNvPr>
          <xdr:cNvCxnSpPr/>
        </xdr:nvCxnSpPr>
        <xdr:spPr>
          <a:xfrm>
            <a:off x="5505450" y="93635513"/>
            <a:ext cx="0" cy="8858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851" name="Straight Connector 1850">
            <a:extLst>
              <a:ext uri="{FF2B5EF4-FFF2-40B4-BE49-F238E27FC236}">
                <a16:creationId xmlns:a16="http://schemas.microsoft.com/office/drawing/2014/main" id="{61A8761C-C2DB-7729-96EA-CAC18FA4E5EE}"/>
              </a:ext>
            </a:extLst>
          </xdr:cNvPr>
          <xdr:cNvCxnSpPr/>
        </xdr:nvCxnSpPr>
        <xdr:spPr>
          <a:xfrm flipH="1">
            <a:off x="5473700" y="94440375"/>
            <a:ext cx="60325" cy="603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852" name="Straight Connector 1851">
            <a:extLst>
              <a:ext uri="{FF2B5EF4-FFF2-40B4-BE49-F238E27FC236}">
                <a16:creationId xmlns:a16="http://schemas.microsoft.com/office/drawing/2014/main" id="{B9667EF6-3884-3668-BB9F-703F501F8765}"/>
              </a:ext>
            </a:extLst>
          </xdr:cNvPr>
          <xdr:cNvCxnSpPr/>
        </xdr:nvCxnSpPr>
        <xdr:spPr>
          <a:xfrm flipH="1">
            <a:off x="5473700" y="93659330"/>
            <a:ext cx="60325" cy="6032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853" name="Straight Connector 1852">
            <a:extLst>
              <a:ext uri="{FF2B5EF4-FFF2-40B4-BE49-F238E27FC236}">
                <a16:creationId xmlns:a16="http://schemas.microsoft.com/office/drawing/2014/main" id="{E9EE5DBB-9810-46A6-A2BA-9A48027E6DE5}"/>
              </a:ext>
            </a:extLst>
          </xdr:cNvPr>
          <xdr:cNvCxnSpPr/>
        </xdr:nvCxnSpPr>
        <xdr:spPr>
          <a:xfrm>
            <a:off x="5229225" y="94468951"/>
            <a:ext cx="328611"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854" name="Straight Connector 1853">
            <a:extLst>
              <a:ext uri="{FF2B5EF4-FFF2-40B4-BE49-F238E27FC236}">
                <a16:creationId xmlns:a16="http://schemas.microsoft.com/office/drawing/2014/main" id="{DF62B62B-DEAF-D9E4-24A5-359D438B5775}"/>
              </a:ext>
            </a:extLst>
          </xdr:cNvPr>
          <xdr:cNvCxnSpPr/>
        </xdr:nvCxnSpPr>
        <xdr:spPr>
          <a:xfrm>
            <a:off x="5119688" y="93687906"/>
            <a:ext cx="442910" cy="0"/>
          </a:xfrm>
          <a:prstGeom prst="line">
            <a:avLst/>
          </a:prstGeom>
        </xdr:spPr>
        <xdr:style>
          <a:lnRef idx="1">
            <a:schemeClr val="accent1"/>
          </a:lnRef>
          <a:fillRef idx="0">
            <a:schemeClr val="accent1"/>
          </a:fillRef>
          <a:effectRef idx="0">
            <a:schemeClr val="accent1"/>
          </a:effectRef>
          <a:fontRef idx="minor">
            <a:schemeClr val="tx1"/>
          </a:fontRef>
        </xdr:style>
      </xdr:cxnSp>
      <xdr:sp macro="" textlink="">
        <xdr:nvSpPr>
          <xdr:cNvPr id="1855" name="TextBox 1854">
            <a:extLst>
              <a:ext uri="{FF2B5EF4-FFF2-40B4-BE49-F238E27FC236}">
                <a16:creationId xmlns:a16="http://schemas.microsoft.com/office/drawing/2014/main" id="{B2C033E8-EAC8-3FFF-DD13-B76AC475A26E}"/>
              </a:ext>
            </a:extLst>
          </xdr:cNvPr>
          <xdr:cNvSpPr txBox="1"/>
        </xdr:nvSpPr>
        <xdr:spPr>
          <a:xfrm>
            <a:off x="2676525" y="93630750"/>
            <a:ext cx="828675" cy="438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lang="tr-TR" sz="800" kern="1200">
                <a:latin typeface="Arial" panose="020B0604020202020204" pitchFamily="34" charset="0"/>
                <a:cs typeface="Arial" panose="020B0604020202020204" pitchFamily="34" charset="0"/>
              </a:rPr>
              <a:t>kapı</a:t>
            </a:r>
          </a:p>
        </xdr:txBody>
      </xdr:sp>
      <xdr:cxnSp macro="">
        <xdr:nvCxnSpPr>
          <xdr:cNvPr id="1856" name="Straight Connector 1855">
            <a:extLst>
              <a:ext uri="{FF2B5EF4-FFF2-40B4-BE49-F238E27FC236}">
                <a16:creationId xmlns:a16="http://schemas.microsoft.com/office/drawing/2014/main" id="{036CE12A-D3FC-BC40-E154-C8E02BA2EF36}"/>
              </a:ext>
            </a:extLst>
          </xdr:cNvPr>
          <xdr:cNvCxnSpPr/>
        </xdr:nvCxnSpPr>
        <xdr:spPr>
          <a:xfrm>
            <a:off x="1558925" y="93325950"/>
            <a:ext cx="428625" cy="0"/>
          </a:xfrm>
          <a:prstGeom prst="line">
            <a:avLst/>
          </a:prstGeom>
          <a:noFill/>
          <a:ln w="6350"/>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1857" name="Straight Connector 1856">
            <a:extLst>
              <a:ext uri="{FF2B5EF4-FFF2-40B4-BE49-F238E27FC236}">
                <a16:creationId xmlns:a16="http://schemas.microsoft.com/office/drawing/2014/main" id="{7F080C3B-56DB-459E-80A2-307F7E31987A}"/>
              </a:ext>
            </a:extLst>
          </xdr:cNvPr>
          <xdr:cNvCxnSpPr/>
        </xdr:nvCxnSpPr>
        <xdr:spPr>
          <a:xfrm>
            <a:off x="1562100" y="93687900"/>
            <a:ext cx="428625" cy="0"/>
          </a:xfrm>
          <a:prstGeom prst="line">
            <a:avLst/>
          </a:prstGeom>
          <a:noFill/>
          <a:ln w="6350"/>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1858" name="Straight Connector 1857">
            <a:extLst>
              <a:ext uri="{FF2B5EF4-FFF2-40B4-BE49-F238E27FC236}">
                <a16:creationId xmlns:a16="http://schemas.microsoft.com/office/drawing/2014/main" id="{831B0169-1342-3363-B8FD-2ADBC5400602}"/>
              </a:ext>
            </a:extLst>
          </xdr:cNvPr>
          <xdr:cNvCxnSpPr/>
        </xdr:nvCxnSpPr>
        <xdr:spPr>
          <a:xfrm>
            <a:off x="1565275" y="94094300"/>
            <a:ext cx="428625" cy="0"/>
          </a:xfrm>
          <a:prstGeom prst="line">
            <a:avLst/>
          </a:prstGeom>
          <a:noFill/>
          <a:ln w="6350"/>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1859" name="Straight Connector 1858">
            <a:extLst>
              <a:ext uri="{FF2B5EF4-FFF2-40B4-BE49-F238E27FC236}">
                <a16:creationId xmlns:a16="http://schemas.microsoft.com/office/drawing/2014/main" id="{54EC1F0F-C886-7EB5-27FF-E9D9802130AC}"/>
              </a:ext>
            </a:extLst>
          </xdr:cNvPr>
          <xdr:cNvCxnSpPr/>
        </xdr:nvCxnSpPr>
        <xdr:spPr>
          <a:xfrm>
            <a:off x="2035175" y="93325950"/>
            <a:ext cx="368300" cy="0"/>
          </a:xfrm>
          <a:prstGeom prst="line">
            <a:avLst/>
          </a:prstGeom>
          <a:noFill/>
          <a:ln w="6350"/>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1860" name="Straight Connector 1859">
            <a:extLst>
              <a:ext uri="{FF2B5EF4-FFF2-40B4-BE49-F238E27FC236}">
                <a16:creationId xmlns:a16="http://schemas.microsoft.com/office/drawing/2014/main" id="{7E381C21-86DE-AC3A-A161-732F747BB388}"/>
              </a:ext>
            </a:extLst>
          </xdr:cNvPr>
          <xdr:cNvCxnSpPr/>
        </xdr:nvCxnSpPr>
        <xdr:spPr>
          <a:xfrm>
            <a:off x="2038350" y="93687900"/>
            <a:ext cx="365125" cy="0"/>
          </a:xfrm>
          <a:prstGeom prst="line">
            <a:avLst/>
          </a:prstGeom>
          <a:noFill/>
          <a:ln w="6350"/>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1861" name="Straight Connector 1860">
            <a:extLst>
              <a:ext uri="{FF2B5EF4-FFF2-40B4-BE49-F238E27FC236}">
                <a16:creationId xmlns:a16="http://schemas.microsoft.com/office/drawing/2014/main" id="{E1491CBF-8537-F4A3-C2C9-4352F98FC605}"/>
              </a:ext>
            </a:extLst>
          </xdr:cNvPr>
          <xdr:cNvCxnSpPr/>
        </xdr:nvCxnSpPr>
        <xdr:spPr>
          <a:xfrm>
            <a:off x="2041525" y="94094300"/>
            <a:ext cx="361950" cy="0"/>
          </a:xfrm>
          <a:prstGeom prst="line">
            <a:avLst/>
          </a:prstGeom>
          <a:noFill/>
          <a:ln w="6350"/>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1862" name="Straight Connector 1861">
            <a:extLst>
              <a:ext uri="{FF2B5EF4-FFF2-40B4-BE49-F238E27FC236}">
                <a16:creationId xmlns:a16="http://schemas.microsoft.com/office/drawing/2014/main" id="{77CA89BC-80A2-DCC6-A198-91ADA8C32DE0}"/>
              </a:ext>
            </a:extLst>
          </xdr:cNvPr>
          <xdr:cNvCxnSpPr/>
        </xdr:nvCxnSpPr>
        <xdr:spPr>
          <a:xfrm>
            <a:off x="2454275" y="93325950"/>
            <a:ext cx="590550" cy="0"/>
          </a:xfrm>
          <a:prstGeom prst="line">
            <a:avLst/>
          </a:prstGeom>
          <a:noFill/>
          <a:ln w="6350"/>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1863" name="Straight Connector 1862">
            <a:extLst>
              <a:ext uri="{FF2B5EF4-FFF2-40B4-BE49-F238E27FC236}">
                <a16:creationId xmlns:a16="http://schemas.microsoft.com/office/drawing/2014/main" id="{B8D56ECB-AF88-600B-95DB-139D3F00FEAF}"/>
              </a:ext>
            </a:extLst>
          </xdr:cNvPr>
          <xdr:cNvCxnSpPr/>
        </xdr:nvCxnSpPr>
        <xdr:spPr>
          <a:xfrm>
            <a:off x="3108325" y="93325950"/>
            <a:ext cx="590550" cy="0"/>
          </a:xfrm>
          <a:prstGeom prst="line">
            <a:avLst/>
          </a:prstGeom>
          <a:noFill/>
          <a:ln w="6350"/>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1864" name="Straight Connector 1863">
            <a:extLst>
              <a:ext uri="{FF2B5EF4-FFF2-40B4-BE49-F238E27FC236}">
                <a16:creationId xmlns:a16="http://schemas.microsoft.com/office/drawing/2014/main" id="{16F69788-8431-2471-C2BB-E421A4AB9ABB}"/>
              </a:ext>
            </a:extLst>
          </xdr:cNvPr>
          <xdr:cNvCxnSpPr/>
        </xdr:nvCxnSpPr>
        <xdr:spPr>
          <a:xfrm>
            <a:off x="3746500" y="93329125"/>
            <a:ext cx="377825" cy="0"/>
          </a:xfrm>
          <a:prstGeom prst="line">
            <a:avLst/>
          </a:prstGeom>
          <a:noFill/>
          <a:ln w="6350"/>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1865" name="Straight Connector 1864">
            <a:extLst>
              <a:ext uri="{FF2B5EF4-FFF2-40B4-BE49-F238E27FC236}">
                <a16:creationId xmlns:a16="http://schemas.microsoft.com/office/drawing/2014/main" id="{E62407DE-B5B8-2BDC-5991-602A6148464B}"/>
              </a:ext>
            </a:extLst>
          </xdr:cNvPr>
          <xdr:cNvCxnSpPr/>
        </xdr:nvCxnSpPr>
        <xdr:spPr>
          <a:xfrm>
            <a:off x="4178300" y="93329125"/>
            <a:ext cx="412750" cy="0"/>
          </a:xfrm>
          <a:prstGeom prst="line">
            <a:avLst/>
          </a:prstGeom>
          <a:noFill/>
          <a:ln w="6350"/>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1866" name="Straight Connector 1865">
            <a:extLst>
              <a:ext uri="{FF2B5EF4-FFF2-40B4-BE49-F238E27FC236}">
                <a16:creationId xmlns:a16="http://schemas.microsoft.com/office/drawing/2014/main" id="{51211FFD-25D7-F348-30E6-A976700DF267}"/>
              </a:ext>
            </a:extLst>
          </xdr:cNvPr>
          <xdr:cNvCxnSpPr/>
        </xdr:nvCxnSpPr>
        <xdr:spPr>
          <a:xfrm>
            <a:off x="4619625" y="93329125"/>
            <a:ext cx="400050" cy="0"/>
          </a:xfrm>
          <a:prstGeom prst="line">
            <a:avLst/>
          </a:prstGeom>
          <a:noFill/>
          <a:ln w="6350"/>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1867" name="Straight Connector 1866">
            <a:extLst>
              <a:ext uri="{FF2B5EF4-FFF2-40B4-BE49-F238E27FC236}">
                <a16:creationId xmlns:a16="http://schemas.microsoft.com/office/drawing/2014/main" id="{CE18CF0C-0ED4-1788-6727-E6F74B0018B2}"/>
              </a:ext>
            </a:extLst>
          </xdr:cNvPr>
          <xdr:cNvCxnSpPr/>
        </xdr:nvCxnSpPr>
        <xdr:spPr>
          <a:xfrm>
            <a:off x="3759200" y="93687900"/>
            <a:ext cx="365125" cy="0"/>
          </a:xfrm>
          <a:prstGeom prst="line">
            <a:avLst/>
          </a:prstGeom>
          <a:noFill/>
          <a:ln w="6350"/>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1868" name="Straight Connector 1867">
            <a:extLst>
              <a:ext uri="{FF2B5EF4-FFF2-40B4-BE49-F238E27FC236}">
                <a16:creationId xmlns:a16="http://schemas.microsoft.com/office/drawing/2014/main" id="{A571520E-C295-DACD-ED0B-B59E0513564D}"/>
              </a:ext>
            </a:extLst>
          </xdr:cNvPr>
          <xdr:cNvCxnSpPr/>
        </xdr:nvCxnSpPr>
        <xdr:spPr>
          <a:xfrm>
            <a:off x="3762375" y="94094300"/>
            <a:ext cx="361950" cy="0"/>
          </a:xfrm>
          <a:prstGeom prst="line">
            <a:avLst/>
          </a:prstGeom>
          <a:noFill/>
          <a:ln w="6350"/>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1869" name="Straight Connector 1868">
            <a:extLst>
              <a:ext uri="{FF2B5EF4-FFF2-40B4-BE49-F238E27FC236}">
                <a16:creationId xmlns:a16="http://schemas.microsoft.com/office/drawing/2014/main" id="{2C889C46-E490-8797-5EB6-86610A239379}"/>
              </a:ext>
            </a:extLst>
          </xdr:cNvPr>
          <xdr:cNvCxnSpPr/>
        </xdr:nvCxnSpPr>
        <xdr:spPr>
          <a:xfrm>
            <a:off x="4178300" y="93687900"/>
            <a:ext cx="400050" cy="0"/>
          </a:xfrm>
          <a:prstGeom prst="line">
            <a:avLst/>
          </a:prstGeom>
          <a:noFill/>
          <a:ln w="6350"/>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1870" name="Straight Connector 1869">
            <a:extLst>
              <a:ext uri="{FF2B5EF4-FFF2-40B4-BE49-F238E27FC236}">
                <a16:creationId xmlns:a16="http://schemas.microsoft.com/office/drawing/2014/main" id="{3DC65F81-4763-EBA9-C544-C7AFA3653681}"/>
              </a:ext>
            </a:extLst>
          </xdr:cNvPr>
          <xdr:cNvCxnSpPr/>
        </xdr:nvCxnSpPr>
        <xdr:spPr>
          <a:xfrm>
            <a:off x="4181475" y="94094300"/>
            <a:ext cx="403225" cy="0"/>
          </a:xfrm>
          <a:prstGeom prst="line">
            <a:avLst/>
          </a:prstGeom>
          <a:noFill/>
          <a:ln w="6350"/>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1871" name="Straight Connector 1870">
            <a:extLst>
              <a:ext uri="{FF2B5EF4-FFF2-40B4-BE49-F238E27FC236}">
                <a16:creationId xmlns:a16="http://schemas.microsoft.com/office/drawing/2014/main" id="{98B9E6EF-85F5-9CF8-D3B6-BB6AEC8D0225}"/>
              </a:ext>
            </a:extLst>
          </xdr:cNvPr>
          <xdr:cNvCxnSpPr/>
        </xdr:nvCxnSpPr>
        <xdr:spPr>
          <a:xfrm flipV="1">
            <a:off x="3724275" y="92759213"/>
            <a:ext cx="709613" cy="457200"/>
          </a:xfrm>
          <a:prstGeom prst="line">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872" name="Straight Connector 1871">
            <a:extLst>
              <a:ext uri="{FF2B5EF4-FFF2-40B4-BE49-F238E27FC236}">
                <a16:creationId xmlns:a16="http://schemas.microsoft.com/office/drawing/2014/main" id="{C44D438B-68DC-926C-8F84-D7BCE8C6C439}"/>
              </a:ext>
            </a:extLst>
          </xdr:cNvPr>
          <xdr:cNvCxnSpPr/>
        </xdr:nvCxnSpPr>
        <xdr:spPr>
          <a:xfrm flipV="1">
            <a:off x="3071813" y="92592525"/>
            <a:ext cx="842962" cy="414338"/>
          </a:xfrm>
          <a:prstGeom prst="line">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873" name="Straight Connector 1872">
            <a:extLst>
              <a:ext uri="{FF2B5EF4-FFF2-40B4-BE49-F238E27FC236}">
                <a16:creationId xmlns:a16="http://schemas.microsoft.com/office/drawing/2014/main" id="{FA8D2969-6859-1AA4-A507-70F9E893329C}"/>
              </a:ext>
            </a:extLst>
          </xdr:cNvPr>
          <xdr:cNvCxnSpPr/>
        </xdr:nvCxnSpPr>
        <xdr:spPr>
          <a:xfrm flipV="1">
            <a:off x="4152901" y="92749688"/>
            <a:ext cx="290512" cy="509588"/>
          </a:xfrm>
          <a:prstGeom prst="line">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874" name="Straight Connector 1873">
            <a:extLst>
              <a:ext uri="{FF2B5EF4-FFF2-40B4-BE49-F238E27FC236}">
                <a16:creationId xmlns:a16="http://schemas.microsoft.com/office/drawing/2014/main" id="{A00ACB43-0B6D-D31D-C9A8-63CF961FB49E}"/>
              </a:ext>
            </a:extLst>
          </xdr:cNvPr>
          <xdr:cNvCxnSpPr/>
        </xdr:nvCxnSpPr>
        <xdr:spPr>
          <a:xfrm flipH="1" flipV="1">
            <a:off x="4448175" y="92749688"/>
            <a:ext cx="157164" cy="709613"/>
          </a:xfrm>
          <a:prstGeom prst="line">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875" name="Straight Connector 1874">
            <a:extLst>
              <a:ext uri="{FF2B5EF4-FFF2-40B4-BE49-F238E27FC236}">
                <a16:creationId xmlns:a16="http://schemas.microsoft.com/office/drawing/2014/main" id="{F86D0589-0B0E-E385-D832-18A83D6894F4}"/>
              </a:ext>
            </a:extLst>
          </xdr:cNvPr>
          <xdr:cNvCxnSpPr/>
        </xdr:nvCxnSpPr>
        <xdr:spPr>
          <a:xfrm flipH="1" flipV="1">
            <a:off x="1452563" y="92583000"/>
            <a:ext cx="338137" cy="1109663"/>
          </a:xfrm>
          <a:prstGeom prst="line">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876" name="Straight Connector 1875">
            <a:extLst>
              <a:ext uri="{FF2B5EF4-FFF2-40B4-BE49-F238E27FC236}">
                <a16:creationId xmlns:a16="http://schemas.microsoft.com/office/drawing/2014/main" id="{97708CE4-6170-AD23-EC59-46297078EC8B}"/>
              </a:ext>
            </a:extLst>
          </xdr:cNvPr>
          <xdr:cNvCxnSpPr/>
        </xdr:nvCxnSpPr>
        <xdr:spPr>
          <a:xfrm flipH="1" flipV="1">
            <a:off x="1457325" y="92587763"/>
            <a:ext cx="771525" cy="742950"/>
          </a:xfrm>
          <a:prstGeom prst="line">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877" name="Straight Connector 1876">
            <a:extLst>
              <a:ext uri="{FF2B5EF4-FFF2-40B4-BE49-F238E27FC236}">
                <a16:creationId xmlns:a16="http://schemas.microsoft.com/office/drawing/2014/main" id="{3550BA31-81E2-2256-46B4-4446C9176BBF}"/>
              </a:ext>
            </a:extLst>
          </xdr:cNvPr>
          <xdr:cNvCxnSpPr/>
        </xdr:nvCxnSpPr>
        <xdr:spPr>
          <a:xfrm flipH="1" flipV="1">
            <a:off x="1452563" y="92578238"/>
            <a:ext cx="814387" cy="1519237"/>
          </a:xfrm>
          <a:prstGeom prst="line">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878" name="Straight Connector 1877">
            <a:extLst>
              <a:ext uri="{FF2B5EF4-FFF2-40B4-BE49-F238E27FC236}">
                <a16:creationId xmlns:a16="http://schemas.microsoft.com/office/drawing/2014/main" id="{93FA84B4-53CB-D4C4-46EA-FFE1E4011F74}"/>
              </a:ext>
            </a:extLst>
          </xdr:cNvPr>
          <xdr:cNvCxnSpPr/>
        </xdr:nvCxnSpPr>
        <xdr:spPr>
          <a:xfrm flipV="1">
            <a:off x="1300163" y="92583000"/>
            <a:ext cx="152400" cy="1100139"/>
          </a:xfrm>
          <a:prstGeom prst="line">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879" name="Straight Connector 1878">
            <a:extLst>
              <a:ext uri="{FF2B5EF4-FFF2-40B4-BE49-F238E27FC236}">
                <a16:creationId xmlns:a16="http://schemas.microsoft.com/office/drawing/2014/main" id="{E29F015B-2181-120F-1177-F8DABAA342F0}"/>
              </a:ext>
            </a:extLst>
          </xdr:cNvPr>
          <xdr:cNvCxnSpPr/>
        </xdr:nvCxnSpPr>
        <xdr:spPr>
          <a:xfrm flipH="1" flipV="1">
            <a:off x="2066925" y="92459175"/>
            <a:ext cx="752475" cy="876300"/>
          </a:xfrm>
          <a:prstGeom prst="line">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880" name="Straight Connector 1879">
            <a:extLst>
              <a:ext uri="{FF2B5EF4-FFF2-40B4-BE49-F238E27FC236}">
                <a16:creationId xmlns:a16="http://schemas.microsoft.com/office/drawing/2014/main" id="{62B77028-4592-6A19-03A2-167A250D4815}"/>
              </a:ext>
            </a:extLst>
          </xdr:cNvPr>
          <xdr:cNvCxnSpPr/>
        </xdr:nvCxnSpPr>
        <xdr:spPr>
          <a:xfrm flipH="1" flipV="1">
            <a:off x="2057400" y="92449650"/>
            <a:ext cx="1343025" cy="876300"/>
          </a:xfrm>
          <a:prstGeom prst="line">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881" name="Straight Connector 1880">
            <a:extLst>
              <a:ext uri="{FF2B5EF4-FFF2-40B4-BE49-F238E27FC236}">
                <a16:creationId xmlns:a16="http://schemas.microsoft.com/office/drawing/2014/main" id="{10925B4B-DA94-FFF3-EE1C-B05A40B54673}"/>
              </a:ext>
            </a:extLst>
          </xdr:cNvPr>
          <xdr:cNvCxnSpPr/>
        </xdr:nvCxnSpPr>
        <xdr:spPr>
          <a:xfrm>
            <a:off x="1133481" y="93711710"/>
            <a:ext cx="400050" cy="0"/>
          </a:xfrm>
          <a:prstGeom prst="line">
            <a:avLst/>
          </a:prstGeom>
          <a:noFill/>
          <a:ln w="6350">
            <a:prstDash val="dash"/>
          </a:ln>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1882" name="Straight Connector 1881">
            <a:extLst>
              <a:ext uri="{FF2B5EF4-FFF2-40B4-BE49-F238E27FC236}">
                <a16:creationId xmlns:a16="http://schemas.microsoft.com/office/drawing/2014/main" id="{8CA1675F-E78D-C553-0534-9DA716607212}"/>
              </a:ext>
            </a:extLst>
          </xdr:cNvPr>
          <xdr:cNvCxnSpPr/>
        </xdr:nvCxnSpPr>
        <xdr:spPr>
          <a:xfrm>
            <a:off x="2438407" y="93711705"/>
            <a:ext cx="1295400" cy="0"/>
          </a:xfrm>
          <a:prstGeom prst="line">
            <a:avLst/>
          </a:prstGeom>
          <a:noFill/>
          <a:ln w="6350">
            <a:prstDash val="dash"/>
          </a:ln>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1883" name="Straight Connector 1882">
            <a:extLst>
              <a:ext uri="{FF2B5EF4-FFF2-40B4-BE49-F238E27FC236}">
                <a16:creationId xmlns:a16="http://schemas.microsoft.com/office/drawing/2014/main" id="{FA9A0D6A-C5D1-29C7-1AE9-CDE8D4E213AA}"/>
              </a:ext>
            </a:extLst>
          </xdr:cNvPr>
          <xdr:cNvCxnSpPr/>
        </xdr:nvCxnSpPr>
        <xdr:spPr>
          <a:xfrm>
            <a:off x="4613281" y="93711712"/>
            <a:ext cx="411173" cy="0"/>
          </a:xfrm>
          <a:prstGeom prst="line">
            <a:avLst/>
          </a:prstGeom>
          <a:noFill/>
          <a:ln w="6350">
            <a:prstDash val="dash"/>
          </a:ln>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1884" name="Straight Connector 1883">
            <a:extLst>
              <a:ext uri="{FF2B5EF4-FFF2-40B4-BE49-F238E27FC236}">
                <a16:creationId xmlns:a16="http://schemas.microsoft.com/office/drawing/2014/main" id="{7ED98889-E03E-78E7-06E1-B7CC93B7B86C}"/>
              </a:ext>
            </a:extLst>
          </xdr:cNvPr>
          <xdr:cNvCxnSpPr/>
        </xdr:nvCxnSpPr>
        <xdr:spPr>
          <a:xfrm>
            <a:off x="1571632" y="93711703"/>
            <a:ext cx="428625" cy="0"/>
          </a:xfrm>
          <a:prstGeom prst="line">
            <a:avLst/>
          </a:prstGeom>
          <a:noFill/>
          <a:ln w="6350">
            <a:prstDash val="dash"/>
          </a:ln>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1885" name="Straight Connector 1884">
            <a:extLst>
              <a:ext uri="{FF2B5EF4-FFF2-40B4-BE49-F238E27FC236}">
                <a16:creationId xmlns:a16="http://schemas.microsoft.com/office/drawing/2014/main" id="{456C6CEB-2F8A-50E8-A40C-AB7D0C210847}"/>
              </a:ext>
            </a:extLst>
          </xdr:cNvPr>
          <xdr:cNvCxnSpPr/>
        </xdr:nvCxnSpPr>
        <xdr:spPr>
          <a:xfrm>
            <a:off x="2047882" y="93711703"/>
            <a:ext cx="365125" cy="0"/>
          </a:xfrm>
          <a:prstGeom prst="line">
            <a:avLst/>
          </a:prstGeom>
          <a:noFill/>
          <a:ln w="6350">
            <a:prstDash val="dash"/>
          </a:ln>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1886" name="Straight Connector 1885">
            <a:extLst>
              <a:ext uri="{FF2B5EF4-FFF2-40B4-BE49-F238E27FC236}">
                <a16:creationId xmlns:a16="http://schemas.microsoft.com/office/drawing/2014/main" id="{C399CDD9-710A-4924-F162-996A54ACD7C6}"/>
              </a:ext>
            </a:extLst>
          </xdr:cNvPr>
          <xdr:cNvCxnSpPr/>
        </xdr:nvCxnSpPr>
        <xdr:spPr>
          <a:xfrm>
            <a:off x="3768732" y="93711703"/>
            <a:ext cx="365125" cy="0"/>
          </a:xfrm>
          <a:prstGeom prst="line">
            <a:avLst/>
          </a:prstGeom>
          <a:noFill/>
          <a:ln w="6350">
            <a:prstDash val="dash"/>
          </a:ln>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1887" name="Straight Connector 1886">
            <a:extLst>
              <a:ext uri="{FF2B5EF4-FFF2-40B4-BE49-F238E27FC236}">
                <a16:creationId xmlns:a16="http://schemas.microsoft.com/office/drawing/2014/main" id="{4E231F54-C678-54B9-346F-CF1E4CDC9FD5}"/>
              </a:ext>
            </a:extLst>
          </xdr:cNvPr>
          <xdr:cNvCxnSpPr/>
        </xdr:nvCxnSpPr>
        <xdr:spPr>
          <a:xfrm>
            <a:off x="4187832" y="93711703"/>
            <a:ext cx="400050" cy="0"/>
          </a:xfrm>
          <a:prstGeom prst="line">
            <a:avLst/>
          </a:prstGeom>
          <a:noFill/>
          <a:ln w="6350">
            <a:prstDash val="dash"/>
          </a:ln>
        </xdr:spPr>
        <xdr:style>
          <a:lnRef idx="2">
            <a:schemeClr val="accent1">
              <a:shade val="15000"/>
            </a:schemeClr>
          </a:lnRef>
          <a:fillRef idx="1">
            <a:schemeClr val="accent1"/>
          </a:fillRef>
          <a:effectRef idx="0">
            <a:schemeClr val="accent1"/>
          </a:effectRef>
          <a:fontRef idx="minor">
            <a:schemeClr val="lt1"/>
          </a:fontRef>
        </xdr:style>
      </xdr:cxnSp>
      <xdr:cxnSp macro="">
        <xdr:nvCxnSpPr>
          <xdr:cNvPr id="1888" name="Straight Connector 1887">
            <a:extLst>
              <a:ext uri="{FF2B5EF4-FFF2-40B4-BE49-F238E27FC236}">
                <a16:creationId xmlns:a16="http://schemas.microsoft.com/office/drawing/2014/main" id="{0B097E5C-13C8-8480-39FE-0BDA78705EAA}"/>
              </a:ext>
            </a:extLst>
          </xdr:cNvPr>
          <xdr:cNvCxnSpPr/>
        </xdr:nvCxnSpPr>
        <xdr:spPr>
          <a:xfrm flipH="1">
            <a:off x="4852987" y="93049725"/>
            <a:ext cx="219076" cy="671512"/>
          </a:xfrm>
          <a:prstGeom prst="line">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889" name="Straight Connector 1888">
            <a:extLst>
              <a:ext uri="{FF2B5EF4-FFF2-40B4-BE49-F238E27FC236}">
                <a16:creationId xmlns:a16="http://schemas.microsoft.com/office/drawing/2014/main" id="{69CAFA3F-D4D9-9EE6-9237-3AE59328E90C}"/>
              </a:ext>
            </a:extLst>
          </xdr:cNvPr>
          <xdr:cNvCxnSpPr/>
        </xdr:nvCxnSpPr>
        <xdr:spPr>
          <a:xfrm>
            <a:off x="5033963" y="92978288"/>
            <a:ext cx="128587" cy="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890" name="Straight Connector 1889">
            <a:extLst>
              <a:ext uri="{FF2B5EF4-FFF2-40B4-BE49-F238E27FC236}">
                <a16:creationId xmlns:a16="http://schemas.microsoft.com/office/drawing/2014/main" id="{833F277F-94C4-FBE0-122D-6D7A5C5B2BE5}"/>
              </a:ext>
            </a:extLst>
          </xdr:cNvPr>
          <xdr:cNvCxnSpPr/>
        </xdr:nvCxnSpPr>
        <xdr:spPr>
          <a:xfrm>
            <a:off x="1009650" y="93621228"/>
            <a:ext cx="300038" cy="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1891" name="Isosceles Triangle 1890">
            <a:extLst>
              <a:ext uri="{FF2B5EF4-FFF2-40B4-BE49-F238E27FC236}">
                <a16:creationId xmlns:a16="http://schemas.microsoft.com/office/drawing/2014/main" id="{BF85960C-2779-9D29-D2CF-EDA4BEE289DE}"/>
              </a:ext>
            </a:extLst>
          </xdr:cNvPr>
          <xdr:cNvSpPr/>
        </xdr:nvSpPr>
        <xdr:spPr>
          <a:xfrm rot="10800000">
            <a:off x="1019178" y="93646850"/>
            <a:ext cx="95250" cy="82112"/>
          </a:xfrm>
          <a:prstGeom prst="triangle">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kern="1200"/>
          </a:p>
        </xdr:txBody>
      </xdr:sp>
      <xdr:sp macro="" textlink="">
        <xdr:nvSpPr>
          <xdr:cNvPr id="1892" name="Isosceles Triangle 1891">
            <a:extLst>
              <a:ext uri="{FF2B5EF4-FFF2-40B4-BE49-F238E27FC236}">
                <a16:creationId xmlns:a16="http://schemas.microsoft.com/office/drawing/2014/main" id="{BBAA78D0-2F57-DE58-CA35-BB9491698D8C}"/>
              </a:ext>
            </a:extLst>
          </xdr:cNvPr>
          <xdr:cNvSpPr/>
        </xdr:nvSpPr>
        <xdr:spPr>
          <a:xfrm rot="10800000">
            <a:off x="5081589" y="93659324"/>
            <a:ext cx="95250" cy="82112"/>
          </a:xfrm>
          <a:prstGeom prst="triangle">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kern="1200"/>
          </a:p>
        </xdr:txBody>
      </xdr:sp>
      <xdr:cxnSp macro="">
        <xdr:nvCxnSpPr>
          <xdr:cNvPr id="1893" name="Straight Connector 1892">
            <a:extLst>
              <a:ext uri="{FF2B5EF4-FFF2-40B4-BE49-F238E27FC236}">
                <a16:creationId xmlns:a16="http://schemas.microsoft.com/office/drawing/2014/main" id="{1D04CF29-D799-CCF7-B9A0-5898F7EA9FD8}"/>
              </a:ext>
            </a:extLst>
          </xdr:cNvPr>
          <xdr:cNvCxnSpPr/>
        </xdr:nvCxnSpPr>
        <xdr:spPr>
          <a:xfrm>
            <a:off x="4900613" y="93630750"/>
            <a:ext cx="300038" cy="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1894" name="Isosceles Triangle 1893">
            <a:extLst>
              <a:ext uri="{FF2B5EF4-FFF2-40B4-BE49-F238E27FC236}">
                <a16:creationId xmlns:a16="http://schemas.microsoft.com/office/drawing/2014/main" id="{680C622A-D8C2-2769-8D96-5D220AF5DC4B}"/>
              </a:ext>
            </a:extLst>
          </xdr:cNvPr>
          <xdr:cNvSpPr/>
        </xdr:nvSpPr>
        <xdr:spPr>
          <a:xfrm rot="5400000">
            <a:off x="3043238" y="92575278"/>
            <a:ext cx="95250" cy="82112"/>
          </a:xfrm>
          <a:prstGeom prst="triangle">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kern="1200"/>
          </a:p>
        </xdr:txBody>
      </xdr:sp>
      <xdr:cxnSp macro="">
        <xdr:nvCxnSpPr>
          <xdr:cNvPr id="1895" name="Straight Connector 1894">
            <a:extLst>
              <a:ext uri="{FF2B5EF4-FFF2-40B4-BE49-F238E27FC236}">
                <a16:creationId xmlns:a16="http://schemas.microsoft.com/office/drawing/2014/main" id="{18C7A259-52C2-CEE6-FEF0-EFA2E7D3D5B7}"/>
              </a:ext>
            </a:extLst>
          </xdr:cNvPr>
          <xdr:cNvCxnSpPr/>
        </xdr:nvCxnSpPr>
        <xdr:spPr>
          <a:xfrm>
            <a:off x="3024189" y="92575279"/>
            <a:ext cx="0" cy="32385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1896" name="Isosceles Triangle 1895">
            <a:extLst>
              <a:ext uri="{FF2B5EF4-FFF2-40B4-BE49-F238E27FC236}">
                <a16:creationId xmlns:a16="http://schemas.microsoft.com/office/drawing/2014/main" id="{AF0794E6-EB94-78C3-F1DB-E660C00CD0E5}"/>
              </a:ext>
            </a:extLst>
          </xdr:cNvPr>
          <xdr:cNvSpPr/>
        </xdr:nvSpPr>
        <xdr:spPr>
          <a:xfrm rot="5400000">
            <a:off x="3043236" y="94496389"/>
            <a:ext cx="95250" cy="82112"/>
          </a:xfrm>
          <a:prstGeom prst="triangle">
            <a:avLst/>
          </a:prstGeom>
          <a:solidFill>
            <a:schemeClr val="bg1">
              <a:lumMod val="95000"/>
            </a:schemeClr>
          </a:solid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kern="1200"/>
          </a:p>
        </xdr:txBody>
      </xdr:sp>
      <xdr:cxnSp macro="">
        <xdr:nvCxnSpPr>
          <xdr:cNvPr id="1897" name="Straight Connector 1896">
            <a:extLst>
              <a:ext uri="{FF2B5EF4-FFF2-40B4-BE49-F238E27FC236}">
                <a16:creationId xmlns:a16="http://schemas.microsoft.com/office/drawing/2014/main" id="{45E0443B-C8AA-2263-3150-39AF6C74D65A}"/>
              </a:ext>
            </a:extLst>
          </xdr:cNvPr>
          <xdr:cNvCxnSpPr/>
        </xdr:nvCxnSpPr>
        <xdr:spPr>
          <a:xfrm>
            <a:off x="3024187" y="94263021"/>
            <a:ext cx="0" cy="32385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3019" name="Straight Connector 3018">
            <a:extLst>
              <a:ext uri="{FF2B5EF4-FFF2-40B4-BE49-F238E27FC236}">
                <a16:creationId xmlns:a16="http://schemas.microsoft.com/office/drawing/2014/main" id="{4F4AE7FD-3CD2-415C-9013-0660A06DFFFD}"/>
              </a:ext>
            </a:extLst>
          </xdr:cNvPr>
          <xdr:cNvCxnSpPr/>
        </xdr:nvCxnSpPr>
        <xdr:spPr>
          <a:xfrm flipH="1" flipV="1">
            <a:off x="2062163" y="92454413"/>
            <a:ext cx="700087" cy="1233487"/>
          </a:xfrm>
          <a:prstGeom prst="line">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362" name="Straight Connector 3361">
            <a:extLst>
              <a:ext uri="{FF2B5EF4-FFF2-40B4-BE49-F238E27FC236}">
                <a16:creationId xmlns:a16="http://schemas.microsoft.com/office/drawing/2014/main" id="{58341956-A7F0-4848-988A-E107328D53F9}"/>
              </a:ext>
            </a:extLst>
          </xdr:cNvPr>
          <xdr:cNvCxnSpPr/>
        </xdr:nvCxnSpPr>
        <xdr:spPr>
          <a:xfrm flipH="1" flipV="1">
            <a:off x="2066925" y="92459175"/>
            <a:ext cx="1376362" cy="1228724"/>
          </a:xfrm>
          <a:prstGeom prst="line">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832065-3B26-4C3D-AB2B-FE1DAFBA753A}">
  <dimension ref="B1:CX961"/>
  <sheetViews>
    <sheetView showGridLines="0" tabSelected="1" zoomScaleNormal="100" workbookViewId="0">
      <selection activeCell="AE7" sqref="AE7"/>
    </sheetView>
  </sheetViews>
  <sheetFormatPr defaultRowHeight="11.25" x14ac:dyDescent="0.2"/>
  <cols>
    <col min="1" max="89" width="2.83203125" style="1" customWidth="1"/>
    <col min="90" max="90" width="5.5" style="1" customWidth="1"/>
    <col min="91" max="91" width="17.5" style="1" customWidth="1"/>
    <col min="92" max="92" width="8.83203125" style="1" customWidth="1"/>
    <col min="93" max="94" width="2.83203125" style="1" customWidth="1"/>
    <col min="95" max="95" width="15.33203125" style="1" customWidth="1"/>
    <col min="96" max="96" width="8.83203125" style="1" customWidth="1"/>
    <col min="97" max="97" width="2.83203125" style="1" customWidth="1"/>
    <col min="98" max="98" width="12" style="1" customWidth="1"/>
    <col min="99" max="99" width="9" style="1" customWidth="1"/>
    <col min="100" max="100" width="2.83203125" style="1" customWidth="1"/>
    <col min="101" max="101" width="16.5" style="1" customWidth="1"/>
    <col min="102" max="102" width="10.5" style="1" customWidth="1"/>
    <col min="103" max="1242" width="2.83203125" style="1" customWidth="1"/>
    <col min="1243" max="16384" width="9.33203125" style="1"/>
  </cols>
  <sheetData>
    <row r="1" spans="2:102" ht="12" thickBot="1" x14ac:dyDescent="0.25"/>
    <row r="2" spans="2:102" ht="40.5" customHeight="1" x14ac:dyDescent="0.2">
      <c r="B2" s="187" t="s">
        <v>468</v>
      </c>
      <c r="C2" s="188"/>
      <c r="D2" s="188"/>
      <c r="E2" s="188"/>
      <c r="F2" s="188"/>
      <c r="G2" s="188"/>
      <c r="H2" s="188"/>
      <c r="I2" s="188"/>
      <c r="J2" s="188"/>
      <c r="K2" s="188"/>
      <c r="L2" s="188"/>
      <c r="M2" s="188"/>
      <c r="N2" s="188"/>
      <c r="O2" s="188"/>
      <c r="P2" s="188"/>
      <c r="Q2" s="188"/>
      <c r="R2" s="188"/>
      <c r="S2" s="188"/>
      <c r="T2" s="188"/>
      <c r="U2" s="188"/>
      <c r="V2" s="188"/>
      <c r="W2" s="188"/>
      <c r="X2" s="188"/>
      <c r="Y2" s="188"/>
      <c r="Z2" s="188"/>
      <c r="AA2" s="188"/>
      <c r="AB2" s="188"/>
      <c r="AC2" s="188"/>
      <c r="AD2" s="188"/>
      <c r="AE2" s="188"/>
      <c r="AF2" s="188"/>
      <c r="AG2" s="188"/>
      <c r="AH2" s="188"/>
      <c r="AI2" s="188"/>
      <c r="AJ2" s="188"/>
      <c r="AK2" s="188"/>
      <c r="AL2" s="188"/>
      <c r="AM2" s="188"/>
      <c r="AN2" s="188"/>
      <c r="AO2" s="188"/>
      <c r="AP2" s="188"/>
      <c r="AQ2" s="188"/>
      <c r="AR2" s="188"/>
      <c r="AS2" s="188"/>
      <c r="AT2" s="188"/>
      <c r="AU2" s="188"/>
      <c r="AV2" s="188"/>
      <c r="AW2" s="188"/>
      <c r="AX2" s="188"/>
      <c r="AY2" s="188"/>
      <c r="AZ2" s="188"/>
      <c r="BA2" s="188"/>
      <c r="BB2" s="188"/>
      <c r="BC2" s="188"/>
      <c r="BD2" s="188"/>
      <c r="BE2" s="188"/>
      <c r="BF2" s="188"/>
      <c r="BG2" s="188"/>
      <c r="BH2" s="188"/>
      <c r="BI2" s="188"/>
      <c r="BJ2" s="188"/>
      <c r="BK2" s="188"/>
      <c r="BL2" s="188"/>
      <c r="BM2" s="188"/>
      <c r="BN2" s="188"/>
      <c r="BO2" s="188"/>
      <c r="BP2" s="188"/>
      <c r="BQ2" s="188"/>
      <c r="BR2" s="188"/>
      <c r="BS2" s="188"/>
      <c r="BT2" s="188"/>
      <c r="BU2" s="188"/>
      <c r="BV2" s="188"/>
      <c r="BW2" s="188"/>
      <c r="BX2" s="188"/>
      <c r="BY2" s="188"/>
      <c r="BZ2" s="188"/>
      <c r="CA2" s="188"/>
      <c r="CB2" s="189"/>
      <c r="CL2" s="63" t="s">
        <v>300</v>
      </c>
      <c r="CM2" s="63"/>
      <c r="CN2" s="63"/>
      <c r="CQ2" s="200" t="s">
        <v>383</v>
      </c>
      <c r="CR2" s="200"/>
      <c r="CT2" s="63" t="s">
        <v>267</v>
      </c>
      <c r="CU2" s="63"/>
      <c r="CW2" s="63" t="s">
        <v>428</v>
      </c>
      <c r="CX2" s="63"/>
    </row>
    <row r="3" spans="2:102" x14ac:dyDescent="0.2">
      <c r="B3" s="14"/>
      <c r="D3" s="31" t="s">
        <v>280</v>
      </c>
      <c r="AB3" s="32"/>
      <c r="AC3" s="5"/>
      <c r="AD3" s="5"/>
      <c r="AE3" s="5"/>
      <c r="AF3" s="5"/>
      <c r="AG3" s="5"/>
      <c r="AH3" s="33"/>
      <c r="AI3" s="34"/>
      <c r="AJ3" s="34"/>
      <c r="AK3" s="34"/>
      <c r="AL3" s="34"/>
      <c r="AM3" s="34"/>
      <c r="AN3" s="34"/>
      <c r="AO3" s="5"/>
      <c r="AP3" s="5"/>
      <c r="AQ3" s="5"/>
      <c r="AR3" s="5"/>
      <c r="AS3" s="5"/>
      <c r="CB3" s="15"/>
      <c r="CL3" s="191" t="s">
        <v>17</v>
      </c>
      <c r="CM3" s="191"/>
      <c r="CN3" s="2" t="s">
        <v>138</v>
      </c>
      <c r="CQ3" s="3" t="s">
        <v>382</v>
      </c>
      <c r="CR3" s="3" t="s">
        <v>138</v>
      </c>
      <c r="CT3" s="10" t="s">
        <v>237</v>
      </c>
      <c r="CU3" s="3" t="s">
        <v>138</v>
      </c>
      <c r="CW3" s="24" t="s">
        <v>472</v>
      </c>
      <c r="CX3" s="3" t="s">
        <v>138</v>
      </c>
    </row>
    <row r="4" spans="2:102" x14ac:dyDescent="0.2">
      <c r="B4" s="14"/>
      <c r="Q4" s="35" t="s">
        <v>5</v>
      </c>
      <c r="R4" s="35"/>
      <c r="AX4" s="35" t="s">
        <v>290</v>
      </c>
      <c r="BI4" s="1" t="s">
        <v>8</v>
      </c>
      <c r="CB4" s="15"/>
      <c r="CL4" s="199" t="s">
        <v>18</v>
      </c>
      <c r="CM4" s="3" t="s">
        <v>19</v>
      </c>
      <c r="CN4" s="3">
        <v>5.94</v>
      </c>
      <c r="CQ4" s="20" t="s">
        <v>139</v>
      </c>
      <c r="CR4" s="3">
        <v>0.88</v>
      </c>
      <c r="CT4" s="8" t="s">
        <v>238</v>
      </c>
      <c r="CU4" s="3">
        <v>1.74</v>
      </c>
      <c r="CW4" s="24" t="s">
        <v>387</v>
      </c>
      <c r="CX4" s="24">
        <v>2.36</v>
      </c>
    </row>
    <row r="5" spans="2:102" x14ac:dyDescent="0.2">
      <c r="B5" s="14"/>
      <c r="CB5" s="15"/>
      <c r="CL5" s="199"/>
      <c r="CM5" s="3" t="s">
        <v>20</v>
      </c>
      <c r="CN5" s="3">
        <v>8.34</v>
      </c>
      <c r="CQ5" s="20" t="s">
        <v>140</v>
      </c>
      <c r="CR5" s="3">
        <v>1.1399999999999999</v>
      </c>
      <c r="CT5" s="8" t="s">
        <v>239</v>
      </c>
      <c r="CU5" s="3">
        <v>4.2699999999999996</v>
      </c>
      <c r="CW5" s="24" t="s">
        <v>388</v>
      </c>
      <c r="CX5" s="24">
        <v>3.14</v>
      </c>
    </row>
    <row r="6" spans="2:102" x14ac:dyDescent="0.2">
      <c r="B6" s="14"/>
      <c r="E6" s="36" t="s">
        <v>0</v>
      </c>
      <c r="X6" s="1" t="s">
        <v>12</v>
      </c>
      <c r="CB6" s="15"/>
      <c r="CL6" s="199"/>
      <c r="CM6" s="3" t="s">
        <v>21</v>
      </c>
      <c r="CN6" s="3">
        <v>11.1</v>
      </c>
      <c r="CQ6" s="20" t="s">
        <v>141</v>
      </c>
      <c r="CR6" s="3">
        <v>1.1200000000000001</v>
      </c>
      <c r="CT6" s="8" t="s">
        <v>240</v>
      </c>
      <c r="CU6" s="3">
        <v>2.87</v>
      </c>
      <c r="CW6" s="24" t="s">
        <v>389</v>
      </c>
      <c r="CX6" s="24">
        <v>3.93</v>
      </c>
    </row>
    <row r="7" spans="2:102" ht="11.25" customHeight="1" x14ac:dyDescent="0.2">
      <c r="B7" s="14"/>
      <c r="E7" s="122">
        <v>1.2</v>
      </c>
      <c r="AH7" s="60">
        <f>+E7</f>
        <v>1.2</v>
      </c>
      <c r="AI7" s="60"/>
      <c r="AJ7" s="1" t="s">
        <v>0</v>
      </c>
      <c r="BO7" s="1" t="s">
        <v>466</v>
      </c>
      <c r="CB7" s="15"/>
      <c r="CE7" s="74" t="s">
        <v>470</v>
      </c>
      <c r="CF7" s="75"/>
      <c r="CG7" s="75"/>
      <c r="CH7" s="75"/>
      <c r="CI7" s="75"/>
      <c r="CJ7" s="76"/>
      <c r="CL7" s="199"/>
      <c r="CM7" s="3" t="s">
        <v>22</v>
      </c>
      <c r="CN7" s="3">
        <v>14.3</v>
      </c>
      <c r="CQ7" s="20" t="s">
        <v>142</v>
      </c>
      <c r="CR7" s="3">
        <v>1.45</v>
      </c>
      <c r="CT7" s="8" t="s">
        <v>241</v>
      </c>
      <c r="CU7" s="3">
        <v>4.87</v>
      </c>
      <c r="CW7" s="24" t="s">
        <v>390</v>
      </c>
      <c r="CX7" s="24">
        <v>4.6900000000000004</v>
      </c>
    </row>
    <row r="8" spans="2:102" x14ac:dyDescent="0.2">
      <c r="B8" s="14"/>
      <c r="E8" s="122"/>
      <c r="CB8" s="15"/>
      <c r="CE8" s="77"/>
      <c r="CF8" s="78"/>
      <c r="CG8" s="78"/>
      <c r="CH8" s="78"/>
      <c r="CI8" s="78"/>
      <c r="CJ8" s="79"/>
      <c r="CL8" s="199"/>
      <c r="CM8" s="3" t="s">
        <v>23</v>
      </c>
      <c r="CN8" s="3">
        <v>17.899999999999999</v>
      </c>
      <c r="CQ8" s="20" t="s">
        <v>143</v>
      </c>
      <c r="CR8" s="3">
        <v>1.77</v>
      </c>
      <c r="CT8" s="8" t="s">
        <v>242</v>
      </c>
      <c r="CU8" s="3">
        <v>3.86</v>
      </c>
      <c r="CW8" s="24" t="s">
        <v>391</v>
      </c>
      <c r="CX8" s="24">
        <v>3.54</v>
      </c>
    </row>
    <row r="9" spans="2:102" x14ac:dyDescent="0.2">
      <c r="B9" s="14"/>
      <c r="E9" s="122"/>
      <c r="CB9" s="15"/>
      <c r="CE9" s="77"/>
      <c r="CF9" s="78"/>
      <c r="CG9" s="78"/>
      <c r="CH9" s="78"/>
      <c r="CI9" s="78"/>
      <c r="CJ9" s="79"/>
      <c r="CL9" s="199"/>
      <c r="CM9" s="3" t="s">
        <v>24</v>
      </c>
      <c r="CN9" s="3">
        <v>21.9</v>
      </c>
      <c r="CQ9" s="20" t="s">
        <v>144</v>
      </c>
      <c r="CR9" s="3">
        <v>1.36</v>
      </c>
      <c r="CT9" s="8" t="s">
        <v>243</v>
      </c>
      <c r="CU9" s="3">
        <v>5.59</v>
      </c>
      <c r="CW9" s="24" t="s">
        <v>392</v>
      </c>
      <c r="CX9" s="24">
        <v>4.72</v>
      </c>
    </row>
    <row r="10" spans="2:102" ht="11.25" customHeight="1" x14ac:dyDescent="0.2">
      <c r="B10" s="14"/>
      <c r="C10" s="36" t="s">
        <v>0</v>
      </c>
      <c r="N10" s="60">
        <f>SQRT(E7^2+N19^2)</f>
        <v>12.059850745345068</v>
      </c>
      <c r="O10" s="60"/>
      <c r="P10" s="1" t="s">
        <v>0</v>
      </c>
      <c r="AB10" s="60">
        <f>ATAN(E7/N19)*180/PI()</f>
        <v>5.7105931374996421</v>
      </c>
      <c r="AC10" s="60"/>
      <c r="AD10" s="37" t="s">
        <v>6</v>
      </c>
      <c r="CB10" s="15"/>
      <c r="CE10" s="77"/>
      <c r="CF10" s="78"/>
      <c r="CG10" s="78"/>
      <c r="CH10" s="78"/>
      <c r="CI10" s="78"/>
      <c r="CJ10" s="79"/>
      <c r="CL10" s="199"/>
      <c r="CM10" s="3" t="s">
        <v>25</v>
      </c>
      <c r="CN10" s="3">
        <v>26.2</v>
      </c>
      <c r="CQ10" s="20" t="s">
        <v>145</v>
      </c>
      <c r="CR10" s="3">
        <v>1.78</v>
      </c>
      <c r="CT10" s="8" t="s">
        <v>244</v>
      </c>
      <c r="CU10" s="3">
        <v>5.07</v>
      </c>
      <c r="CW10" s="24" t="s">
        <v>393</v>
      </c>
      <c r="CX10" s="24">
        <v>5.9</v>
      </c>
    </row>
    <row r="11" spans="2:102" ht="11.25" customHeight="1" x14ac:dyDescent="0.2">
      <c r="B11" s="14"/>
      <c r="C11" s="121">
        <f>+E7+E13</f>
        <v>9.1999999999999993</v>
      </c>
      <c r="AH11" s="60">
        <f>+E13/3</f>
        <v>2.6666666666666665</v>
      </c>
      <c r="AI11" s="60"/>
      <c r="AJ11" s="1" t="s">
        <v>0</v>
      </c>
      <c r="CB11" s="15"/>
      <c r="CE11" s="77"/>
      <c r="CF11" s="78"/>
      <c r="CG11" s="78"/>
      <c r="CH11" s="78"/>
      <c r="CI11" s="78"/>
      <c r="CJ11" s="79"/>
      <c r="CL11" s="199"/>
      <c r="CM11" s="3" t="s">
        <v>26</v>
      </c>
      <c r="CN11" s="3">
        <v>31.1</v>
      </c>
      <c r="CQ11" s="20" t="s">
        <v>146</v>
      </c>
      <c r="CR11" s="3">
        <v>2.1800000000000002</v>
      </c>
      <c r="CT11" s="8" t="s">
        <v>245</v>
      </c>
      <c r="CU11" s="3">
        <v>7.09</v>
      </c>
      <c r="CW11" s="24" t="s">
        <v>394</v>
      </c>
      <c r="CX11" s="24">
        <v>7.07</v>
      </c>
    </row>
    <row r="12" spans="2:102" ht="11.25" customHeight="1" x14ac:dyDescent="0.2">
      <c r="B12" s="14"/>
      <c r="C12" s="121"/>
      <c r="E12" s="36" t="s">
        <v>0</v>
      </c>
      <c r="CB12" s="15"/>
      <c r="CE12" s="77"/>
      <c r="CF12" s="78"/>
      <c r="CG12" s="78"/>
      <c r="CH12" s="78"/>
      <c r="CI12" s="78"/>
      <c r="CJ12" s="79"/>
      <c r="CL12" s="199"/>
      <c r="CM12" s="3" t="s">
        <v>27</v>
      </c>
      <c r="CN12" s="3">
        <v>36.200000000000003</v>
      </c>
      <c r="CQ12" s="20" t="s">
        <v>147</v>
      </c>
      <c r="CR12" s="3">
        <v>1.6</v>
      </c>
      <c r="CT12" s="8" t="s">
        <v>246</v>
      </c>
      <c r="CU12" s="3">
        <v>8.64</v>
      </c>
      <c r="CW12" s="24" t="s">
        <v>395</v>
      </c>
      <c r="CX12" s="24">
        <v>4.72</v>
      </c>
    </row>
    <row r="13" spans="2:102" ht="11.25" customHeight="1" x14ac:dyDescent="0.2">
      <c r="B13" s="14"/>
      <c r="C13" s="121"/>
      <c r="E13" s="122">
        <v>8</v>
      </c>
      <c r="AH13" s="60">
        <f>+AH11</f>
        <v>2.6666666666666665</v>
      </c>
      <c r="AI13" s="60"/>
      <c r="AJ13" s="183" t="s">
        <v>0</v>
      </c>
      <c r="BO13" s="1" t="s">
        <v>7</v>
      </c>
      <c r="CB13" s="15"/>
      <c r="CE13" s="77"/>
      <c r="CF13" s="78"/>
      <c r="CG13" s="78"/>
      <c r="CH13" s="78"/>
      <c r="CI13" s="78"/>
      <c r="CJ13" s="79"/>
      <c r="CL13" s="199"/>
      <c r="CM13" s="3" t="s">
        <v>28</v>
      </c>
      <c r="CN13" s="3">
        <v>41.9</v>
      </c>
      <c r="CQ13" s="20" t="s">
        <v>148</v>
      </c>
      <c r="CR13" s="3">
        <v>2.1</v>
      </c>
      <c r="CT13" s="8" t="s">
        <v>247</v>
      </c>
      <c r="CU13" s="3">
        <v>10.6</v>
      </c>
      <c r="CW13" s="24" t="s">
        <v>396</v>
      </c>
      <c r="CX13" s="24">
        <v>6.29</v>
      </c>
    </row>
    <row r="14" spans="2:102" ht="11.25" customHeight="1" x14ac:dyDescent="0.2">
      <c r="B14" s="14"/>
      <c r="E14" s="122"/>
      <c r="AD14" s="1" t="s">
        <v>13</v>
      </c>
      <c r="AH14" s="60"/>
      <c r="AI14" s="60"/>
      <c r="AJ14" s="183"/>
      <c r="CB14" s="15"/>
      <c r="CE14" s="80"/>
      <c r="CF14" s="81"/>
      <c r="CG14" s="81"/>
      <c r="CH14" s="81"/>
      <c r="CI14" s="81"/>
      <c r="CJ14" s="82"/>
      <c r="CL14" s="199"/>
      <c r="CM14" s="3" t="s">
        <v>29</v>
      </c>
      <c r="CN14" s="3">
        <v>47.9</v>
      </c>
      <c r="CQ14" s="20" t="s">
        <v>149</v>
      </c>
      <c r="CR14" s="3">
        <v>2.57</v>
      </c>
      <c r="CT14" s="8" t="s">
        <v>248</v>
      </c>
      <c r="CU14" s="3">
        <v>13.4</v>
      </c>
      <c r="CW14" s="24" t="s">
        <v>397</v>
      </c>
      <c r="CX14" s="24">
        <v>7.86</v>
      </c>
    </row>
    <row r="15" spans="2:102" ht="11.25" customHeight="1" x14ac:dyDescent="0.2">
      <c r="B15" s="14"/>
      <c r="E15" s="122"/>
      <c r="CB15" s="15"/>
      <c r="CL15" s="199"/>
      <c r="CM15" s="3" t="s">
        <v>30</v>
      </c>
      <c r="CN15" s="3">
        <v>54.2</v>
      </c>
      <c r="CQ15" s="20" t="s">
        <v>150</v>
      </c>
      <c r="CR15" s="3">
        <v>3.04</v>
      </c>
      <c r="CT15" s="8" t="s">
        <v>249</v>
      </c>
      <c r="CU15" s="3">
        <v>16</v>
      </c>
      <c r="CW15" s="24" t="s">
        <v>398</v>
      </c>
      <c r="CX15" s="24">
        <v>9.43</v>
      </c>
    </row>
    <row r="16" spans="2:102" ht="11.25" customHeight="1" x14ac:dyDescent="0.2">
      <c r="B16" s="14"/>
      <c r="AH16" s="60">
        <f>+AH13</f>
        <v>2.6666666666666665</v>
      </c>
      <c r="AI16" s="60"/>
      <c r="AJ16" s="1" t="s">
        <v>0</v>
      </c>
      <c r="CB16" s="15"/>
      <c r="CE16" s="200" t="s">
        <v>449</v>
      </c>
      <c r="CF16" s="200"/>
      <c r="CG16" s="200"/>
      <c r="CH16" s="200"/>
      <c r="CI16" s="200"/>
      <c r="CJ16" s="200"/>
      <c r="CL16" s="199"/>
      <c r="CM16" s="3" t="s">
        <v>31</v>
      </c>
      <c r="CN16" s="3">
        <v>61</v>
      </c>
      <c r="CQ16" s="20" t="s">
        <v>151</v>
      </c>
      <c r="CR16" s="3">
        <v>1.84</v>
      </c>
      <c r="CT16" s="8" t="s">
        <v>250</v>
      </c>
      <c r="CU16" s="3">
        <v>18.8</v>
      </c>
      <c r="CW16" s="24" t="s">
        <v>399</v>
      </c>
      <c r="CX16" s="24">
        <v>6.29</v>
      </c>
    </row>
    <row r="17" spans="2:102" ht="11.25" customHeight="1" x14ac:dyDescent="0.2">
      <c r="B17" s="14"/>
      <c r="CB17" s="15"/>
      <c r="CE17" s="200"/>
      <c r="CF17" s="200"/>
      <c r="CG17" s="200"/>
      <c r="CH17" s="200"/>
      <c r="CI17" s="200"/>
      <c r="CJ17" s="200"/>
      <c r="CL17" s="199"/>
      <c r="CM17" s="3" t="s">
        <v>32</v>
      </c>
      <c r="CN17" s="3">
        <v>68</v>
      </c>
      <c r="CQ17" s="20" t="s">
        <v>152</v>
      </c>
      <c r="CR17" s="3">
        <v>2.42</v>
      </c>
      <c r="CT17" s="8" t="s">
        <v>251</v>
      </c>
      <c r="CU17" s="3">
        <v>22</v>
      </c>
      <c r="CW17" s="24" t="s">
        <v>400</v>
      </c>
      <c r="CX17" s="24">
        <v>7.86</v>
      </c>
    </row>
    <row r="18" spans="2:102" x14ac:dyDescent="0.2">
      <c r="B18" s="14"/>
      <c r="CB18" s="15"/>
      <c r="CE18" s="200"/>
      <c r="CF18" s="200"/>
      <c r="CG18" s="200"/>
      <c r="CH18" s="200"/>
      <c r="CI18" s="200"/>
      <c r="CJ18" s="200"/>
      <c r="CL18" s="199"/>
      <c r="CM18" s="3" t="s">
        <v>33</v>
      </c>
      <c r="CN18" s="3">
        <v>76.099999999999994</v>
      </c>
      <c r="CQ18" s="20" t="s">
        <v>153</v>
      </c>
      <c r="CR18" s="3">
        <v>2.97</v>
      </c>
      <c r="CT18" s="8" t="s">
        <v>252</v>
      </c>
      <c r="CU18" s="3">
        <v>25.3</v>
      </c>
      <c r="CW18" s="24" t="s">
        <v>401</v>
      </c>
      <c r="CX18" s="24">
        <v>9.43</v>
      </c>
    </row>
    <row r="19" spans="2:102" x14ac:dyDescent="0.2">
      <c r="B19" s="14"/>
      <c r="N19" s="60">
        <f>+S21/2</f>
        <v>12</v>
      </c>
      <c r="O19" s="60"/>
      <c r="P19" s="1" t="s">
        <v>0</v>
      </c>
      <c r="Y19" s="60">
        <f>+S21/2</f>
        <v>12</v>
      </c>
      <c r="Z19" s="60"/>
      <c r="AA19" s="1" t="s">
        <v>0</v>
      </c>
      <c r="AM19" s="60">
        <f>+E30</f>
        <v>6</v>
      </c>
      <c r="AN19" s="60"/>
      <c r="AO19" s="1" t="s">
        <v>0</v>
      </c>
      <c r="AQ19" s="60">
        <f>+AM19</f>
        <v>6</v>
      </c>
      <c r="AR19" s="60"/>
      <c r="AS19" s="1" t="s">
        <v>0</v>
      </c>
      <c r="AU19" s="60">
        <f>+AQ19</f>
        <v>6</v>
      </c>
      <c r="AV19" s="60"/>
      <c r="AW19" s="1" t="s">
        <v>0</v>
      </c>
      <c r="AY19" s="60">
        <f>+AU19</f>
        <v>6</v>
      </c>
      <c r="AZ19" s="60"/>
      <c r="BC19" s="60">
        <f>+AY19</f>
        <v>6</v>
      </c>
      <c r="BD19" s="60"/>
      <c r="BG19" s="60">
        <f>+BC19</f>
        <v>6</v>
      </c>
      <c r="BH19" s="60"/>
      <c r="BK19" s="60">
        <f>+BG19</f>
        <v>6</v>
      </c>
      <c r="BL19" s="60"/>
      <c r="CB19" s="15"/>
      <c r="CE19" s="200"/>
      <c r="CF19" s="200"/>
      <c r="CG19" s="200"/>
      <c r="CH19" s="200"/>
      <c r="CI19" s="200"/>
      <c r="CJ19" s="200"/>
      <c r="CL19" s="199"/>
      <c r="CM19" s="3" t="s">
        <v>34</v>
      </c>
      <c r="CN19" s="3">
        <v>84</v>
      </c>
      <c r="CQ19" s="20" t="s">
        <v>154</v>
      </c>
      <c r="CR19" s="3">
        <v>3.52</v>
      </c>
      <c r="CT19" s="8" t="s">
        <v>253</v>
      </c>
      <c r="CU19" s="3">
        <v>29.4</v>
      </c>
      <c r="CW19" s="24" t="s">
        <v>402</v>
      </c>
      <c r="CX19" s="24">
        <v>12.58</v>
      </c>
    </row>
    <row r="20" spans="2:102" x14ac:dyDescent="0.2">
      <c r="B20" s="14"/>
      <c r="CB20" s="15"/>
      <c r="CE20" s="200"/>
      <c r="CF20" s="200"/>
      <c r="CG20" s="200"/>
      <c r="CH20" s="200"/>
      <c r="CI20" s="200"/>
      <c r="CJ20" s="200"/>
      <c r="CL20" s="199"/>
      <c r="CM20" s="3" t="s">
        <v>35</v>
      </c>
      <c r="CN20" s="3">
        <v>92.4</v>
      </c>
      <c r="CQ20" s="20" t="s">
        <v>155</v>
      </c>
      <c r="CR20" s="3">
        <v>2.74</v>
      </c>
      <c r="CT20" s="8" t="s">
        <v>254</v>
      </c>
      <c r="CU20" s="3">
        <v>33.200000000000003</v>
      </c>
      <c r="CW20" s="24" t="s">
        <v>403</v>
      </c>
      <c r="CX20" s="24">
        <v>7.86</v>
      </c>
    </row>
    <row r="21" spans="2:102" x14ac:dyDescent="0.2">
      <c r="B21" s="14"/>
      <c r="S21" s="91">
        <v>24</v>
      </c>
      <c r="T21" s="91"/>
      <c r="U21" s="1" t="s">
        <v>0</v>
      </c>
      <c r="AY21" s="60">
        <f>+C41</f>
        <v>42</v>
      </c>
      <c r="AZ21" s="60"/>
      <c r="BA21" s="60"/>
      <c r="BB21" s="1" t="s">
        <v>0</v>
      </c>
      <c r="CB21" s="15"/>
      <c r="CE21" s="200"/>
      <c r="CF21" s="200"/>
      <c r="CG21" s="200"/>
      <c r="CH21" s="200"/>
      <c r="CI21" s="200"/>
      <c r="CJ21" s="200"/>
      <c r="CL21" s="199"/>
      <c r="CM21" s="3" t="s">
        <v>36</v>
      </c>
      <c r="CN21" s="3">
        <v>104</v>
      </c>
      <c r="CQ21" s="20" t="s">
        <v>156</v>
      </c>
      <c r="CR21" s="3">
        <v>3.38</v>
      </c>
      <c r="CT21" s="8" t="s">
        <v>255</v>
      </c>
      <c r="CU21" s="3">
        <v>37.9</v>
      </c>
      <c r="CW21" s="24" t="s">
        <v>404</v>
      </c>
      <c r="CX21" s="24">
        <v>9.83</v>
      </c>
    </row>
    <row r="22" spans="2:102" x14ac:dyDescent="0.2">
      <c r="B22" s="14"/>
      <c r="CB22" s="15"/>
      <c r="CE22" s="200"/>
      <c r="CF22" s="200"/>
      <c r="CG22" s="200"/>
      <c r="CH22" s="200"/>
      <c r="CI22" s="200"/>
      <c r="CJ22" s="200"/>
      <c r="CL22" s="199"/>
      <c r="CM22" s="3" t="s">
        <v>37</v>
      </c>
      <c r="CN22" s="3">
        <v>115</v>
      </c>
      <c r="CQ22" s="20" t="s">
        <v>157</v>
      </c>
      <c r="CR22" s="3">
        <v>4</v>
      </c>
      <c r="CT22" s="8" t="s">
        <v>256</v>
      </c>
      <c r="CU22" s="3">
        <v>41.8</v>
      </c>
      <c r="CW22" s="24" t="s">
        <v>405</v>
      </c>
      <c r="CX22" s="24">
        <v>11.79</v>
      </c>
    </row>
    <row r="23" spans="2:102" x14ac:dyDescent="0.2">
      <c r="B23" s="14"/>
      <c r="S23" s="35" t="s">
        <v>3</v>
      </c>
      <c r="AO23" s="1" t="s">
        <v>471</v>
      </c>
      <c r="BG23" s="1" t="s">
        <v>9</v>
      </c>
      <c r="CB23" s="15"/>
      <c r="CE23" s="200"/>
      <c r="CF23" s="200"/>
      <c r="CG23" s="200"/>
      <c r="CH23" s="200"/>
      <c r="CI23" s="200"/>
      <c r="CJ23" s="200"/>
      <c r="CL23" s="199"/>
      <c r="CM23" s="3" t="s">
        <v>38</v>
      </c>
      <c r="CN23" s="3">
        <v>128</v>
      </c>
      <c r="CQ23" s="20" t="s">
        <v>158</v>
      </c>
      <c r="CR23" s="3">
        <v>4.5999999999999996</v>
      </c>
      <c r="CT23" s="8" t="s">
        <v>257</v>
      </c>
      <c r="CU23" s="3">
        <v>46.2</v>
      </c>
      <c r="CW23" s="24" t="s">
        <v>406</v>
      </c>
      <c r="CX23" s="24">
        <v>15.72</v>
      </c>
    </row>
    <row r="24" spans="2:102" x14ac:dyDescent="0.2">
      <c r="B24" s="14"/>
      <c r="R24" s="25"/>
      <c r="S24" s="60">
        <f>+S21</f>
        <v>24</v>
      </c>
      <c r="T24" s="60"/>
      <c r="U24" s="1" t="s">
        <v>0</v>
      </c>
      <c r="V24" s="25"/>
      <c r="CB24" s="15"/>
      <c r="CL24" s="199"/>
      <c r="CM24" s="3" t="s">
        <v>39</v>
      </c>
      <c r="CN24" s="3">
        <v>141</v>
      </c>
      <c r="CQ24" s="20" t="s">
        <v>159</v>
      </c>
      <c r="CR24" s="3">
        <v>3.06</v>
      </c>
      <c r="CT24" s="8" t="s">
        <v>258</v>
      </c>
      <c r="CU24" s="3">
        <v>59.5</v>
      </c>
      <c r="CW24" s="24" t="s">
        <v>407</v>
      </c>
      <c r="CX24" s="24">
        <v>9.43</v>
      </c>
    </row>
    <row r="25" spans="2:102" ht="11.25" customHeight="1" x14ac:dyDescent="0.2">
      <c r="B25" s="14"/>
      <c r="S25" s="35"/>
      <c r="AH25" s="1" t="s">
        <v>385</v>
      </c>
      <c r="CB25" s="15"/>
      <c r="CE25" s="200" t="s">
        <v>557</v>
      </c>
      <c r="CF25" s="200"/>
      <c r="CG25" s="200"/>
      <c r="CH25" s="200"/>
      <c r="CI25" s="200"/>
      <c r="CJ25" s="200"/>
      <c r="CL25" s="199"/>
      <c r="CM25" s="3" t="s">
        <v>40</v>
      </c>
      <c r="CN25" s="3">
        <v>166</v>
      </c>
      <c r="CQ25" s="20" t="s">
        <v>160</v>
      </c>
      <c r="CR25" s="3">
        <v>3.77</v>
      </c>
      <c r="CT25" s="8" t="s">
        <v>259</v>
      </c>
      <c r="CU25" s="3">
        <v>60.6</v>
      </c>
      <c r="CW25" s="24" t="s">
        <v>408</v>
      </c>
      <c r="CX25" s="24">
        <v>11.79</v>
      </c>
    </row>
    <row r="26" spans="2:102" x14ac:dyDescent="0.2">
      <c r="B26" s="14"/>
      <c r="H26" s="60">
        <f>+S24/(AL33-2)</f>
        <v>3</v>
      </c>
      <c r="I26" s="60"/>
      <c r="J26" s="1" t="s">
        <v>0</v>
      </c>
      <c r="K26" s="60">
        <f>+H26</f>
        <v>3</v>
      </c>
      <c r="L26" s="60"/>
      <c r="M26" s="1" t="s">
        <v>0</v>
      </c>
      <c r="N26" s="60">
        <f>+K26</f>
        <v>3</v>
      </c>
      <c r="O26" s="60"/>
      <c r="P26" s="1" t="s">
        <v>0</v>
      </c>
      <c r="Q26" s="60">
        <f>+N26</f>
        <v>3</v>
      </c>
      <c r="R26" s="60"/>
      <c r="S26" s="1" t="s">
        <v>0</v>
      </c>
      <c r="T26" s="60">
        <f>+Q26</f>
        <v>3</v>
      </c>
      <c r="U26" s="60"/>
      <c r="V26" s="1" t="s">
        <v>0</v>
      </c>
      <c r="W26" s="60">
        <f>+T26</f>
        <v>3</v>
      </c>
      <c r="X26" s="60"/>
      <c r="Y26" s="1" t="s">
        <v>0</v>
      </c>
      <c r="Z26" s="60">
        <f>+W26</f>
        <v>3</v>
      </c>
      <c r="AA26" s="60"/>
      <c r="AB26" s="1" t="s">
        <v>0</v>
      </c>
      <c r="AC26" s="60">
        <f>+Z26</f>
        <v>3</v>
      </c>
      <c r="AD26" s="60"/>
      <c r="AE26" s="1" t="s">
        <v>0</v>
      </c>
      <c r="AO26" s="1" t="s">
        <v>483</v>
      </c>
      <c r="CB26" s="15"/>
      <c r="CE26" s="200"/>
      <c r="CF26" s="200"/>
      <c r="CG26" s="200"/>
      <c r="CH26" s="200"/>
      <c r="CI26" s="200"/>
      <c r="CJ26" s="200"/>
      <c r="CL26" s="199"/>
      <c r="CM26" s="3" t="s">
        <v>41</v>
      </c>
      <c r="CN26" s="3">
        <v>199</v>
      </c>
      <c r="CQ26" s="20" t="s">
        <v>161</v>
      </c>
      <c r="CR26" s="3">
        <v>4.47</v>
      </c>
      <c r="CT26" s="8" t="s">
        <v>260</v>
      </c>
      <c r="CU26" s="3">
        <v>63.1</v>
      </c>
      <c r="CW26" s="24" t="s">
        <v>409</v>
      </c>
      <c r="CX26" s="24">
        <v>14.15</v>
      </c>
    </row>
    <row r="27" spans="2:102" x14ac:dyDescent="0.2">
      <c r="B27" s="14"/>
      <c r="CB27" s="15"/>
      <c r="CE27" s="200"/>
      <c r="CF27" s="200"/>
      <c r="CG27" s="200"/>
      <c r="CH27" s="200"/>
      <c r="CI27" s="200"/>
      <c r="CJ27" s="200"/>
      <c r="CL27" s="198" t="s">
        <v>42</v>
      </c>
      <c r="CM27" s="4" t="s">
        <v>43</v>
      </c>
      <c r="CN27" s="3">
        <v>6</v>
      </c>
      <c r="CQ27" s="20" t="s">
        <v>162</v>
      </c>
      <c r="CR27" s="3">
        <v>5.15</v>
      </c>
      <c r="CT27" s="8" t="s">
        <v>261</v>
      </c>
      <c r="CU27" s="3">
        <v>71.8</v>
      </c>
      <c r="CW27" s="24" t="s">
        <v>410</v>
      </c>
      <c r="CX27" s="24">
        <v>18.86</v>
      </c>
    </row>
    <row r="28" spans="2:102" x14ac:dyDescent="0.2">
      <c r="B28" s="14"/>
      <c r="CB28" s="15"/>
      <c r="CE28" s="200"/>
      <c r="CF28" s="200"/>
      <c r="CG28" s="200"/>
      <c r="CH28" s="200"/>
      <c r="CI28" s="200"/>
      <c r="CJ28" s="200"/>
      <c r="CL28" s="198"/>
      <c r="CM28" s="4" t="s">
        <v>44</v>
      </c>
      <c r="CN28" s="3">
        <v>8.1</v>
      </c>
      <c r="CQ28" s="20" t="s">
        <v>163</v>
      </c>
      <c r="CR28" s="3">
        <v>5.82</v>
      </c>
      <c r="CT28" s="9" t="s">
        <v>137</v>
      </c>
      <c r="CU28" s="7"/>
      <c r="CW28" s="9" t="s">
        <v>137</v>
      </c>
      <c r="CX28" s="7"/>
    </row>
    <row r="29" spans="2:102" x14ac:dyDescent="0.2">
      <c r="B29" s="14"/>
      <c r="E29" s="36" t="s">
        <v>0</v>
      </c>
      <c r="CB29" s="15"/>
      <c r="CE29" s="200"/>
      <c r="CF29" s="200"/>
      <c r="CG29" s="200"/>
      <c r="CH29" s="200"/>
      <c r="CI29" s="200"/>
      <c r="CJ29" s="200"/>
      <c r="CL29" s="198"/>
      <c r="CM29" s="4" t="s">
        <v>45</v>
      </c>
      <c r="CN29" s="3">
        <v>10.4</v>
      </c>
      <c r="CQ29" s="20" t="s">
        <v>164</v>
      </c>
      <c r="CR29" s="3">
        <v>6.47</v>
      </c>
    </row>
    <row r="30" spans="2:102" x14ac:dyDescent="0.2">
      <c r="B30" s="14"/>
      <c r="E30" s="122">
        <v>6</v>
      </c>
      <c r="CB30" s="15"/>
      <c r="CE30" s="200"/>
      <c r="CF30" s="200"/>
      <c r="CG30" s="200"/>
      <c r="CH30" s="200"/>
      <c r="CI30" s="200"/>
      <c r="CJ30" s="200"/>
      <c r="CL30" s="198"/>
      <c r="CM30" s="4" t="s">
        <v>46</v>
      </c>
      <c r="CN30" s="3">
        <v>12.9</v>
      </c>
      <c r="CQ30" s="20" t="s">
        <v>165</v>
      </c>
      <c r="CR30" s="3">
        <v>4.18</v>
      </c>
    </row>
    <row r="31" spans="2:102" x14ac:dyDescent="0.2">
      <c r="B31" s="14"/>
      <c r="E31" s="122"/>
      <c r="CB31" s="15"/>
      <c r="CE31" s="200"/>
      <c r="CF31" s="200"/>
      <c r="CG31" s="200"/>
      <c r="CH31" s="200"/>
      <c r="CI31" s="200"/>
      <c r="CJ31" s="200"/>
      <c r="CL31" s="198"/>
      <c r="CM31" s="4" t="s">
        <v>47</v>
      </c>
      <c r="CN31" s="3">
        <v>15.8</v>
      </c>
      <c r="CQ31" s="20" t="s">
        <v>166</v>
      </c>
      <c r="CR31" s="3">
        <v>4.95</v>
      </c>
    </row>
    <row r="32" spans="2:102" x14ac:dyDescent="0.2">
      <c r="B32" s="14"/>
      <c r="E32" s="122"/>
      <c r="CB32" s="15"/>
      <c r="CE32" s="200"/>
      <c r="CF32" s="200"/>
      <c r="CG32" s="200"/>
      <c r="CH32" s="200"/>
      <c r="CI32" s="200"/>
      <c r="CJ32" s="200"/>
      <c r="CL32" s="198"/>
      <c r="CM32" s="4" t="s">
        <v>48</v>
      </c>
      <c r="CN32" s="3">
        <v>18.8</v>
      </c>
      <c r="CQ32" s="20" t="s">
        <v>167</v>
      </c>
      <c r="CR32" s="3">
        <v>6.46</v>
      </c>
    </row>
    <row r="33" spans="2:96" x14ac:dyDescent="0.2">
      <c r="B33" s="14"/>
      <c r="AH33" s="1" t="s">
        <v>307</v>
      </c>
      <c r="AL33" s="91">
        <v>10</v>
      </c>
      <c r="AM33" s="91"/>
      <c r="AN33" s="1" t="s">
        <v>265</v>
      </c>
      <c r="CB33" s="15"/>
      <c r="CE33" s="200"/>
      <c r="CF33" s="200"/>
      <c r="CG33" s="200"/>
      <c r="CH33" s="200"/>
      <c r="CI33" s="200"/>
      <c r="CJ33" s="200"/>
      <c r="CL33" s="198"/>
      <c r="CM33" s="4" t="s">
        <v>49</v>
      </c>
      <c r="CN33" s="3">
        <v>22.4</v>
      </c>
      <c r="CQ33" s="20" t="s">
        <v>168</v>
      </c>
      <c r="CR33" s="3">
        <v>7.9</v>
      </c>
    </row>
    <row r="34" spans="2:96" x14ac:dyDescent="0.2">
      <c r="B34" s="14"/>
      <c r="E34" s="36" t="s">
        <v>0</v>
      </c>
      <c r="G34" s="1" t="s">
        <v>4</v>
      </c>
      <c r="AF34" s="38" t="s">
        <v>4</v>
      </c>
      <c r="CB34" s="15"/>
      <c r="CE34" s="200"/>
      <c r="CF34" s="200"/>
      <c r="CG34" s="200"/>
      <c r="CH34" s="200"/>
      <c r="CI34" s="200"/>
      <c r="CJ34" s="200"/>
      <c r="CL34" s="198"/>
      <c r="CM34" s="4" t="s">
        <v>50</v>
      </c>
      <c r="CN34" s="3">
        <v>26.2</v>
      </c>
      <c r="CQ34" s="20" t="s">
        <v>169</v>
      </c>
      <c r="CR34" s="3">
        <v>4.57</v>
      </c>
    </row>
    <row r="35" spans="2:96" x14ac:dyDescent="0.2">
      <c r="B35" s="14"/>
      <c r="E35" s="121">
        <f>+E30</f>
        <v>6</v>
      </c>
      <c r="CB35" s="15"/>
      <c r="CE35" s="200"/>
      <c r="CF35" s="200"/>
      <c r="CG35" s="200"/>
      <c r="CH35" s="200"/>
      <c r="CI35" s="200"/>
      <c r="CJ35" s="200"/>
      <c r="CL35" s="198"/>
      <c r="CM35" s="4" t="s">
        <v>51</v>
      </c>
      <c r="CN35" s="3">
        <v>30.7</v>
      </c>
      <c r="CQ35" s="20" t="s">
        <v>170</v>
      </c>
      <c r="CR35" s="3">
        <v>5.42</v>
      </c>
    </row>
    <row r="36" spans="2:96" x14ac:dyDescent="0.2">
      <c r="B36" s="14"/>
      <c r="E36" s="121"/>
      <c r="CB36" s="15"/>
      <c r="CL36" s="198"/>
      <c r="CM36" s="4" t="s">
        <v>52</v>
      </c>
      <c r="CN36" s="3">
        <v>36.1</v>
      </c>
      <c r="CQ36" s="20" t="s">
        <v>171</v>
      </c>
      <c r="CR36" s="3">
        <v>7.09</v>
      </c>
    </row>
    <row r="37" spans="2:96" ht="11.25" customHeight="1" x14ac:dyDescent="0.2">
      <c r="B37" s="14"/>
      <c r="E37" s="121"/>
      <c r="CB37" s="15"/>
      <c r="CE37" s="74" t="s">
        <v>566</v>
      </c>
      <c r="CF37" s="75"/>
      <c r="CG37" s="75"/>
      <c r="CH37" s="75"/>
      <c r="CI37" s="75"/>
      <c r="CJ37" s="76"/>
      <c r="CL37" s="198"/>
      <c r="CM37" s="4" t="s">
        <v>53</v>
      </c>
      <c r="CN37" s="3">
        <v>42.2</v>
      </c>
      <c r="CQ37" s="20" t="s">
        <v>172</v>
      </c>
      <c r="CR37" s="3">
        <v>8.69</v>
      </c>
    </row>
    <row r="38" spans="2:96" x14ac:dyDescent="0.2">
      <c r="B38" s="14"/>
      <c r="AH38" s="1" t="s">
        <v>15</v>
      </c>
      <c r="CB38" s="15"/>
      <c r="CE38" s="77"/>
      <c r="CF38" s="78"/>
      <c r="CG38" s="78"/>
      <c r="CH38" s="78"/>
      <c r="CI38" s="78"/>
      <c r="CJ38" s="79"/>
      <c r="CL38" s="198"/>
      <c r="CM38" s="4" t="s">
        <v>54</v>
      </c>
      <c r="CN38" s="3">
        <v>49.1</v>
      </c>
      <c r="CQ38" s="20" t="s">
        <v>173</v>
      </c>
      <c r="CR38" s="3">
        <v>5.91</v>
      </c>
    </row>
    <row r="39" spans="2:96" x14ac:dyDescent="0.2">
      <c r="B39" s="14"/>
      <c r="E39" s="36" t="s">
        <v>0</v>
      </c>
      <c r="CB39" s="15"/>
      <c r="CE39" s="77"/>
      <c r="CF39" s="78"/>
      <c r="CG39" s="78"/>
      <c r="CH39" s="78"/>
      <c r="CI39" s="78"/>
      <c r="CJ39" s="79"/>
      <c r="CL39" s="198"/>
      <c r="CM39" s="4" t="s">
        <v>55</v>
      </c>
      <c r="CN39" s="3">
        <v>57.1</v>
      </c>
      <c r="CQ39" s="20" t="s">
        <v>174</v>
      </c>
      <c r="CR39" s="3">
        <v>6.83</v>
      </c>
    </row>
    <row r="40" spans="2:96" x14ac:dyDescent="0.2">
      <c r="B40" s="14"/>
      <c r="C40" s="36" t="s">
        <v>0</v>
      </c>
      <c r="E40" s="121">
        <f>+E35</f>
        <v>6</v>
      </c>
      <c r="CB40" s="15"/>
      <c r="CE40" s="77"/>
      <c r="CF40" s="78"/>
      <c r="CG40" s="78"/>
      <c r="CH40" s="78"/>
      <c r="CI40" s="78"/>
      <c r="CJ40" s="79"/>
      <c r="CL40" s="198"/>
      <c r="CM40" s="4" t="s">
        <v>56</v>
      </c>
      <c r="CN40" s="3">
        <v>66.3</v>
      </c>
      <c r="CQ40" s="20" t="s">
        <v>175</v>
      </c>
      <c r="CR40" s="3">
        <v>7.73</v>
      </c>
    </row>
    <row r="41" spans="2:96" x14ac:dyDescent="0.2">
      <c r="B41" s="14"/>
      <c r="C41" s="121">
        <f>+C51*C46</f>
        <v>42</v>
      </c>
      <c r="E41" s="121"/>
      <c r="CB41" s="15"/>
      <c r="CE41" s="77"/>
      <c r="CF41" s="78"/>
      <c r="CG41" s="78"/>
      <c r="CH41" s="78"/>
      <c r="CI41" s="78"/>
      <c r="CJ41" s="79"/>
      <c r="CL41" s="198"/>
      <c r="CM41" s="4" t="s">
        <v>57</v>
      </c>
      <c r="CN41" s="3">
        <v>77.599999999999994</v>
      </c>
      <c r="CQ41" s="20" t="s">
        <v>176</v>
      </c>
      <c r="CR41" s="3">
        <v>8.6199999999999992</v>
      </c>
    </row>
    <row r="42" spans="2:96" x14ac:dyDescent="0.2">
      <c r="B42" s="14"/>
      <c r="C42" s="121"/>
      <c r="E42" s="121"/>
      <c r="CB42" s="15"/>
      <c r="CE42" s="77"/>
      <c r="CF42" s="78"/>
      <c r="CG42" s="78"/>
      <c r="CH42" s="78"/>
      <c r="CI42" s="78"/>
      <c r="CJ42" s="79"/>
      <c r="CL42" s="198"/>
      <c r="CM42" s="4" t="s">
        <v>58</v>
      </c>
      <c r="CN42" s="3">
        <v>90.7</v>
      </c>
      <c r="CQ42" s="20" t="s">
        <v>177</v>
      </c>
      <c r="CR42" s="3">
        <v>10.3</v>
      </c>
    </row>
    <row r="43" spans="2:96" x14ac:dyDescent="0.2">
      <c r="B43" s="14"/>
      <c r="C43" s="121"/>
      <c r="CB43" s="15"/>
      <c r="CE43" s="77"/>
      <c r="CF43" s="78"/>
      <c r="CG43" s="78"/>
      <c r="CH43" s="78"/>
      <c r="CI43" s="78"/>
      <c r="CJ43" s="79"/>
      <c r="CL43" s="198"/>
      <c r="CM43" s="4" t="s">
        <v>59</v>
      </c>
      <c r="CN43" s="3">
        <v>106</v>
      </c>
      <c r="CQ43" s="20" t="s">
        <v>178</v>
      </c>
      <c r="CR43" s="3">
        <v>6.38</v>
      </c>
    </row>
    <row r="44" spans="2:96" x14ac:dyDescent="0.2">
      <c r="B44" s="14"/>
      <c r="C44" s="36" t="s">
        <v>2</v>
      </c>
      <c r="E44" s="36" t="s">
        <v>0</v>
      </c>
      <c r="AH44" s="1" t="s">
        <v>466</v>
      </c>
      <c r="CB44" s="15"/>
      <c r="CE44" s="80"/>
      <c r="CF44" s="81"/>
      <c r="CG44" s="81"/>
      <c r="CH44" s="81"/>
      <c r="CI44" s="81"/>
      <c r="CJ44" s="82"/>
      <c r="CL44" s="198"/>
      <c r="CM44" s="4" t="s">
        <v>60</v>
      </c>
      <c r="CN44" s="3">
        <v>122</v>
      </c>
      <c r="CQ44" s="20" t="s">
        <v>179</v>
      </c>
      <c r="CR44" s="3">
        <v>7.38</v>
      </c>
    </row>
    <row r="45" spans="2:96" x14ac:dyDescent="0.2">
      <c r="B45" s="14"/>
      <c r="C45" s="36" t="s">
        <v>0</v>
      </c>
      <c r="E45" s="121">
        <f>+E40</f>
        <v>6</v>
      </c>
      <c r="CB45" s="15"/>
      <c r="CL45" s="198" t="s">
        <v>61</v>
      </c>
      <c r="CM45" s="4" t="s">
        <v>62</v>
      </c>
      <c r="CN45" s="3">
        <v>16.7</v>
      </c>
      <c r="CQ45" s="20" t="s">
        <v>180</v>
      </c>
      <c r="CR45" s="3">
        <v>9.34</v>
      </c>
    </row>
    <row r="46" spans="2:96" x14ac:dyDescent="0.2">
      <c r="B46" s="14"/>
      <c r="C46" s="121">
        <f>+E30</f>
        <v>6</v>
      </c>
      <c r="E46" s="121"/>
      <c r="CB46" s="15"/>
      <c r="CL46" s="198"/>
      <c r="CM46" s="4" t="s">
        <v>63</v>
      </c>
      <c r="CN46" s="3">
        <v>19.899999999999999</v>
      </c>
      <c r="CQ46" s="20" t="s">
        <v>181</v>
      </c>
      <c r="CR46" s="3">
        <v>11.2</v>
      </c>
    </row>
    <row r="47" spans="2:96" x14ac:dyDescent="0.2">
      <c r="B47" s="14"/>
      <c r="C47" s="121"/>
      <c r="E47" s="121"/>
      <c r="CB47" s="15"/>
      <c r="CL47" s="198"/>
      <c r="CM47" s="4" t="s">
        <v>64</v>
      </c>
      <c r="CN47" s="3">
        <v>24.7</v>
      </c>
      <c r="CQ47" s="20" t="s">
        <v>182</v>
      </c>
      <c r="CR47" s="3">
        <v>6.87</v>
      </c>
    </row>
    <row r="48" spans="2:96" x14ac:dyDescent="0.2">
      <c r="B48" s="14"/>
      <c r="C48" s="121"/>
      <c r="CB48" s="15"/>
      <c r="CL48" s="198"/>
      <c r="CM48" s="4" t="s">
        <v>65</v>
      </c>
      <c r="CN48" s="3">
        <v>30.4</v>
      </c>
      <c r="CQ48" s="20" t="s">
        <v>183</v>
      </c>
      <c r="CR48" s="3">
        <v>7.94</v>
      </c>
    </row>
    <row r="49" spans="2:96" x14ac:dyDescent="0.2">
      <c r="B49" s="14"/>
      <c r="C49" s="121" t="s">
        <v>1</v>
      </c>
      <c r="E49" s="36" t="s">
        <v>0</v>
      </c>
      <c r="AH49" s="1" t="s">
        <v>7</v>
      </c>
      <c r="CB49" s="15"/>
      <c r="CL49" s="198"/>
      <c r="CM49" s="4" t="s">
        <v>66</v>
      </c>
      <c r="CN49" s="3">
        <v>35.5</v>
      </c>
      <c r="CQ49" s="20" t="s">
        <v>184</v>
      </c>
      <c r="CR49" s="3">
        <v>9.0299999999999994</v>
      </c>
    </row>
    <row r="50" spans="2:96" x14ac:dyDescent="0.2">
      <c r="B50" s="14"/>
      <c r="C50" s="121"/>
      <c r="E50" s="121">
        <f>+E45</f>
        <v>6</v>
      </c>
      <c r="CB50" s="15"/>
      <c r="CL50" s="198"/>
      <c r="CM50" s="4" t="s">
        <v>67</v>
      </c>
      <c r="CN50" s="3">
        <v>42.3</v>
      </c>
      <c r="CQ50" s="20" t="s">
        <v>185</v>
      </c>
      <c r="CR50" s="3">
        <v>11.1</v>
      </c>
    </row>
    <row r="51" spans="2:96" x14ac:dyDescent="0.2">
      <c r="B51" s="14"/>
      <c r="C51" s="122">
        <v>7</v>
      </c>
      <c r="E51" s="121"/>
      <c r="CB51" s="15"/>
      <c r="CL51" s="198"/>
      <c r="CM51" s="4" t="s">
        <v>68</v>
      </c>
      <c r="CN51" s="3">
        <v>50.5</v>
      </c>
      <c r="CQ51" s="20" t="s">
        <v>186</v>
      </c>
      <c r="CR51" s="3">
        <v>13.1</v>
      </c>
    </row>
    <row r="52" spans="2:96" x14ac:dyDescent="0.2">
      <c r="B52" s="14"/>
      <c r="C52" s="122"/>
      <c r="E52" s="121"/>
      <c r="AZ52" s="35" t="s">
        <v>416</v>
      </c>
      <c r="BJ52" s="35" t="s">
        <v>414</v>
      </c>
      <c r="CB52" s="15"/>
      <c r="CL52" s="198"/>
      <c r="CM52" s="4" t="s">
        <v>69</v>
      </c>
      <c r="CN52" s="3">
        <v>60.3</v>
      </c>
      <c r="CQ52" s="20" t="s">
        <v>187</v>
      </c>
      <c r="CR52" s="3">
        <v>8.49</v>
      </c>
    </row>
    <row r="53" spans="2:96" x14ac:dyDescent="0.2">
      <c r="B53" s="14"/>
      <c r="CB53" s="15"/>
      <c r="CL53" s="198"/>
      <c r="CM53" s="4" t="s">
        <v>70</v>
      </c>
      <c r="CN53" s="3">
        <v>68.2</v>
      </c>
      <c r="CQ53" s="20" t="s">
        <v>188</v>
      </c>
      <c r="CR53" s="3">
        <v>9.66</v>
      </c>
    </row>
    <row r="54" spans="2:96" x14ac:dyDescent="0.2">
      <c r="B54" s="14"/>
      <c r="E54" s="36" t="s">
        <v>0</v>
      </c>
      <c r="CB54" s="15"/>
      <c r="CL54" s="198"/>
      <c r="CM54" s="4" t="s">
        <v>71</v>
      </c>
      <c r="CN54" s="3">
        <v>76.400000000000006</v>
      </c>
      <c r="CQ54" s="20" t="s">
        <v>189</v>
      </c>
      <c r="CR54" s="3">
        <v>11.9</v>
      </c>
    </row>
    <row r="55" spans="2:96" x14ac:dyDescent="0.2">
      <c r="B55" s="14"/>
      <c r="E55" s="121">
        <f>+E50</f>
        <v>6</v>
      </c>
      <c r="CB55" s="15"/>
      <c r="CL55" s="198"/>
      <c r="CM55" s="4" t="s">
        <v>72</v>
      </c>
      <c r="CN55" s="3">
        <v>88.3</v>
      </c>
      <c r="CQ55" s="20" t="s">
        <v>190</v>
      </c>
      <c r="CR55" s="3">
        <v>14.1</v>
      </c>
    </row>
    <row r="56" spans="2:96" x14ac:dyDescent="0.2">
      <c r="B56" s="14"/>
      <c r="E56" s="121"/>
      <c r="AW56" s="1" t="s">
        <v>420</v>
      </c>
      <c r="BD56" s="25" t="s">
        <v>421</v>
      </c>
      <c r="BH56" s="1" t="s">
        <v>422</v>
      </c>
      <c r="BO56" s="25" t="s">
        <v>421</v>
      </c>
      <c r="CB56" s="15"/>
      <c r="CL56" s="198"/>
      <c r="CM56" s="4" t="s">
        <v>73</v>
      </c>
      <c r="CN56" s="3">
        <v>97.6</v>
      </c>
      <c r="CQ56" s="20" t="s">
        <v>191</v>
      </c>
      <c r="CR56" s="3">
        <v>16.100000000000001</v>
      </c>
    </row>
    <row r="57" spans="2:96" x14ac:dyDescent="0.2">
      <c r="B57" s="14"/>
      <c r="E57" s="121"/>
      <c r="CB57" s="15"/>
      <c r="CL57" s="198"/>
      <c r="CM57" s="4" t="s">
        <v>74</v>
      </c>
      <c r="CN57" s="3">
        <v>105</v>
      </c>
      <c r="CQ57" s="20" t="s">
        <v>192</v>
      </c>
      <c r="CR57" s="3">
        <v>10.9</v>
      </c>
    </row>
    <row r="58" spans="2:96" x14ac:dyDescent="0.2">
      <c r="B58" s="14"/>
      <c r="CB58" s="15"/>
      <c r="CL58" s="198"/>
      <c r="CM58" s="4" t="s">
        <v>75</v>
      </c>
      <c r="CN58" s="3">
        <v>112</v>
      </c>
      <c r="CQ58" s="20" t="s">
        <v>193</v>
      </c>
      <c r="CR58" s="3">
        <v>12.2</v>
      </c>
    </row>
    <row r="59" spans="2:96" x14ac:dyDescent="0.2">
      <c r="B59" s="14"/>
      <c r="E59" s="36" t="s">
        <v>0</v>
      </c>
      <c r="CB59" s="15"/>
      <c r="CL59" s="198"/>
      <c r="CM59" s="4" t="s">
        <v>76</v>
      </c>
      <c r="CN59" s="3">
        <v>125</v>
      </c>
      <c r="CQ59" s="20" t="s">
        <v>194</v>
      </c>
      <c r="CR59" s="3">
        <v>14.7</v>
      </c>
    </row>
    <row r="60" spans="2:96" x14ac:dyDescent="0.2">
      <c r="B60" s="14"/>
      <c r="E60" s="121">
        <f>+E55</f>
        <v>6</v>
      </c>
      <c r="BA60" s="60" t="s">
        <v>418</v>
      </c>
      <c r="BB60" s="60"/>
      <c r="CB60" s="15"/>
      <c r="CL60" s="198"/>
      <c r="CM60" s="4" t="s">
        <v>77</v>
      </c>
      <c r="CN60" s="3">
        <v>140</v>
      </c>
      <c r="CQ60" s="20" t="s">
        <v>195</v>
      </c>
      <c r="CR60" s="3">
        <v>17.100000000000001</v>
      </c>
    </row>
    <row r="61" spans="2:96" x14ac:dyDescent="0.2">
      <c r="B61" s="14"/>
      <c r="E61" s="121"/>
      <c r="CB61" s="15"/>
      <c r="CL61" s="198"/>
      <c r="CM61" s="4" t="s">
        <v>78</v>
      </c>
      <c r="CN61" s="3">
        <v>155</v>
      </c>
      <c r="CQ61" s="20" t="s">
        <v>196</v>
      </c>
      <c r="CR61" s="3">
        <v>20.7</v>
      </c>
    </row>
    <row r="62" spans="2:96" x14ac:dyDescent="0.2">
      <c r="B62" s="14"/>
      <c r="E62" s="121"/>
      <c r="CB62" s="15"/>
      <c r="CL62" s="198"/>
      <c r="CM62" s="4" t="s">
        <v>79</v>
      </c>
      <c r="CN62" s="3">
        <v>166</v>
      </c>
      <c r="CQ62" s="20" t="s">
        <v>197</v>
      </c>
      <c r="CR62" s="3">
        <v>12.2</v>
      </c>
    </row>
    <row r="63" spans="2:96" x14ac:dyDescent="0.2">
      <c r="B63" s="14"/>
      <c r="BO63" s="185" t="s">
        <v>427</v>
      </c>
      <c r="BP63" s="185" t="s">
        <v>425</v>
      </c>
      <c r="BQ63" s="185" t="s">
        <v>426</v>
      </c>
      <c r="BR63" s="40"/>
      <c r="BS63" s="40"/>
      <c r="CB63" s="15"/>
      <c r="CL63" s="198"/>
      <c r="CM63" s="4" t="s">
        <v>80</v>
      </c>
      <c r="CN63" s="3">
        <v>178</v>
      </c>
      <c r="CQ63" s="20" t="s">
        <v>198</v>
      </c>
      <c r="CR63" s="3">
        <v>15.1</v>
      </c>
    </row>
    <row r="64" spans="2:96" x14ac:dyDescent="0.2">
      <c r="B64" s="14"/>
      <c r="BO64" s="185"/>
      <c r="BP64" s="185"/>
      <c r="BQ64" s="185"/>
      <c r="BR64" s="40"/>
      <c r="BS64" s="40"/>
      <c r="CB64" s="15"/>
      <c r="CL64" s="198"/>
      <c r="CM64" s="4" t="s">
        <v>81</v>
      </c>
      <c r="CN64" s="3">
        <v>190</v>
      </c>
      <c r="CQ64" s="20" t="s">
        <v>199</v>
      </c>
      <c r="CR64" s="3">
        <v>17.8</v>
      </c>
    </row>
    <row r="65" spans="2:96" x14ac:dyDescent="0.2">
      <c r="B65" s="14"/>
      <c r="J65" s="1" t="s">
        <v>269</v>
      </c>
      <c r="P65" s="35" t="s">
        <v>291</v>
      </c>
      <c r="BO65" s="185"/>
      <c r="BP65" s="185"/>
      <c r="BQ65" s="185"/>
      <c r="BR65" s="40"/>
      <c r="BS65" s="40"/>
      <c r="CB65" s="15"/>
      <c r="CL65" s="198"/>
      <c r="CM65" s="4" t="s">
        <v>82</v>
      </c>
      <c r="CN65" s="3">
        <v>204</v>
      </c>
      <c r="CQ65" s="20" t="s">
        <v>200</v>
      </c>
      <c r="CR65" s="3">
        <v>20.6</v>
      </c>
    </row>
    <row r="66" spans="2:96" x14ac:dyDescent="0.2">
      <c r="B66" s="14"/>
      <c r="I66" s="1" t="s">
        <v>11</v>
      </c>
      <c r="Y66" s="1" t="s">
        <v>270</v>
      </c>
      <c r="AH66" s="1" t="s">
        <v>386</v>
      </c>
      <c r="BO66" s="185"/>
      <c r="BP66" s="185"/>
      <c r="BQ66" s="185"/>
      <c r="BR66" s="40"/>
      <c r="BS66" s="40"/>
      <c r="CB66" s="15"/>
      <c r="CL66" s="198"/>
      <c r="CM66" s="4" t="s">
        <v>83</v>
      </c>
      <c r="CN66" s="3">
        <v>224</v>
      </c>
      <c r="CQ66" s="20" t="s">
        <v>201</v>
      </c>
      <c r="CR66" s="3">
        <v>23.2</v>
      </c>
    </row>
    <row r="67" spans="2:96" x14ac:dyDescent="0.2">
      <c r="B67" s="14"/>
      <c r="AA67" s="1" t="s">
        <v>10</v>
      </c>
      <c r="AZ67" s="35" t="s">
        <v>444</v>
      </c>
      <c r="BO67" s="185"/>
      <c r="BP67" s="185"/>
      <c r="BQ67" s="185"/>
      <c r="BR67" s="40"/>
      <c r="BS67" s="40"/>
      <c r="CB67" s="15"/>
      <c r="CL67" s="198"/>
      <c r="CM67" s="4" t="s">
        <v>84</v>
      </c>
      <c r="CN67" s="3">
        <v>252</v>
      </c>
      <c r="CQ67" s="20" t="s">
        <v>202</v>
      </c>
      <c r="CR67" s="3">
        <v>28.4</v>
      </c>
    </row>
    <row r="68" spans="2:96" x14ac:dyDescent="0.2">
      <c r="B68" s="14"/>
      <c r="E68" s="36" t="s">
        <v>0</v>
      </c>
      <c r="BE68" s="1" t="s">
        <v>418</v>
      </c>
      <c r="BO68" s="185"/>
      <c r="BP68" s="185"/>
      <c r="BQ68" s="185"/>
      <c r="BR68" s="40"/>
      <c r="BS68" s="40"/>
      <c r="CB68" s="15"/>
      <c r="CL68" s="198"/>
      <c r="CM68" s="4" t="s">
        <v>85</v>
      </c>
      <c r="CN68" s="3">
        <v>272</v>
      </c>
      <c r="CQ68" s="20" t="s">
        <v>203</v>
      </c>
      <c r="CR68" s="3">
        <v>16.600000000000001</v>
      </c>
    </row>
    <row r="69" spans="2:96" x14ac:dyDescent="0.2">
      <c r="B69" s="14"/>
      <c r="E69" s="121">
        <f>+E7</f>
        <v>1.2</v>
      </c>
      <c r="BO69" s="39">
        <v>4</v>
      </c>
      <c r="BP69" s="39">
        <v>2</v>
      </c>
      <c r="BQ69" s="39">
        <v>2</v>
      </c>
      <c r="BR69" s="40"/>
      <c r="BS69" s="40"/>
      <c r="CB69" s="15"/>
      <c r="CL69" s="198" t="s">
        <v>86</v>
      </c>
      <c r="CM69" s="4" t="s">
        <v>87</v>
      </c>
      <c r="CN69" s="3">
        <v>20.399999999999999</v>
      </c>
      <c r="CQ69" s="20" t="s">
        <v>204</v>
      </c>
      <c r="CR69" s="3">
        <v>19.7</v>
      </c>
    </row>
    <row r="70" spans="2:96" x14ac:dyDescent="0.2">
      <c r="B70" s="14"/>
      <c r="E70" s="121"/>
      <c r="BO70" s="39">
        <v>7</v>
      </c>
      <c r="BP70" s="39">
        <v>3</v>
      </c>
      <c r="BQ70" s="39">
        <v>4</v>
      </c>
      <c r="BR70" s="40"/>
      <c r="BS70" s="40"/>
      <c r="CB70" s="15"/>
      <c r="CL70" s="198"/>
      <c r="CM70" s="4" t="s">
        <v>88</v>
      </c>
      <c r="CN70" s="3">
        <v>26.7</v>
      </c>
      <c r="CQ70" s="20" t="s">
        <v>205</v>
      </c>
      <c r="CR70" s="3">
        <v>22.8</v>
      </c>
    </row>
    <row r="71" spans="2:96" x14ac:dyDescent="0.2">
      <c r="B71" s="14"/>
      <c r="E71" s="121"/>
      <c r="BH71" s="60" t="s">
        <v>424</v>
      </c>
      <c r="BO71" s="39">
        <v>10</v>
      </c>
      <c r="BP71" s="39">
        <v>4</v>
      </c>
      <c r="BQ71" s="39">
        <v>6</v>
      </c>
      <c r="BR71" s="40"/>
      <c r="BS71" s="40"/>
      <c r="CB71" s="15"/>
      <c r="CL71" s="198"/>
      <c r="CM71" s="4" t="s">
        <v>89</v>
      </c>
      <c r="CN71" s="3">
        <v>33.700000000000003</v>
      </c>
      <c r="CQ71" s="20" t="s">
        <v>206</v>
      </c>
      <c r="CR71" s="3">
        <v>19.899999999999999</v>
      </c>
    </row>
    <row r="72" spans="2:96" x14ac:dyDescent="0.2">
      <c r="B72" s="14"/>
      <c r="C72" s="36" t="s">
        <v>0</v>
      </c>
      <c r="AD72" s="37"/>
      <c r="BH72" s="60"/>
      <c r="BO72" s="39">
        <v>13</v>
      </c>
      <c r="BP72" s="39">
        <v>5</v>
      </c>
      <c r="BQ72" s="39">
        <v>8</v>
      </c>
      <c r="BR72" s="40"/>
      <c r="BS72" s="40"/>
      <c r="CB72" s="15"/>
      <c r="CL72" s="198"/>
      <c r="CM72" s="4" t="s">
        <v>90</v>
      </c>
      <c r="CN72" s="3">
        <v>42.6</v>
      </c>
      <c r="CQ72" s="20" t="s">
        <v>207</v>
      </c>
      <c r="CR72" s="3">
        <v>21.6</v>
      </c>
    </row>
    <row r="73" spans="2:96" ht="11.25" customHeight="1" x14ac:dyDescent="0.2">
      <c r="B73" s="14"/>
      <c r="C73" s="121">
        <f>+C11</f>
        <v>9.1999999999999993</v>
      </c>
      <c r="D73" s="60">
        <f>+E13/3</f>
        <v>2.6666666666666665</v>
      </c>
      <c r="E73" s="60"/>
      <c r="F73" s="1" t="s">
        <v>0</v>
      </c>
      <c r="AK73" s="78" t="s">
        <v>575</v>
      </c>
      <c r="AL73" s="78"/>
      <c r="AM73" s="78"/>
      <c r="AN73" s="78"/>
      <c r="AO73" s="78"/>
      <c r="AP73" s="78"/>
      <c r="AQ73" s="78"/>
      <c r="AR73" s="78"/>
      <c r="AS73" s="78"/>
      <c r="AT73" s="78"/>
      <c r="BO73" s="39">
        <v>16</v>
      </c>
      <c r="BP73" s="39">
        <v>6</v>
      </c>
      <c r="BQ73" s="39">
        <v>10</v>
      </c>
      <c r="BR73" s="40"/>
      <c r="BS73" s="40"/>
      <c r="CB73" s="15"/>
      <c r="CL73" s="198"/>
      <c r="CM73" s="4" t="s">
        <v>91</v>
      </c>
      <c r="CN73" s="3">
        <v>51.2</v>
      </c>
      <c r="CQ73" s="20" t="s">
        <v>208</v>
      </c>
      <c r="CR73" s="3">
        <v>23.3</v>
      </c>
    </row>
    <row r="74" spans="2:96" x14ac:dyDescent="0.2">
      <c r="B74" s="14"/>
      <c r="C74" s="121"/>
      <c r="AK74" s="78"/>
      <c r="AL74" s="78"/>
      <c r="AM74" s="78"/>
      <c r="AN74" s="78"/>
      <c r="AO74" s="78"/>
      <c r="AP74" s="78"/>
      <c r="AQ74" s="78"/>
      <c r="AR74" s="78"/>
      <c r="AS74" s="78"/>
      <c r="AT74" s="78"/>
      <c r="BC74" s="1" t="s">
        <v>421</v>
      </c>
      <c r="BO74" s="39">
        <v>19</v>
      </c>
      <c r="BP74" s="39">
        <v>7</v>
      </c>
      <c r="BQ74" s="39">
        <v>12</v>
      </c>
      <c r="BR74" s="40"/>
      <c r="BS74" s="40"/>
      <c r="CB74" s="15"/>
      <c r="CL74" s="198"/>
      <c r="CM74" s="4" t="s">
        <v>92</v>
      </c>
      <c r="CN74" s="3">
        <v>61.3</v>
      </c>
      <c r="CQ74" s="20" t="s">
        <v>209</v>
      </c>
      <c r="CR74" s="3">
        <v>26.6</v>
      </c>
    </row>
    <row r="75" spans="2:96" x14ac:dyDescent="0.2">
      <c r="B75" s="14"/>
      <c r="C75" s="121"/>
      <c r="D75" s="60">
        <f>+D73</f>
        <v>2.6666666666666665</v>
      </c>
      <c r="E75" s="60"/>
      <c r="F75" s="183" t="s">
        <v>0</v>
      </c>
      <c r="AH75" s="36" t="s">
        <v>0</v>
      </c>
      <c r="AK75" s="78"/>
      <c r="AL75" s="78"/>
      <c r="AM75" s="78"/>
      <c r="AN75" s="78"/>
      <c r="AO75" s="78"/>
      <c r="AP75" s="78"/>
      <c r="AQ75" s="78"/>
      <c r="AR75" s="78"/>
      <c r="AS75" s="78"/>
      <c r="AT75" s="78"/>
      <c r="BA75" s="1" t="s">
        <v>420</v>
      </c>
      <c r="BO75" s="39">
        <v>22</v>
      </c>
      <c r="BP75" s="39">
        <v>8</v>
      </c>
      <c r="BQ75" s="39">
        <v>14</v>
      </c>
      <c r="BR75" s="40"/>
      <c r="BS75" s="40"/>
      <c r="CB75" s="15"/>
      <c r="CL75" s="198"/>
      <c r="CM75" s="4" t="s">
        <v>93</v>
      </c>
      <c r="CN75" s="3">
        <v>71.5</v>
      </c>
      <c r="CQ75" s="20" t="s">
        <v>210</v>
      </c>
      <c r="CR75" s="3">
        <v>23.6</v>
      </c>
    </row>
    <row r="76" spans="2:96" x14ac:dyDescent="0.2">
      <c r="B76" s="14"/>
      <c r="D76" s="60"/>
      <c r="E76" s="60"/>
      <c r="F76" s="183"/>
      <c r="AH76" s="122">
        <v>4.5</v>
      </c>
      <c r="AK76" s="78"/>
      <c r="AL76" s="78"/>
      <c r="AM76" s="78"/>
      <c r="AN76" s="78"/>
      <c r="AO76" s="78"/>
      <c r="AP76" s="78"/>
      <c r="AQ76" s="78"/>
      <c r="AR76" s="78"/>
      <c r="AS76" s="78"/>
      <c r="AT76" s="78"/>
      <c r="BO76" s="39">
        <v>25</v>
      </c>
      <c r="BP76" s="39">
        <v>9</v>
      </c>
      <c r="BQ76" s="39">
        <v>16</v>
      </c>
      <c r="BR76" s="40"/>
      <c r="BS76" s="40"/>
      <c r="CB76" s="15"/>
      <c r="CL76" s="198"/>
      <c r="CM76" s="4" t="s">
        <v>94</v>
      </c>
      <c r="CN76" s="3">
        <v>83.2</v>
      </c>
      <c r="CQ76" s="20" t="s">
        <v>211</v>
      </c>
      <c r="CR76" s="3">
        <v>27.2</v>
      </c>
    </row>
    <row r="77" spans="2:96" x14ac:dyDescent="0.2">
      <c r="B77" s="14"/>
      <c r="AH77" s="122"/>
      <c r="AK77" s="78"/>
      <c r="AL77" s="78"/>
      <c r="AM77" s="78"/>
      <c r="AN77" s="78"/>
      <c r="AO77" s="78"/>
      <c r="AP77" s="78"/>
      <c r="AQ77" s="78"/>
      <c r="AR77" s="78"/>
      <c r="AS77" s="78"/>
      <c r="AT77" s="78"/>
      <c r="BO77" s="39">
        <v>28</v>
      </c>
      <c r="BP77" s="39">
        <v>10</v>
      </c>
      <c r="BQ77" s="39">
        <v>18</v>
      </c>
      <c r="BR77" s="40"/>
      <c r="BS77" s="40"/>
      <c r="CB77" s="15"/>
      <c r="CL77" s="198"/>
      <c r="CM77" s="4" t="s">
        <v>95</v>
      </c>
      <c r="CN77" s="3">
        <v>93</v>
      </c>
      <c r="CQ77" s="20" t="s">
        <v>212</v>
      </c>
      <c r="CR77" s="3">
        <v>30.9</v>
      </c>
    </row>
    <row r="78" spans="2:96" x14ac:dyDescent="0.2">
      <c r="B78" s="14"/>
      <c r="D78" s="60">
        <f>+D75</f>
        <v>2.6666666666666665</v>
      </c>
      <c r="E78" s="60"/>
      <c r="F78" s="1" t="s">
        <v>0</v>
      </c>
      <c r="AH78" s="122"/>
      <c r="AK78" s="59"/>
      <c r="AL78" s="59"/>
      <c r="AM78" s="59"/>
      <c r="AN78" s="59"/>
      <c r="AO78" s="59"/>
      <c r="AP78" s="59"/>
      <c r="AQ78" s="59"/>
      <c r="AR78" s="59"/>
      <c r="AS78" s="59"/>
      <c r="BO78" s="39">
        <v>31</v>
      </c>
      <c r="BP78" s="39">
        <v>11</v>
      </c>
      <c r="BQ78" s="39">
        <v>20</v>
      </c>
      <c r="BR78" s="40"/>
      <c r="BS78" s="40"/>
      <c r="CB78" s="15"/>
      <c r="CL78" s="198"/>
      <c r="CM78" s="4" t="s">
        <v>96</v>
      </c>
      <c r="CN78" s="3">
        <v>103</v>
      </c>
      <c r="CQ78" s="20" t="s">
        <v>213</v>
      </c>
      <c r="CR78" s="3">
        <v>27.5</v>
      </c>
    </row>
    <row r="79" spans="2:96" x14ac:dyDescent="0.2">
      <c r="B79" s="14"/>
      <c r="BO79" s="39">
        <v>34</v>
      </c>
      <c r="BP79" s="39">
        <v>12</v>
      </c>
      <c r="BQ79" s="39">
        <v>22</v>
      </c>
      <c r="BR79" s="40"/>
      <c r="BS79" s="40"/>
      <c r="CB79" s="15"/>
      <c r="CL79" s="198"/>
      <c r="CM79" s="4" t="s">
        <v>97</v>
      </c>
      <c r="CN79" s="3">
        <v>117</v>
      </c>
      <c r="CQ79" s="20" t="s">
        <v>214</v>
      </c>
      <c r="CR79" s="3">
        <v>31.4</v>
      </c>
    </row>
    <row r="80" spans="2:96" x14ac:dyDescent="0.2">
      <c r="B80" s="14"/>
      <c r="BO80" s="40"/>
      <c r="BP80" s="40"/>
      <c r="BQ80" s="40"/>
      <c r="BR80" s="40"/>
      <c r="BS80" s="40"/>
      <c r="CB80" s="15"/>
      <c r="CL80" s="198"/>
      <c r="CM80" s="4" t="s">
        <v>98</v>
      </c>
      <c r="CN80" s="3">
        <v>127</v>
      </c>
      <c r="CQ80" s="20" t="s">
        <v>215</v>
      </c>
      <c r="CR80" s="3">
        <v>27.3</v>
      </c>
    </row>
    <row r="81" spans="2:96" x14ac:dyDescent="0.2">
      <c r="B81" s="14"/>
      <c r="H81" s="60">
        <f>+K81</f>
        <v>3.1666666666666665</v>
      </c>
      <c r="I81" s="60"/>
      <c r="J81" s="1" t="s">
        <v>0</v>
      </c>
      <c r="K81" s="60">
        <f>+N81</f>
        <v>3.1666666666666665</v>
      </c>
      <c r="L81" s="60"/>
      <c r="M81" s="1" t="s">
        <v>0</v>
      </c>
      <c r="N81" s="60">
        <f>(S83-S81)/2/3</f>
        <v>3.1666666666666665</v>
      </c>
      <c r="O81" s="60"/>
      <c r="P81" s="1" t="s">
        <v>0</v>
      </c>
      <c r="S81" s="91">
        <v>5</v>
      </c>
      <c r="T81" s="91"/>
      <c r="U81" s="1" t="s">
        <v>0</v>
      </c>
      <c r="X81" s="60">
        <f>+N81</f>
        <v>3.1666666666666665</v>
      </c>
      <c r="Y81" s="60"/>
      <c r="Z81" s="1" t="s">
        <v>0</v>
      </c>
      <c r="AA81" s="60">
        <f>+N81</f>
        <v>3.1666666666666665</v>
      </c>
      <c r="AB81" s="60"/>
      <c r="AC81" s="1" t="s">
        <v>0</v>
      </c>
      <c r="AD81" s="60">
        <f>+N81</f>
        <v>3.1666666666666665</v>
      </c>
      <c r="AE81" s="60"/>
      <c r="AF81" s="1" t="s">
        <v>0</v>
      </c>
      <c r="BO81" s="40"/>
      <c r="BP81" s="40"/>
      <c r="BQ81" s="40"/>
      <c r="BR81" s="40"/>
      <c r="BS81" s="40"/>
      <c r="CB81" s="15"/>
      <c r="CL81" s="198"/>
      <c r="CM81" s="4" t="s">
        <v>99</v>
      </c>
      <c r="CN81" s="3">
        <v>134</v>
      </c>
      <c r="CQ81" s="20" t="s">
        <v>216</v>
      </c>
      <c r="CR81" s="3">
        <v>31.6</v>
      </c>
    </row>
    <row r="82" spans="2:96" x14ac:dyDescent="0.2">
      <c r="B82" s="14"/>
      <c r="BO82" s="40"/>
      <c r="BP82" s="40"/>
      <c r="BQ82" s="40"/>
      <c r="BR82" s="40"/>
      <c r="BS82" s="40"/>
      <c r="CB82" s="15"/>
      <c r="CL82" s="198"/>
      <c r="CM82" s="4" t="s">
        <v>100</v>
      </c>
      <c r="CN82" s="3">
        <v>142</v>
      </c>
      <c r="CQ82" s="20" t="s">
        <v>217</v>
      </c>
      <c r="CR82" s="3">
        <v>33.799999999999997</v>
      </c>
    </row>
    <row r="83" spans="2:96" x14ac:dyDescent="0.2">
      <c r="B83" s="14"/>
      <c r="S83" s="60">
        <f>+S21</f>
        <v>24</v>
      </c>
      <c r="T83" s="60"/>
      <c r="U83" s="1" t="s">
        <v>0</v>
      </c>
      <c r="BO83" s="40"/>
      <c r="BP83" s="40"/>
      <c r="BQ83" s="40"/>
      <c r="BR83" s="40"/>
      <c r="BS83" s="40"/>
      <c r="CB83" s="15"/>
      <c r="CL83" s="198"/>
      <c r="CM83" s="4" t="s">
        <v>101</v>
      </c>
      <c r="CN83" s="3">
        <v>155</v>
      </c>
      <c r="CQ83" s="20" t="s">
        <v>218</v>
      </c>
      <c r="CR83" s="3">
        <v>35.9</v>
      </c>
    </row>
    <row r="84" spans="2:96" ht="11.25" customHeight="1" x14ac:dyDescent="0.2">
      <c r="B84" s="14"/>
      <c r="BO84" s="40"/>
      <c r="BP84" s="40"/>
      <c r="BQ84" s="40"/>
      <c r="BR84" s="40"/>
      <c r="BS84" s="40"/>
      <c r="CB84" s="15"/>
      <c r="CL84" s="198"/>
      <c r="CM84" s="4" t="s">
        <v>102</v>
      </c>
      <c r="CN84" s="3">
        <v>171</v>
      </c>
      <c r="CQ84" s="20" t="s">
        <v>219</v>
      </c>
      <c r="CR84" s="3">
        <v>40.1</v>
      </c>
    </row>
    <row r="85" spans="2:96" ht="11.25" customHeight="1" x14ac:dyDescent="0.2">
      <c r="B85" s="14"/>
      <c r="H85" s="35" t="s">
        <v>542</v>
      </c>
      <c r="Q85" s="1" t="s">
        <v>549</v>
      </c>
      <c r="AH85" s="35" t="s">
        <v>489</v>
      </c>
      <c r="BO85" s="40"/>
      <c r="BP85" s="40"/>
      <c r="BQ85" s="40"/>
      <c r="BR85" s="40"/>
      <c r="BS85" s="40"/>
      <c r="CB85" s="15"/>
      <c r="CL85" s="198"/>
      <c r="CM85" s="4" t="s">
        <v>103</v>
      </c>
      <c r="CN85" s="3">
        <v>187</v>
      </c>
      <c r="CQ85" s="20" t="s">
        <v>220</v>
      </c>
      <c r="CR85" s="3">
        <v>44.2</v>
      </c>
    </row>
    <row r="86" spans="2:96" ht="11.25" customHeight="1" x14ac:dyDescent="0.2">
      <c r="B86" s="14"/>
      <c r="E86" s="1" t="s">
        <v>508</v>
      </c>
      <c r="P86" s="1" t="s">
        <v>487</v>
      </c>
      <c r="BO86" s="40"/>
      <c r="BP86" s="40"/>
      <c r="BQ86" s="40"/>
      <c r="BR86" s="40"/>
      <c r="BS86" s="40"/>
      <c r="CB86" s="15"/>
      <c r="CL86" s="198"/>
      <c r="CM86" s="4" t="s">
        <v>104</v>
      </c>
      <c r="CN86" s="3">
        <v>199</v>
      </c>
      <c r="CQ86" s="20" t="s">
        <v>221</v>
      </c>
      <c r="CR86" s="3">
        <v>36.200000000000003</v>
      </c>
    </row>
    <row r="87" spans="2:96" ht="11.25" customHeight="1" x14ac:dyDescent="0.2">
      <c r="B87" s="14"/>
      <c r="G87" s="1" t="s">
        <v>546</v>
      </c>
      <c r="BO87" s="40"/>
      <c r="BP87" s="40"/>
      <c r="BQ87" s="40"/>
      <c r="BR87" s="40"/>
      <c r="BS87" s="40"/>
      <c r="CB87" s="15"/>
      <c r="CL87" s="198"/>
      <c r="CM87" s="4" t="s">
        <v>105</v>
      </c>
      <c r="CN87" s="3">
        <v>212</v>
      </c>
      <c r="CQ87" s="20" t="s">
        <v>222</v>
      </c>
      <c r="CR87" s="3">
        <v>40.700000000000003</v>
      </c>
    </row>
    <row r="88" spans="2:96" ht="11.25" customHeight="1" x14ac:dyDescent="0.2">
      <c r="B88" s="14"/>
      <c r="D88" s="91">
        <v>0.15</v>
      </c>
      <c r="E88" s="91"/>
      <c r="F88" s="1" t="s">
        <v>0</v>
      </c>
      <c r="BO88" s="40"/>
      <c r="BP88" s="40"/>
      <c r="BQ88" s="40"/>
      <c r="BR88" s="40"/>
      <c r="BS88" s="40"/>
      <c r="CB88" s="15"/>
      <c r="CL88" s="198"/>
      <c r="CM88" s="4" t="s">
        <v>106</v>
      </c>
      <c r="CN88" s="3">
        <v>225</v>
      </c>
      <c r="CQ88" s="20" t="s">
        <v>223</v>
      </c>
      <c r="CR88" s="3">
        <v>45.1</v>
      </c>
    </row>
    <row r="89" spans="2:96" ht="11.25" customHeight="1" x14ac:dyDescent="0.2">
      <c r="B89" s="14"/>
      <c r="BO89" s="40"/>
      <c r="BP89" s="40"/>
      <c r="BQ89" s="40"/>
      <c r="BR89" s="40"/>
      <c r="BS89" s="40"/>
      <c r="CB89" s="15"/>
      <c r="CL89" s="198"/>
      <c r="CM89" s="4" t="s">
        <v>107</v>
      </c>
      <c r="CN89" s="3">
        <v>241</v>
      </c>
      <c r="CQ89" s="20" t="s">
        <v>224</v>
      </c>
      <c r="CR89" s="3">
        <v>43.5</v>
      </c>
    </row>
    <row r="90" spans="2:96" ht="11.25" customHeight="1" x14ac:dyDescent="0.2">
      <c r="B90" s="14"/>
      <c r="CB90" s="15"/>
      <c r="CL90" s="198"/>
      <c r="CM90" s="4" t="s">
        <v>108</v>
      </c>
      <c r="CN90" s="3">
        <v>262</v>
      </c>
      <c r="CQ90" s="20" t="s">
        <v>225</v>
      </c>
      <c r="CR90" s="3">
        <v>48.6</v>
      </c>
    </row>
    <row r="91" spans="2:96" ht="11.25" customHeight="1" x14ac:dyDescent="0.2">
      <c r="B91" s="14"/>
      <c r="Q91" s="91">
        <v>0.8</v>
      </c>
      <c r="R91" s="91"/>
      <c r="S91" s="1" t="s">
        <v>0</v>
      </c>
      <c r="AZ91" s="88" t="s">
        <v>539</v>
      </c>
      <c r="BA91" s="89"/>
      <c r="BB91" s="89"/>
      <c r="BC91" s="89"/>
      <c r="BD91" s="89"/>
      <c r="BE91" s="89"/>
      <c r="BF91" s="89"/>
      <c r="BG91" s="89"/>
      <c r="BH91" s="89"/>
      <c r="BI91" s="89"/>
      <c r="BJ91" s="89"/>
      <c r="BK91" s="89"/>
      <c r="BL91" s="89"/>
      <c r="BM91" s="89"/>
      <c r="BN91" s="89"/>
      <c r="BO91" s="89"/>
      <c r="BP91" s="89"/>
      <c r="BQ91" s="89"/>
      <c r="BR91" s="90"/>
      <c r="CB91" s="15"/>
      <c r="CL91" s="198"/>
      <c r="CM91" s="4" t="s">
        <v>109</v>
      </c>
      <c r="CN91" s="3">
        <v>291</v>
      </c>
      <c r="CQ91" s="20" t="s">
        <v>226</v>
      </c>
      <c r="CR91" s="3">
        <v>53.7</v>
      </c>
    </row>
    <row r="92" spans="2:96" ht="11.25" customHeight="1" x14ac:dyDescent="0.2">
      <c r="B92" s="14"/>
      <c r="O92" s="1" t="s">
        <v>488</v>
      </c>
      <c r="AZ92" s="92" t="s">
        <v>509</v>
      </c>
      <c r="BA92" s="92"/>
      <c r="BB92" s="92"/>
      <c r="BC92" s="162" t="s">
        <v>510</v>
      </c>
      <c r="BD92" s="162"/>
      <c r="BE92" s="92" t="s">
        <v>511</v>
      </c>
      <c r="BF92" s="92"/>
      <c r="BG92" s="92"/>
      <c r="BH92" s="92"/>
      <c r="BI92" s="92" t="s">
        <v>512</v>
      </c>
      <c r="BJ92" s="92"/>
      <c r="BK92" s="92"/>
      <c r="BL92" s="92"/>
      <c r="BM92" s="92" t="s">
        <v>513</v>
      </c>
      <c r="BN92" s="92"/>
      <c r="BO92" s="92"/>
      <c r="BP92" s="92"/>
      <c r="BQ92" s="97" t="s">
        <v>538</v>
      </c>
      <c r="BR92" s="98"/>
      <c r="CB92" s="15"/>
      <c r="CL92" s="198"/>
      <c r="CM92" s="4" t="s">
        <v>110</v>
      </c>
      <c r="CN92" s="3">
        <v>314</v>
      </c>
      <c r="CQ92" s="20" t="s">
        <v>227</v>
      </c>
      <c r="CR92" s="3">
        <v>58.6</v>
      </c>
    </row>
    <row r="93" spans="2:96" ht="11.25" customHeight="1" x14ac:dyDescent="0.2">
      <c r="B93" s="14"/>
      <c r="AZ93" s="92"/>
      <c r="BA93" s="92"/>
      <c r="BB93" s="92"/>
      <c r="BC93" s="162"/>
      <c r="BD93" s="162"/>
      <c r="BE93" s="92" t="s">
        <v>514</v>
      </c>
      <c r="BF93" s="92"/>
      <c r="BG93" s="92" t="s">
        <v>515</v>
      </c>
      <c r="BH93" s="92"/>
      <c r="BI93" s="92" t="s">
        <v>514</v>
      </c>
      <c r="BJ93" s="92"/>
      <c r="BK93" s="92" t="s">
        <v>515</v>
      </c>
      <c r="BL93" s="92"/>
      <c r="BM93" s="92" t="s">
        <v>514</v>
      </c>
      <c r="BN93" s="92"/>
      <c r="BO93" s="92" t="s">
        <v>515</v>
      </c>
      <c r="BP93" s="92"/>
      <c r="BQ93" s="97"/>
      <c r="BR93" s="98"/>
      <c r="BV93" s="1" t="s">
        <v>558</v>
      </c>
      <c r="CB93" s="15"/>
      <c r="CL93" s="198" t="s">
        <v>111</v>
      </c>
      <c r="CM93" s="4" t="s">
        <v>112</v>
      </c>
      <c r="CN93" s="3">
        <v>41.8</v>
      </c>
      <c r="CQ93" s="20" t="s">
        <v>228</v>
      </c>
      <c r="CR93" s="3">
        <v>48.5</v>
      </c>
    </row>
    <row r="94" spans="2:96" ht="11.25" customHeight="1" thickBot="1" x14ac:dyDescent="0.25">
      <c r="B94" s="14"/>
      <c r="AZ94" s="155"/>
      <c r="BA94" s="155"/>
      <c r="BB94" s="155"/>
      <c r="BC94" s="99" t="s">
        <v>516</v>
      </c>
      <c r="BD94" s="100"/>
      <c r="BE94" s="99" t="s">
        <v>419</v>
      </c>
      <c r="BF94" s="100"/>
      <c r="BG94" s="99" t="s">
        <v>419</v>
      </c>
      <c r="BH94" s="100"/>
      <c r="BI94" s="99" t="s">
        <v>419</v>
      </c>
      <c r="BJ94" s="100"/>
      <c r="BK94" s="99" t="s">
        <v>419</v>
      </c>
      <c r="BL94" s="100"/>
      <c r="BM94" s="99" t="s">
        <v>517</v>
      </c>
      <c r="BN94" s="100"/>
      <c r="BO94" s="99" t="s">
        <v>517</v>
      </c>
      <c r="BP94" s="100"/>
      <c r="BQ94" s="99" t="s">
        <v>412</v>
      </c>
      <c r="BR94" s="100"/>
      <c r="CB94" s="15"/>
      <c r="CL94" s="198"/>
      <c r="CM94" s="4" t="s">
        <v>113</v>
      </c>
      <c r="CN94" s="3">
        <v>52.1</v>
      </c>
      <c r="CQ94" s="20" t="s">
        <v>229</v>
      </c>
      <c r="CR94" s="3">
        <v>54.3</v>
      </c>
    </row>
    <row r="95" spans="2:96" ht="11.25" customHeight="1" thickTop="1" x14ac:dyDescent="0.2">
      <c r="B95" s="14"/>
      <c r="Q95" s="91">
        <v>0.4</v>
      </c>
      <c r="R95" s="91"/>
      <c r="S95" s="1" t="s">
        <v>0</v>
      </c>
      <c r="AZ95" s="108" t="s">
        <v>518</v>
      </c>
      <c r="BA95" s="108"/>
      <c r="BB95" s="108"/>
      <c r="BE95" s="109">
        <v>150</v>
      </c>
      <c r="BF95" s="109"/>
      <c r="BG95" s="109">
        <v>250</v>
      </c>
      <c r="BH95" s="109"/>
      <c r="BI95" s="109">
        <v>5</v>
      </c>
      <c r="BJ95" s="109"/>
      <c r="BK95" s="109">
        <v>5</v>
      </c>
      <c r="BL95" s="109"/>
      <c r="BM95" s="109">
        <v>131</v>
      </c>
      <c r="BN95" s="109"/>
      <c r="BO95" s="109">
        <v>78</v>
      </c>
      <c r="BP95" s="109"/>
      <c r="BQ95" s="101">
        <v>1.64</v>
      </c>
      <c r="BR95" s="102"/>
      <c r="CB95" s="15"/>
      <c r="CL95" s="198"/>
      <c r="CM95" s="4" t="s">
        <v>114</v>
      </c>
      <c r="CN95" s="3">
        <v>63.2</v>
      </c>
      <c r="CQ95" s="20" t="s">
        <v>230</v>
      </c>
      <c r="CR95" s="3">
        <v>59.9</v>
      </c>
    </row>
    <row r="96" spans="2:96" ht="11.25" customHeight="1" x14ac:dyDescent="0.2">
      <c r="B96" s="14"/>
      <c r="AZ96" s="92" t="s">
        <v>519</v>
      </c>
      <c r="BA96" s="92"/>
      <c r="BB96" s="92"/>
      <c r="BE96" s="63">
        <v>150</v>
      </c>
      <c r="BF96" s="63"/>
      <c r="BG96" s="63">
        <v>250</v>
      </c>
      <c r="BH96" s="63"/>
      <c r="BI96" s="63">
        <v>5.5</v>
      </c>
      <c r="BJ96" s="63"/>
      <c r="BK96" s="63">
        <v>5.5</v>
      </c>
      <c r="BL96" s="63"/>
      <c r="BM96" s="63">
        <v>158</v>
      </c>
      <c r="BN96" s="63"/>
      <c r="BO96" s="63">
        <v>78</v>
      </c>
      <c r="BP96" s="63"/>
      <c r="BQ96" s="69">
        <v>1.86</v>
      </c>
      <c r="BR96" s="70"/>
      <c r="CB96" s="15"/>
      <c r="CL96" s="198"/>
      <c r="CM96" s="4" t="s">
        <v>115</v>
      </c>
      <c r="CN96" s="3">
        <v>76.2</v>
      </c>
      <c r="CQ96" s="20" t="s">
        <v>231</v>
      </c>
      <c r="CR96" s="3">
        <v>71.099999999999994</v>
      </c>
    </row>
    <row r="97" spans="2:96" ht="11.25" customHeight="1" x14ac:dyDescent="0.2">
      <c r="B97" s="14"/>
      <c r="AZ97" s="92" t="s">
        <v>520</v>
      </c>
      <c r="BA97" s="92"/>
      <c r="BB97" s="92"/>
      <c r="BE97" s="63">
        <v>150</v>
      </c>
      <c r="BF97" s="63"/>
      <c r="BG97" s="63">
        <v>250</v>
      </c>
      <c r="BH97" s="63"/>
      <c r="BI97" s="63">
        <v>6</v>
      </c>
      <c r="BJ97" s="63"/>
      <c r="BK97" s="63">
        <v>5</v>
      </c>
      <c r="BL97" s="63"/>
      <c r="BM97" s="63">
        <v>188</v>
      </c>
      <c r="BN97" s="63"/>
      <c r="BO97" s="63">
        <v>78</v>
      </c>
      <c r="BP97" s="63"/>
      <c r="BQ97" s="69">
        <v>2.1</v>
      </c>
      <c r="BR97" s="70"/>
      <c r="BY97" s="1" t="s">
        <v>559</v>
      </c>
      <c r="CB97" s="15"/>
      <c r="CL97" s="198"/>
      <c r="CM97" s="4" t="s">
        <v>116</v>
      </c>
      <c r="CN97" s="3">
        <v>88.9</v>
      </c>
      <c r="CQ97" s="20" t="s">
        <v>232</v>
      </c>
      <c r="CR97" s="3">
        <v>82</v>
      </c>
    </row>
    <row r="98" spans="2:96" ht="11.25" customHeight="1" x14ac:dyDescent="0.2">
      <c r="B98" s="14"/>
      <c r="K98" s="60">
        <f>+R113</f>
        <v>2</v>
      </c>
      <c r="L98" s="60"/>
      <c r="M98" s="1" t="s">
        <v>0</v>
      </c>
      <c r="AF98" s="78" t="s">
        <v>556</v>
      </c>
      <c r="AG98" s="78"/>
      <c r="AH98" s="78"/>
      <c r="AI98" s="78"/>
      <c r="AJ98" s="78"/>
      <c r="AK98" s="78"/>
      <c r="AL98" s="78"/>
      <c r="AM98" s="78"/>
      <c r="AZ98" s="92" t="s">
        <v>521</v>
      </c>
      <c r="BA98" s="92"/>
      <c r="BB98" s="92"/>
      <c r="BE98" s="63">
        <v>150</v>
      </c>
      <c r="BF98" s="63"/>
      <c r="BG98" s="63">
        <v>250</v>
      </c>
      <c r="BH98" s="63"/>
      <c r="BI98" s="63">
        <v>6.5</v>
      </c>
      <c r="BJ98" s="63"/>
      <c r="BK98" s="63">
        <v>5</v>
      </c>
      <c r="BL98" s="63"/>
      <c r="BM98" s="63">
        <v>221</v>
      </c>
      <c r="BN98" s="63"/>
      <c r="BO98" s="63">
        <v>78</v>
      </c>
      <c r="BP98" s="63"/>
      <c r="BQ98" s="69">
        <v>2.35</v>
      </c>
      <c r="BR98" s="70"/>
      <c r="CB98" s="15"/>
      <c r="CL98" s="198"/>
      <c r="CM98" s="4" t="s">
        <v>117</v>
      </c>
      <c r="CN98" s="3">
        <v>103</v>
      </c>
      <c r="CQ98" s="20" t="s">
        <v>233</v>
      </c>
      <c r="CR98" s="3">
        <v>68.400000000000006</v>
      </c>
    </row>
    <row r="99" spans="2:96" ht="11.25" customHeight="1" x14ac:dyDescent="0.2">
      <c r="B99" s="14"/>
      <c r="AF99" s="78"/>
      <c r="AG99" s="78"/>
      <c r="AH99" s="78"/>
      <c r="AI99" s="78"/>
      <c r="AJ99" s="78"/>
      <c r="AK99" s="78"/>
      <c r="AL99" s="78"/>
      <c r="AM99" s="78"/>
      <c r="AZ99" s="92" t="s">
        <v>522</v>
      </c>
      <c r="BA99" s="92"/>
      <c r="BB99" s="92"/>
      <c r="BE99" s="63">
        <v>150</v>
      </c>
      <c r="BF99" s="63"/>
      <c r="BG99" s="63">
        <v>250</v>
      </c>
      <c r="BH99" s="63"/>
      <c r="BI99" s="63">
        <v>7</v>
      </c>
      <c r="BJ99" s="63"/>
      <c r="BK99" s="63">
        <v>5</v>
      </c>
      <c r="BL99" s="63"/>
      <c r="BM99" s="63">
        <v>257</v>
      </c>
      <c r="BN99" s="63"/>
      <c r="BO99" s="63">
        <v>78</v>
      </c>
      <c r="BP99" s="63"/>
      <c r="BQ99" s="69">
        <v>2.63</v>
      </c>
      <c r="BR99" s="70"/>
      <c r="CB99" s="15"/>
      <c r="CL99" s="198"/>
      <c r="CM99" s="4" t="s">
        <v>118</v>
      </c>
      <c r="CN99" s="3">
        <v>117</v>
      </c>
      <c r="CQ99" s="20" t="s">
        <v>234</v>
      </c>
      <c r="CR99" s="3">
        <v>75.7</v>
      </c>
    </row>
    <row r="100" spans="2:96" ht="11.25" customHeight="1" x14ac:dyDescent="0.2">
      <c r="B100" s="14"/>
      <c r="Q100" s="1" t="s">
        <v>574</v>
      </c>
      <c r="AF100" s="78"/>
      <c r="AG100" s="78"/>
      <c r="AH100" s="78"/>
      <c r="AI100" s="78"/>
      <c r="AJ100" s="78"/>
      <c r="AK100" s="78"/>
      <c r="AL100" s="78"/>
      <c r="AM100" s="78"/>
      <c r="AZ100" s="92" t="s">
        <v>523</v>
      </c>
      <c r="BA100" s="92"/>
      <c r="BB100" s="92"/>
      <c r="BC100" s="127">
        <v>5</v>
      </c>
      <c r="BD100" s="127"/>
      <c r="BE100" s="63">
        <v>150</v>
      </c>
      <c r="BF100" s="63"/>
      <c r="BG100" s="63">
        <v>250</v>
      </c>
      <c r="BH100" s="63"/>
      <c r="BI100" s="63">
        <v>7.5</v>
      </c>
      <c r="BJ100" s="63"/>
      <c r="BK100" s="63">
        <v>5</v>
      </c>
      <c r="BL100" s="63"/>
      <c r="BM100" s="63">
        <v>295</v>
      </c>
      <c r="BN100" s="63"/>
      <c r="BO100" s="63">
        <v>78</v>
      </c>
      <c r="BP100" s="63"/>
      <c r="BQ100" s="69">
        <v>2.93</v>
      </c>
      <c r="BR100" s="70"/>
      <c r="CB100" s="15"/>
      <c r="CL100" s="198"/>
      <c r="CM100" s="4" t="s">
        <v>119</v>
      </c>
      <c r="CN100" s="3">
        <v>157</v>
      </c>
      <c r="CQ100" s="20" t="s">
        <v>235</v>
      </c>
      <c r="CR100" s="3">
        <v>82.9</v>
      </c>
    </row>
    <row r="101" spans="2:96" ht="11.25" customHeight="1" x14ac:dyDescent="0.2">
      <c r="B101" s="14"/>
      <c r="F101" s="31" t="str">
        <f>IF((C113*1000*K123*1000*0.01)&gt;(F102*PI()*H102^2/4),"artır.","")</f>
        <v/>
      </c>
      <c r="Q101" s="38">
        <f>(ROUNDUP(Q91/(T101/1000),0)+1)</f>
        <v>9</v>
      </c>
      <c r="R101" s="118">
        <v>8</v>
      </c>
      <c r="S101" s="118"/>
      <c r="T101" s="110">
        <v>100</v>
      </c>
      <c r="U101" s="110"/>
      <c r="AF101" s="78"/>
      <c r="AG101" s="78"/>
      <c r="AH101" s="78"/>
      <c r="AI101" s="78"/>
      <c r="AJ101" s="78"/>
      <c r="AK101" s="78"/>
      <c r="AL101" s="78"/>
      <c r="AM101" s="78"/>
      <c r="AZ101" s="92" t="s">
        <v>524</v>
      </c>
      <c r="BA101" s="92"/>
      <c r="BB101" s="92"/>
      <c r="BC101" s="67">
        <v>2.15</v>
      </c>
      <c r="BD101" s="68"/>
      <c r="BE101" s="63">
        <v>150</v>
      </c>
      <c r="BF101" s="63"/>
      <c r="BG101" s="63">
        <v>250</v>
      </c>
      <c r="BH101" s="63"/>
      <c r="BI101" s="63">
        <v>7.8</v>
      </c>
      <c r="BJ101" s="63"/>
      <c r="BK101" s="63">
        <v>5</v>
      </c>
      <c r="BL101" s="63"/>
      <c r="BM101" s="63">
        <v>317</v>
      </c>
      <c r="BN101" s="63"/>
      <c r="BO101" s="63">
        <v>78</v>
      </c>
      <c r="BP101" s="63"/>
      <c r="BQ101" s="69">
        <v>3.12</v>
      </c>
      <c r="BR101" s="70"/>
      <c r="CB101" s="15"/>
      <c r="CL101" s="198"/>
      <c r="CM101" s="4" t="s">
        <v>120</v>
      </c>
      <c r="CN101" s="3">
        <v>172</v>
      </c>
      <c r="CQ101" s="20" t="s">
        <v>236</v>
      </c>
      <c r="CR101" s="3">
        <v>90</v>
      </c>
    </row>
    <row r="102" spans="2:96" ht="11.25" customHeight="1" x14ac:dyDescent="0.2">
      <c r="B102" s="14"/>
      <c r="F102" s="119">
        <v>16</v>
      </c>
      <c r="G102" s="119"/>
      <c r="H102" s="116">
        <v>26</v>
      </c>
      <c r="I102" s="116"/>
      <c r="Q102" s="1" t="s">
        <v>498</v>
      </c>
      <c r="R102" s="60">
        <f>ROUNDUP(4*(C113-0.1)+2*MAX(6*R101,8)/1000,2)</f>
        <v>3.3</v>
      </c>
      <c r="S102" s="60"/>
      <c r="T102" s="1" t="s">
        <v>0</v>
      </c>
      <c r="AF102" s="78"/>
      <c r="AG102" s="78"/>
      <c r="AH102" s="78"/>
      <c r="AI102" s="78"/>
      <c r="AJ102" s="78"/>
      <c r="AK102" s="78"/>
      <c r="AL102" s="78"/>
      <c r="AM102" s="78"/>
      <c r="AZ102" s="92" t="s">
        <v>525</v>
      </c>
      <c r="BA102" s="92"/>
      <c r="BB102" s="92"/>
      <c r="BE102" s="63">
        <v>150</v>
      </c>
      <c r="BF102" s="63"/>
      <c r="BG102" s="63">
        <v>250</v>
      </c>
      <c r="BH102" s="63"/>
      <c r="BI102" s="63">
        <v>8</v>
      </c>
      <c r="BJ102" s="63"/>
      <c r="BK102" s="63">
        <v>5</v>
      </c>
      <c r="BL102" s="63"/>
      <c r="BM102" s="63">
        <v>335</v>
      </c>
      <c r="BN102" s="63"/>
      <c r="BO102" s="63">
        <v>78</v>
      </c>
      <c r="BP102" s="63"/>
      <c r="BQ102" s="69">
        <v>3.25</v>
      </c>
      <c r="BR102" s="70"/>
      <c r="CB102" s="15"/>
      <c r="CL102" s="198"/>
      <c r="CM102" s="4" t="s">
        <v>121</v>
      </c>
      <c r="CN102" s="3">
        <v>189</v>
      </c>
      <c r="CQ102" s="20" t="s">
        <v>308</v>
      </c>
      <c r="CR102" s="3">
        <v>1.1100000000000001</v>
      </c>
    </row>
    <row r="103" spans="2:96" ht="11.25" customHeight="1" x14ac:dyDescent="0.2">
      <c r="B103" s="14"/>
      <c r="F103" s="1" t="s">
        <v>498</v>
      </c>
      <c r="G103" s="60">
        <f>+Q95+Q91-0.1+0.2</f>
        <v>1.3</v>
      </c>
      <c r="H103" s="60"/>
      <c r="I103" s="1" t="s">
        <v>0</v>
      </c>
      <c r="Q103" s="1" t="s">
        <v>498</v>
      </c>
      <c r="R103" s="60">
        <f>ROUNDUP(((C113-0.1)*2)+((C113-0.1)/3*2)+2*MAX(6*R101,8)/1000,2)</f>
        <v>2.23</v>
      </c>
      <c r="S103" s="60"/>
      <c r="T103" s="1" t="s">
        <v>0</v>
      </c>
      <c r="AF103" s="78"/>
      <c r="AG103" s="78"/>
      <c r="AH103" s="78"/>
      <c r="AI103" s="78"/>
      <c r="AJ103" s="78"/>
      <c r="AK103" s="78"/>
      <c r="AL103" s="78"/>
      <c r="AM103" s="78"/>
      <c r="AZ103" s="92" t="s">
        <v>526</v>
      </c>
      <c r="BA103" s="92"/>
      <c r="BB103" s="92"/>
      <c r="BE103" s="63">
        <v>150</v>
      </c>
      <c r="BF103" s="63"/>
      <c r="BG103" s="63">
        <v>250</v>
      </c>
      <c r="BH103" s="63"/>
      <c r="BI103" s="63">
        <v>8.5</v>
      </c>
      <c r="BJ103" s="63"/>
      <c r="BK103" s="63">
        <v>5</v>
      </c>
      <c r="BL103" s="63"/>
      <c r="BM103" s="63">
        <v>377</v>
      </c>
      <c r="BN103" s="63"/>
      <c r="BO103" s="63">
        <v>78</v>
      </c>
      <c r="BP103" s="63"/>
      <c r="BQ103" s="69">
        <v>3.86</v>
      </c>
      <c r="BR103" s="70"/>
      <c r="CB103" s="15"/>
      <c r="CL103" s="198"/>
      <c r="CM103" s="4" t="s">
        <v>122</v>
      </c>
      <c r="CN103" s="3">
        <v>238</v>
      </c>
      <c r="CQ103" s="20" t="s">
        <v>309</v>
      </c>
      <c r="CR103" s="3">
        <v>1.45</v>
      </c>
    </row>
    <row r="104" spans="2:96" ht="11.25" customHeight="1" x14ac:dyDescent="0.2">
      <c r="B104" s="14"/>
      <c r="AF104" s="78"/>
      <c r="AG104" s="78"/>
      <c r="AH104" s="78"/>
      <c r="AI104" s="78"/>
      <c r="AJ104" s="78"/>
      <c r="AK104" s="78"/>
      <c r="AL104" s="78"/>
      <c r="AM104" s="78"/>
      <c r="AZ104" s="92" t="s">
        <v>527</v>
      </c>
      <c r="BA104" s="92"/>
      <c r="BB104" s="92"/>
      <c r="BC104" s="50"/>
      <c r="BD104" s="47"/>
      <c r="BE104" s="63">
        <v>150</v>
      </c>
      <c r="BF104" s="63"/>
      <c r="BG104" s="63">
        <v>150</v>
      </c>
      <c r="BH104" s="63"/>
      <c r="BI104" s="63">
        <v>5</v>
      </c>
      <c r="BJ104" s="63"/>
      <c r="BK104" s="63">
        <v>5</v>
      </c>
      <c r="BL104" s="63"/>
      <c r="BM104" s="63">
        <v>131</v>
      </c>
      <c r="BN104" s="63"/>
      <c r="BO104" s="63">
        <v>131</v>
      </c>
      <c r="BP104" s="63"/>
      <c r="BQ104" s="69">
        <v>2.06</v>
      </c>
      <c r="BR104" s="70"/>
      <c r="CB104" s="15"/>
      <c r="CL104" s="198"/>
      <c r="CM104" s="4" t="s">
        <v>123</v>
      </c>
      <c r="CN104" s="3">
        <v>177</v>
      </c>
      <c r="CQ104" s="20" t="s">
        <v>310</v>
      </c>
      <c r="CR104" s="3">
        <v>1.35</v>
      </c>
    </row>
    <row r="105" spans="2:96" ht="11.25" customHeight="1" x14ac:dyDescent="0.2">
      <c r="B105" s="14"/>
      <c r="L105" s="117">
        <f>MAX(2*ROUNDUP((0.002*R113*1000*(Q95*1000-50))/(PI()*N105^2/4),0),2*(ROUNDUP((R113-0.1)/(P105/1000),0)+1))</f>
        <v>18</v>
      </c>
      <c r="M105" s="117"/>
      <c r="N105" s="116">
        <v>16</v>
      </c>
      <c r="O105" s="116"/>
      <c r="P105" s="110">
        <v>250</v>
      </c>
      <c r="Q105" s="110"/>
      <c r="R105" s="1" t="s">
        <v>272</v>
      </c>
      <c r="AF105" s="78"/>
      <c r="AG105" s="78"/>
      <c r="AH105" s="78"/>
      <c r="AI105" s="78"/>
      <c r="AJ105" s="78"/>
      <c r="AK105" s="78"/>
      <c r="AL105" s="78"/>
      <c r="AM105" s="78"/>
      <c r="AZ105" s="92" t="s">
        <v>528</v>
      </c>
      <c r="BA105" s="92"/>
      <c r="BB105" s="92"/>
      <c r="BC105" s="51"/>
      <c r="BD105" s="52"/>
      <c r="BE105" s="63">
        <v>150</v>
      </c>
      <c r="BF105" s="63"/>
      <c r="BG105" s="63">
        <v>150</v>
      </c>
      <c r="BH105" s="63"/>
      <c r="BI105" s="63">
        <v>5.5</v>
      </c>
      <c r="BJ105" s="63"/>
      <c r="BK105" s="63">
        <v>5.5</v>
      </c>
      <c r="BL105" s="63"/>
      <c r="BM105" s="63">
        <v>158</v>
      </c>
      <c r="BN105" s="63"/>
      <c r="BO105" s="63">
        <v>158</v>
      </c>
      <c r="BP105" s="63"/>
      <c r="BQ105" s="69">
        <v>2.4900000000000002</v>
      </c>
      <c r="BR105" s="70"/>
      <c r="CB105" s="15"/>
      <c r="CL105" s="198"/>
      <c r="CM105" s="4" t="s">
        <v>124</v>
      </c>
      <c r="CN105" s="3">
        <v>245</v>
      </c>
      <c r="CQ105" s="20" t="s">
        <v>311</v>
      </c>
      <c r="CR105" s="3">
        <v>1.77</v>
      </c>
    </row>
    <row r="106" spans="2:96" ht="11.25" customHeight="1" x14ac:dyDescent="0.2">
      <c r="B106" s="14"/>
      <c r="L106" s="1" t="s">
        <v>498</v>
      </c>
      <c r="M106" s="60">
        <f>K98-0.1+2*(Q95-0.1)</f>
        <v>2.5</v>
      </c>
      <c r="N106" s="60"/>
      <c r="O106" s="1" t="s">
        <v>0</v>
      </c>
      <c r="Q106" s="31" t="str">
        <f>IF(P105&gt;250,"aralık azalt.","")</f>
        <v/>
      </c>
      <c r="AF106" s="78"/>
      <c r="AG106" s="78"/>
      <c r="AH106" s="78"/>
      <c r="AI106" s="78"/>
      <c r="AJ106" s="78"/>
      <c r="AK106" s="78"/>
      <c r="AL106" s="78"/>
      <c r="AM106" s="78"/>
      <c r="AZ106" s="92" t="s">
        <v>529</v>
      </c>
      <c r="BA106" s="92"/>
      <c r="BB106" s="92"/>
      <c r="BC106" s="51"/>
      <c r="BD106" s="52"/>
      <c r="BE106" s="63">
        <v>150</v>
      </c>
      <c r="BF106" s="63"/>
      <c r="BG106" s="63">
        <v>150</v>
      </c>
      <c r="BH106" s="63"/>
      <c r="BI106" s="63">
        <v>6</v>
      </c>
      <c r="BJ106" s="63"/>
      <c r="BK106" s="63">
        <v>6</v>
      </c>
      <c r="BL106" s="63"/>
      <c r="BM106" s="63">
        <v>188</v>
      </c>
      <c r="BN106" s="63"/>
      <c r="BO106" s="63">
        <v>188</v>
      </c>
      <c r="BP106" s="63"/>
      <c r="BQ106" s="69">
        <v>2.96</v>
      </c>
      <c r="BR106" s="70"/>
      <c r="CB106" s="15"/>
      <c r="CL106" s="198"/>
      <c r="CM106" s="4" t="s">
        <v>125</v>
      </c>
      <c r="CN106" s="3">
        <v>248</v>
      </c>
      <c r="CQ106" s="20" t="s">
        <v>312</v>
      </c>
      <c r="CR106" s="3">
        <v>1.72</v>
      </c>
    </row>
    <row r="107" spans="2:96" ht="11.25" customHeight="1" x14ac:dyDescent="0.2">
      <c r="B107" s="14"/>
      <c r="H107" s="35" t="s">
        <v>541</v>
      </c>
      <c r="AF107" s="78"/>
      <c r="AG107" s="78"/>
      <c r="AH107" s="78"/>
      <c r="AI107" s="78"/>
      <c r="AJ107" s="78"/>
      <c r="AK107" s="78"/>
      <c r="AL107" s="78"/>
      <c r="AM107" s="78"/>
      <c r="AZ107" s="92" t="s">
        <v>530</v>
      </c>
      <c r="BA107" s="92"/>
      <c r="BB107" s="92"/>
      <c r="BC107" s="51"/>
      <c r="BD107" s="52"/>
      <c r="BE107" s="63">
        <v>150</v>
      </c>
      <c r="BF107" s="63"/>
      <c r="BG107" s="63">
        <v>150</v>
      </c>
      <c r="BH107" s="63"/>
      <c r="BI107" s="63">
        <v>6.5</v>
      </c>
      <c r="BJ107" s="63"/>
      <c r="BK107" s="63">
        <v>6.5</v>
      </c>
      <c r="BL107" s="63"/>
      <c r="BM107" s="63">
        <v>221</v>
      </c>
      <c r="BN107" s="63"/>
      <c r="BO107" s="63">
        <v>221</v>
      </c>
      <c r="BP107" s="63"/>
      <c r="BQ107" s="69">
        <v>3.47</v>
      </c>
      <c r="BR107" s="70"/>
      <c r="CB107" s="15"/>
      <c r="CL107" s="198"/>
      <c r="CM107" s="4" t="s">
        <v>126</v>
      </c>
      <c r="CN107" s="3">
        <v>250</v>
      </c>
      <c r="CQ107" s="20" t="s">
        <v>313</v>
      </c>
      <c r="CR107" s="3">
        <v>2.25</v>
      </c>
    </row>
    <row r="108" spans="2:96" ht="11.25" customHeight="1" x14ac:dyDescent="0.2">
      <c r="B108" s="14"/>
      <c r="AF108" s="78"/>
      <c r="AG108" s="78"/>
      <c r="AH108" s="78"/>
      <c r="AI108" s="78"/>
      <c r="AJ108" s="78"/>
      <c r="AK108" s="78"/>
      <c r="AL108" s="78"/>
      <c r="AM108" s="78"/>
      <c r="AZ108" s="92" t="s">
        <v>531</v>
      </c>
      <c r="BA108" s="92"/>
      <c r="BB108" s="92"/>
      <c r="BC108" s="51"/>
      <c r="BD108" s="52"/>
      <c r="BE108" s="63">
        <v>150</v>
      </c>
      <c r="BF108" s="63"/>
      <c r="BG108" s="63">
        <v>150</v>
      </c>
      <c r="BH108" s="63"/>
      <c r="BI108" s="63">
        <v>7</v>
      </c>
      <c r="BJ108" s="63"/>
      <c r="BK108" s="63">
        <v>7</v>
      </c>
      <c r="BL108" s="63"/>
      <c r="BM108" s="63">
        <v>257</v>
      </c>
      <c r="BN108" s="63"/>
      <c r="BO108" s="63">
        <v>257</v>
      </c>
      <c r="BP108" s="63"/>
      <c r="BQ108" s="69">
        <v>4.03</v>
      </c>
      <c r="BR108" s="70"/>
      <c r="CB108" s="15"/>
      <c r="CL108" s="198"/>
      <c r="CM108" s="4" t="s">
        <v>127</v>
      </c>
      <c r="CN108" s="3">
        <v>256</v>
      </c>
      <c r="CQ108" s="20" t="s">
        <v>314</v>
      </c>
      <c r="CR108" s="3">
        <v>2.77</v>
      </c>
    </row>
    <row r="109" spans="2:96" ht="11.25" customHeight="1" x14ac:dyDescent="0.2">
      <c r="B109" s="14"/>
      <c r="AF109" s="78"/>
      <c r="AG109" s="78"/>
      <c r="AH109" s="78"/>
      <c r="AI109" s="78"/>
      <c r="AJ109" s="78"/>
      <c r="AK109" s="78"/>
      <c r="AL109" s="78"/>
      <c r="AM109" s="78"/>
      <c r="AZ109" s="92" t="s">
        <v>532</v>
      </c>
      <c r="BA109" s="92"/>
      <c r="BB109" s="92"/>
      <c r="BC109" s="93">
        <v>5</v>
      </c>
      <c r="BD109" s="94"/>
      <c r="BE109" s="63">
        <v>150</v>
      </c>
      <c r="BF109" s="63"/>
      <c r="BG109" s="63">
        <v>150</v>
      </c>
      <c r="BH109" s="63"/>
      <c r="BI109" s="63">
        <v>7.5</v>
      </c>
      <c r="BJ109" s="63"/>
      <c r="BK109" s="63">
        <v>7.5</v>
      </c>
      <c r="BL109" s="63"/>
      <c r="BM109" s="63">
        <v>295</v>
      </c>
      <c r="BN109" s="63"/>
      <c r="BO109" s="63">
        <v>295</v>
      </c>
      <c r="BP109" s="63"/>
      <c r="BQ109" s="69">
        <v>4.62</v>
      </c>
      <c r="BR109" s="70"/>
      <c r="CB109" s="15"/>
      <c r="CL109" s="198"/>
      <c r="CM109" s="4" t="s">
        <v>128</v>
      </c>
      <c r="CN109" s="3">
        <v>263</v>
      </c>
      <c r="CQ109" s="20" t="s">
        <v>315</v>
      </c>
      <c r="CR109" s="3">
        <v>2.96</v>
      </c>
    </row>
    <row r="110" spans="2:96" ht="11.25" customHeight="1" x14ac:dyDescent="0.2">
      <c r="B110" s="14"/>
      <c r="AF110" s="78"/>
      <c r="AG110" s="78"/>
      <c r="AH110" s="78"/>
      <c r="AI110" s="78"/>
      <c r="AJ110" s="78"/>
      <c r="AK110" s="78"/>
      <c r="AL110" s="78"/>
      <c r="AM110" s="78"/>
      <c r="AZ110" s="92" t="s">
        <v>533</v>
      </c>
      <c r="BA110" s="92"/>
      <c r="BB110" s="92"/>
      <c r="BC110" s="67">
        <v>2.15</v>
      </c>
      <c r="BD110" s="68"/>
      <c r="BE110" s="63">
        <v>150</v>
      </c>
      <c r="BF110" s="63"/>
      <c r="BG110" s="63">
        <v>150</v>
      </c>
      <c r="BH110" s="63"/>
      <c r="BI110" s="63">
        <v>7.8</v>
      </c>
      <c r="BJ110" s="63"/>
      <c r="BK110" s="63">
        <v>6</v>
      </c>
      <c r="BL110" s="63"/>
      <c r="BM110" s="63">
        <v>317</v>
      </c>
      <c r="BN110" s="63"/>
      <c r="BO110" s="63">
        <v>188</v>
      </c>
      <c r="BP110" s="63"/>
      <c r="BQ110" s="69">
        <v>3.98</v>
      </c>
      <c r="BR110" s="70"/>
      <c r="CB110" s="15"/>
      <c r="CL110" s="198"/>
      <c r="CM110" s="4" t="s">
        <v>129</v>
      </c>
      <c r="CN110" s="3">
        <v>270</v>
      </c>
      <c r="CQ110" s="20" t="s">
        <v>316</v>
      </c>
      <c r="CR110" s="3">
        <v>2.71</v>
      </c>
    </row>
    <row r="111" spans="2:96" ht="11.25" customHeight="1" x14ac:dyDescent="0.2">
      <c r="B111" s="14"/>
      <c r="AZ111" s="92" t="s">
        <v>534</v>
      </c>
      <c r="BA111" s="92"/>
      <c r="BB111" s="92"/>
      <c r="BC111" s="51"/>
      <c r="BD111" s="52"/>
      <c r="BE111" s="63">
        <v>150</v>
      </c>
      <c r="BF111" s="63"/>
      <c r="BG111" s="63">
        <v>150</v>
      </c>
      <c r="BH111" s="63"/>
      <c r="BI111" s="63">
        <v>8</v>
      </c>
      <c r="BJ111" s="63"/>
      <c r="BK111" s="63">
        <v>8</v>
      </c>
      <c r="BL111" s="63"/>
      <c r="BM111" s="63">
        <v>335</v>
      </c>
      <c r="BN111" s="63"/>
      <c r="BO111" s="63">
        <v>335</v>
      </c>
      <c r="BP111" s="63"/>
      <c r="BQ111" s="69">
        <v>5.26</v>
      </c>
      <c r="BR111" s="70"/>
      <c r="CB111" s="15"/>
      <c r="CL111" s="198"/>
      <c r="CM111" s="4" t="s">
        <v>130</v>
      </c>
      <c r="CN111" s="3">
        <v>278</v>
      </c>
      <c r="CQ111" s="20" t="s">
        <v>317</v>
      </c>
      <c r="CR111" s="3">
        <v>3.35</v>
      </c>
    </row>
    <row r="112" spans="2:96" ht="11.25" customHeight="1" x14ac:dyDescent="0.2">
      <c r="B112" s="14"/>
      <c r="C112" s="36" t="s">
        <v>0</v>
      </c>
      <c r="R112" s="36" t="s">
        <v>0</v>
      </c>
      <c r="S112" s="201" t="str">
        <f>IF(R113&lt;E30,"","azalt.")</f>
        <v/>
      </c>
      <c r="AZ112" s="92" t="s">
        <v>535</v>
      </c>
      <c r="BA112" s="92"/>
      <c r="BB112" s="92"/>
      <c r="BC112" s="51"/>
      <c r="BD112" s="52"/>
      <c r="BE112" s="63">
        <v>150</v>
      </c>
      <c r="BF112" s="63"/>
      <c r="BG112" s="63">
        <v>150</v>
      </c>
      <c r="BH112" s="63"/>
      <c r="BI112" s="63">
        <v>8.5</v>
      </c>
      <c r="BJ112" s="63"/>
      <c r="BK112" s="63">
        <v>6</v>
      </c>
      <c r="BL112" s="63"/>
      <c r="BM112" s="63">
        <v>377</v>
      </c>
      <c r="BN112" s="63"/>
      <c r="BO112" s="63">
        <v>188</v>
      </c>
      <c r="BP112" s="63"/>
      <c r="BQ112" s="69">
        <v>4.45</v>
      </c>
      <c r="BR112" s="70"/>
      <c r="CB112" s="15"/>
      <c r="CL112" s="198"/>
      <c r="CM112" s="4" t="s">
        <v>131</v>
      </c>
      <c r="CN112" s="3">
        <v>285</v>
      </c>
      <c r="CQ112" s="20" t="s">
        <v>318</v>
      </c>
      <c r="CR112" s="3">
        <v>3.37</v>
      </c>
    </row>
    <row r="113" spans="2:96" ht="11.25" customHeight="1" x14ac:dyDescent="0.2">
      <c r="B113" s="14"/>
      <c r="C113" s="121">
        <f>+K123</f>
        <v>0.9</v>
      </c>
      <c r="R113" s="122">
        <v>2</v>
      </c>
      <c r="S113" s="201"/>
      <c r="AZ113" s="92" t="s">
        <v>536</v>
      </c>
      <c r="BA113" s="92"/>
      <c r="BB113" s="92"/>
      <c r="BC113" s="51"/>
      <c r="BD113" s="52"/>
      <c r="BE113" s="63">
        <v>150</v>
      </c>
      <c r="BF113" s="63"/>
      <c r="BG113" s="63">
        <v>150</v>
      </c>
      <c r="BH113" s="63"/>
      <c r="BI113" s="63">
        <v>8.5</v>
      </c>
      <c r="BJ113" s="63"/>
      <c r="BK113" s="63">
        <v>8.5</v>
      </c>
      <c r="BL113" s="63"/>
      <c r="BM113" s="63">
        <v>377</v>
      </c>
      <c r="BN113" s="63"/>
      <c r="BO113" s="63">
        <v>377</v>
      </c>
      <c r="BP113" s="63"/>
      <c r="BQ113" s="69">
        <v>5.94</v>
      </c>
      <c r="BR113" s="70"/>
      <c r="CB113" s="15"/>
      <c r="CL113" s="198"/>
      <c r="CM113" s="4" t="s">
        <v>132</v>
      </c>
      <c r="CN113" s="3">
        <v>293</v>
      </c>
      <c r="CQ113" s="20" t="s">
        <v>319</v>
      </c>
      <c r="CR113" s="3">
        <v>4.59</v>
      </c>
    </row>
    <row r="114" spans="2:96" ht="11.25" customHeight="1" x14ac:dyDescent="0.2">
      <c r="B114" s="14"/>
      <c r="C114" s="121"/>
      <c r="R114" s="122"/>
      <c r="S114" s="201"/>
      <c r="AZ114" s="103" t="s">
        <v>537</v>
      </c>
      <c r="BA114" s="104"/>
      <c r="BB114" s="104"/>
      <c r="BC114" s="104"/>
      <c r="BD114" s="104"/>
      <c r="BE114" s="104"/>
      <c r="BF114" s="104"/>
      <c r="BG114" s="104"/>
      <c r="BH114" s="104"/>
      <c r="BI114" s="104"/>
      <c r="BJ114" s="104"/>
      <c r="BK114" s="104"/>
      <c r="BL114" s="104"/>
      <c r="BM114" s="104"/>
      <c r="BN114" s="104"/>
      <c r="BO114" s="104"/>
      <c r="BP114" s="104"/>
      <c r="BQ114" s="104"/>
      <c r="BR114" s="105"/>
      <c r="CB114" s="15"/>
      <c r="CL114" s="198"/>
      <c r="CM114" s="4" t="s">
        <v>133</v>
      </c>
      <c r="CN114" s="3">
        <v>301</v>
      </c>
      <c r="CQ114" s="20" t="s">
        <v>320</v>
      </c>
      <c r="CR114" s="3">
        <v>3.76</v>
      </c>
    </row>
    <row r="115" spans="2:96" ht="11.25" customHeight="1" x14ac:dyDescent="0.2">
      <c r="B115" s="14"/>
      <c r="C115" s="121"/>
      <c r="R115" s="122"/>
      <c r="S115" s="201"/>
      <c r="CB115" s="15"/>
      <c r="CL115" s="198"/>
      <c r="CM115" s="4" t="s">
        <v>134</v>
      </c>
      <c r="CN115" s="3">
        <v>317</v>
      </c>
      <c r="CQ115" s="20" t="s">
        <v>321</v>
      </c>
      <c r="CR115" s="3">
        <v>4.46</v>
      </c>
    </row>
    <row r="116" spans="2:96" ht="11.25" customHeight="1" x14ac:dyDescent="0.2">
      <c r="B116" s="14"/>
      <c r="CB116" s="15"/>
      <c r="CL116" s="198"/>
      <c r="CM116" s="4" t="s">
        <v>135</v>
      </c>
      <c r="CN116" s="3">
        <v>333</v>
      </c>
      <c r="CQ116" s="20" t="s">
        <v>322</v>
      </c>
      <c r="CR116" s="3">
        <v>5.14</v>
      </c>
    </row>
    <row r="117" spans="2:96" ht="11.25" customHeight="1" x14ac:dyDescent="0.2">
      <c r="B117" s="14"/>
      <c r="CB117" s="15"/>
      <c r="CL117" s="198"/>
      <c r="CM117" s="4" t="s">
        <v>136</v>
      </c>
      <c r="CN117" s="3">
        <v>349</v>
      </c>
      <c r="CQ117" s="20" t="s">
        <v>323</v>
      </c>
      <c r="CR117" s="3">
        <v>4.3499999999999996</v>
      </c>
    </row>
    <row r="118" spans="2:96" ht="11.25" customHeight="1" x14ac:dyDescent="0.2">
      <c r="B118" s="14"/>
      <c r="CB118" s="15"/>
      <c r="CL118" s="5"/>
      <c r="CM118" s="6" t="s">
        <v>137</v>
      </c>
      <c r="CN118" s="6"/>
      <c r="CQ118" s="20" t="s">
        <v>324</v>
      </c>
      <c r="CR118" s="3">
        <v>5.97</v>
      </c>
    </row>
    <row r="119" spans="2:96" ht="11.25" customHeight="1" x14ac:dyDescent="0.2">
      <c r="B119" s="14"/>
      <c r="CB119" s="15"/>
      <c r="CQ119" s="20" t="s">
        <v>325</v>
      </c>
      <c r="CR119" s="3">
        <v>7.52</v>
      </c>
    </row>
    <row r="120" spans="2:96" ht="11.25" customHeight="1" x14ac:dyDescent="0.2">
      <c r="B120" s="14"/>
      <c r="C120" s="78" t="s">
        <v>552</v>
      </c>
      <c r="D120" s="78"/>
      <c r="E120" s="78"/>
      <c r="F120" s="78"/>
      <c r="G120" s="78"/>
      <c r="H120" s="78"/>
      <c r="CB120" s="15"/>
      <c r="CQ120" s="20" t="s">
        <v>326</v>
      </c>
      <c r="CR120" s="3">
        <v>4.74</v>
      </c>
    </row>
    <row r="121" spans="2:96" ht="11.25" customHeight="1" x14ac:dyDescent="0.2">
      <c r="B121" s="14"/>
      <c r="C121" s="78"/>
      <c r="D121" s="78"/>
      <c r="E121" s="78"/>
      <c r="F121" s="78"/>
      <c r="G121" s="78"/>
      <c r="H121" s="78"/>
      <c r="K121" s="123">
        <v>0.15</v>
      </c>
      <c r="L121" s="123"/>
      <c r="M121" s="1" t="s">
        <v>0</v>
      </c>
      <c r="CB121" s="15"/>
      <c r="CQ121" s="20" t="s">
        <v>327</v>
      </c>
      <c r="CR121" s="3">
        <v>6.51</v>
      </c>
    </row>
    <row r="122" spans="2:96" ht="11.25" customHeight="1" x14ac:dyDescent="0.2">
      <c r="B122" s="14"/>
      <c r="C122" s="78"/>
      <c r="D122" s="78"/>
      <c r="E122" s="78"/>
      <c r="F122" s="78"/>
      <c r="G122" s="78"/>
      <c r="H122" s="78"/>
      <c r="CB122" s="15"/>
      <c r="CQ122" s="20" t="s">
        <v>328</v>
      </c>
      <c r="CR122" s="3">
        <v>8.23</v>
      </c>
    </row>
    <row r="123" spans="2:96" ht="11.25" customHeight="1" x14ac:dyDescent="0.2">
      <c r="B123" s="14"/>
      <c r="C123" s="78"/>
      <c r="D123" s="78"/>
      <c r="E123" s="78"/>
      <c r="F123" s="78"/>
      <c r="G123" s="78"/>
      <c r="H123" s="78"/>
      <c r="K123" s="91">
        <v>0.9</v>
      </c>
      <c r="L123" s="91"/>
      <c r="M123" s="1" t="s">
        <v>0</v>
      </c>
      <c r="CB123" s="15"/>
      <c r="CQ123" s="20" t="s">
        <v>329</v>
      </c>
      <c r="CR123" s="3">
        <v>4.95</v>
      </c>
    </row>
    <row r="124" spans="2:96" ht="11.25" customHeight="1" x14ac:dyDescent="0.2">
      <c r="B124" s="54"/>
      <c r="C124" s="81"/>
      <c r="D124" s="81"/>
      <c r="E124" s="81"/>
      <c r="F124" s="81"/>
      <c r="G124" s="81"/>
      <c r="H124" s="81"/>
      <c r="I124" s="30"/>
      <c r="J124" s="113" t="str">
        <f>IF(K123&gt;(MAX(P148,U148)/1000+0.04),"","artır.")</f>
        <v/>
      </c>
      <c r="K124" s="113"/>
      <c r="L124" s="113"/>
      <c r="M124" s="113"/>
      <c r="N124" s="30"/>
      <c r="O124" s="30"/>
      <c r="P124" s="30"/>
      <c r="Q124" s="30"/>
      <c r="R124" s="30"/>
      <c r="S124" s="30"/>
      <c r="T124" s="30"/>
      <c r="U124" s="30"/>
      <c r="V124" s="30"/>
      <c r="W124" s="30"/>
      <c r="X124" s="30"/>
      <c r="Y124" s="30"/>
      <c r="Z124" s="30"/>
      <c r="AA124" s="30"/>
      <c r="AB124" s="30"/>
      <c r="AC124" s="30"/>
      <c r="AD124" s="30"/>
      <c r="AE124" s="30"/>
      <c r="AF124" s="30"/>
      <c r="AG124" s="30"/>
      <c r="AH124" s="30"/>
      <c r="AI124" s="30"/>
      <c r="AJ124" s="30"/>
      <c r="AK124" s="30"/>
      <c r="AL124" s="30"/>
      <c r="AM124" s="30"/>
      <c r="AN124" s="30"/>
      <c r="AO124" s="30"/>
      <c r="AP124" s="30"/>
      <c r="AQ124" s="30"/>
      <c r="AR124" s="30"/>
      <c r="AS124" s="30"/>
      <c r="AT124" s="30"/>
      <c r="AU124" s="30"/>
      <c r="AV124" s="30"/>
      <c r="AW124" s="30"/>
      <c r="AX124" s="30"/>
      <c r="AY124" s="30"/>
      <c r="AZ124" s="30"/>
      <c r="BA124" s="30"/>
      <c r="BB124" s="30"/>
      <c r="BC124" s="30"/>
      <c r="BD124" s="30"/>
      <c r="BE124" s="30"/>
      <c r="BF124" s="30"/>
      <c r="BG124" s="30"/>
      <c r="BH124" s="30"/>
      <c r="BI124" s="30"/>
      <c r="BJ124" s="30"/>
      <c r="BK124" s="30"/>
      <c r="BL124" s="30"/>
      <c r="BM124" s="30"/>
      <c r="BN124" s="30"/>
      <c r="BO124" s="30"/>
      <c r="BP124" s="30"/>
      <c r="BQ124" s="30"/>
      <c r="BR124" s="30"/>
      <c r="BS124" s="30"/>
      <c r="BT124" s="30"/>
      <c r="BU124" s="30"/>
      <c r="BV124" s="30"/>
      <c r="BW124" s="30"/>
      <c r="BX124" s="30"/>
      <c r="BY124" s="30"/>
      <c r="BZ124" s="30"/>
      <c r="CA124" s="30"/>
      <c r="CB124" s="55"/>
      <c r="CQ124" s="20" t="s">
        <v>330</v>
      </c>
      <c r="CR124" s="3">
        <v>6.8</v>
      </c>
    </row>
    <row r="125" spans="2:96" ht="11.25" customHeight="1" x14ac:dyDescent="0.2">
      <c r="B125" s="150" t="s">
        <v>305</v>
      </c>
      <c r="C125" s="151"/>
      <c r="D125" s="151"/>
      <c r="E125" s="151"/>
      <c r="F125" s="151"/>
      <c r="G125" s="151"/>
      <c r="H125" s="151"/>
      <c r="I125" s="151"/>
      <c r="J125" s="151"/>
      <c r="K125" s="151"/>
      <c r="L125" s="151"/>
      <c r="M125" s="151"/>
      <c r="N125" s="151"/>
      <c r="O125" s="151"/>
      <c r="P125" s="151"/>
      <c r="Q125" s="151"/>
      <c r="R125" s="151"/>
      <c r="S125" s="151"/>
      <c r="T125" s="151"/>
      <c r="U125" s="151"/>
      <c r="V125" s="151"/>
      <c r="W125" s="151"/>
      <c r="X125" s="151"/>
      <c r="Y125" s="151"/>
      <c r="Z125" s="151"/>
      <c r="AA125" s="151"/>
      <c r="AB125" s="151"/>
      <c r="AC125" s="151"/>
      <c r="AD125" s="151"/>
      <c r="AE125" s="151"/>
      <c r="AF125" s="151"/>
      <c r="AG125" s="151"/>
      <c r="AH125" s="151"/>
      <c r="AI125" s="151"/>
      <c r="AJ125" s="151"/>
      <c r="AK125" s="151"/>
      <c r="AL125" s="151"/>
      <c r="AM125" s="151"/>
      <c r="AN125" s="151"/>
      <c r="AO125" s="151"/>
      <c r="AP125" s="151"/>
      <c r="AQ125" s="151"/>
      <c r="AR125" s="151"/>
      <c r="AS125" s="151"/>
      <c r="AT125" s="151"/>
      <c r="AU125" s="151"/>
      <c r="AV125" s="151"/>
      <c r="AW125" s="151"/>
      <c r="AX125" s="151"/>
      <c r="AY125" s="151"/>
      <c r="AZ125" s="151"/>
      <c r="BA125" s="151"/>
      <c r="BB125" s="151"/>
      <c r="BC125" s="151"/>
      <c r="BD125" s="151"/>
      <c r="BE125" s="151"/>
      <c r="BF125" s="151"/>
      <c r="BG125" s="151"/>
      <c r="BH125" s="151"/>
      <c r="BI125" s="151"/>
      <c r="BJ125" s="151"/>
      <c r="BK125" s="151"/>
      <c r="BL125" s="151"/>
      <c r="BM125" s="151"/>
      <c r="BN125" s="151"/>
      <c r="BO125" s="151"/>
      <c r="BP125" s="151"/>
      <c r="BQ125" s="151"/>
      <c r="BR125" s="151"/>
      <c r="BS125" s="151"/>
      <c r="BT125" s="151"/>
      <c r="BU125" s="151"/>
      <c r="BV125" s="151"/>
      <c r="BW125" s="151"/>
      <c r="BX125" s="151"/>
      <c r="BY125" s="151"/>
      <c r="BZ125" s="151"/>
      <c r="CA125" s="151"/>
      <c r="CB125" s="152"/>
      <c r="CQ125" s="20" t="s">
        <v>331</v>
      </c>
      <c r="CR125" s="3">
        <v>8.59</v>
      </c>
    </row>
    <row r="126" spans="2:96" ht="11.25" customHeight="1" x14ac:dyDescent="0.2">
      <c r="B126" s="150"/>
      <c r="C126" s="151"/>
      <c r="D126" s="151"/>
      <c r="E126" s="151"/>
      <c r="F126" s="151"/>
      <c r="G126" s="151"/>
      <c r="H126" s="151"/>
      <c r="I126" s="151"/>
      <c r="J126" s="151"/>
      <c r="K126" s="151"/>
      <c r="L126" s="151"/>
      <c r="M126" s="151"/>
      <c r="N126" s="151"/>
      <c r="O126" s="151"/>
      <c r="P126" s="151"/>
      <c r="Q126" s="151"/>
      <c r="R126" s="151"/>
      <c r="S126" s="151"/>
      <c r="T126" s="151"/>
      <c r="U126" s="151"/>
      <c r="V126" s="151"/>
      <c r="W126" s="151"/>
      <c r="X126" s="151"/>
      <c r="Y126" s="151"/>
      <c r="Z126" s="151"/>
      <c r="AA126" s="151"/>
      <c r="AB126" s="151"/>
      <c r="AC126" s="151"/>
      <c r="AD126" s="151"/>
      <c r="AE126" s="151"/>
      <c r="AF126" s="151"/>
      <c r="AG126" s="151"/>
      <c r="AH126" s="151"/>
      <c r="AI126" s="151"/>
      <c r="AJ126" s="151"/>
      <c r="AK126" s="151"/>
      <c r="AL126" s="151"/>
      <c r="AM126" s="151"/>
      <c r="AN126" s="151"/>
      <c r="AO126" s="151"/>
      <c r="AP126" s="151"/>
      <c r="AQ126" s="151"/>
      <c r="AR126" s="151"/>
      <c r="AS126" s="151"/>
      <c r="AT126" s="151"/>
      <c r="AU126" s="151"/>
      <c r="AV126" s="151"/>
      <c r="AW126" s="151"/>
      <c r="AX126" s="151"/>
      <c r="AY126" s="151"/>
      <c r="AZ126" s="151"/>
      <c r="BA126" s="151"/>
      <c r="BB126" s="151"/>
      <c r="BC126" s="151"/>
      <c r="BD126" s="151"/>
      <c r="BE126" s="151"/>
      <c r="BF126" s="151"/>
      <c r="BG126" s="151"/>
      <c r="BH126" s="151"/>
      <c r="BI126" s="151"/>
      <c r="BJ126" s="151"/>
      <c r="BK126" s="151"/>
      <c r="BL126" s="151"/>
      <c r="BM126" s="151"/>
      <c r="BN126" s="151"/>
      <c r="BO126" s="151"/>
      <c r="BP126" s="151"/>
      <c r="BQ126" s="151"/>
      <c r="BR126" s="151"/>
      <c r="BS126" s="151"/>
      <c r="BT126" s="151"/>
      <c r="BU126" s="151"/>
      <c r="BV126" s="151"/>
      <c r="BW126" s="151"/>
      <c r="BX126" s="151"/>
      <c r="BY126" s="151"/>
      <c r="BZ126" s="151"/>
      <c r="CA126" s="151"/>
      <c r="CB126" s="152"/>
      <c r="CQ126" s="20" t="s">
        <v>332</v>
      </c>
      <c r="CR126" s="3">
        <v>5.41</v>
      </c>
    </row>
    <row r="127" spans="2:96" ht="11.25" customHeight="1" x14ac:dyDescent="0.2">
      <c r="B127" s="153" t="s">
        <v>264</v>
      </c>
      <c r="C127" s="92"/>
      <c r="D127" s="92"/>
      <c r="E127" s="92"/>
      <c r="F127" s="92"/>
      <c r="G127" s="92"/>
      <c r="H127" s="92"/>
      <c r="I127" s="92"/>
      <c r="J127" s="92"/>
      <c r="K127" s="92"/>
      <c r="L127" s="92"/>
      <c r="M127" s="92"/>
      <c r="N127" s="92"/>
      <c r="O127" s="92" t="s">
        <v>304</v>
      </c>
      <c r="P127" s="92"/>
      <c r="Q127" s="92"/>
      <c r="R127" s="92"/>
      <c r="S127" s="92"/>
      <c r="T127" s="92"/>
      <c r="U127" s="92"/>
      <c r="V127" s="92"/>
      <c r="W127" s="92"/>
      <c r="X127" s="92"/>
      <c r="Y127" s="92"/>
      <c r="Z127" s="92"/>
      <c r="AA127" s="92"/>
      <c r="AB127" s="92"/>
      <c r="AC127" s="92"/>
      <c r="AD127" s="92"/>
      <c r="AE127" s="92"/>
      <c r="AF127" s="92"/>
      <c r="AG127" s="92"/>
      <c r="AH127" s="92"/>
      <c r="AI127" s="92"/>
      <c r="AJ127" s="92"/>
      <c r="AK127" s="92"/>
      <c r="AL127" s="92"/>
      <c r="AM127" s="92"/>
      <c r="AN127" s="92"/>
      <c r="AO127" s="92"/>
      <c r="AP127" s="92"/>
      <c r="AQ127" s="92"/>
      <c r="AR127" s="92"/>
      <c r="AS127" s="92"/>
      <c r="AT127" s="92"/>
      <c r="AU127" s="92"/>
      <c r="AV127" s="92"/>
      <c r="AW127" s="92"/>
      <c r="AX127" s="92"/>
      <c r="AY127" s="92"/>
      <c r="AZ127" s="92"/>
      <c r="BA127" s="92"/>
      <c r="BB127" s="92" t="s">
        <v>262</v>
      </c>
      <c r="BC127" s="92"/>
      <c r="BD127" s="92"/>
      <c r="BE127" s="92" t="s">
        <v>266</v>
      </c>
      <c r="BF127" s="92"/>
      <c r="BG127" s="92"/>
      <c r="BH127" s="92" t="s">
        <v>263</v>
      </c>
      <c r="BI127" s="92"/>
      <c r="BJ127" s="92"/>
      <c r="BK127" s="156" t="s">
        <v>384</v>
      </c>
      <c r="BL127" s="157"/>
      <c r="BM127" s="157"/>
      <c r="BN127" s="162" t="s">
        <v>303</v>
      </c>
      <c r="BO127" s="92"/>
      <c r="BP127" s="92"/>
      <c r="BQ127" s="92"/>
      <c r="BR127" s="162" t="s">
        <v>298</v>
      </c>
      <c r="BS127" s="162"/>
      <c r="BT127" s="162"/>
      <c r="BU127" s="162"/>
      <c r="BV127" s="92"/>
      <c r="BW127" s="92"/>
      <c r="BX127" s="162" t="s">
        <v>279</v>
      </c>
      <c r="BY127" s="162"/>
      <c r="BZ127" s="162"/>
      <c r="CA127" s="162"/>
      <c r="CB127" s="163"/>
      <c r="CQ127" s="20" t="s">
        <v>333</v>
      </c>
      <c r="CR127" s="3">
        <v>7.07</v>
      </c>
    </row>
    <row r="128" spans="2:96" ht="11.25" customHeight="1" x14ac:dyDescent="0.2">
      <c r="B128" s="153"/>
      <c r="C128" s="92"/>
      <c r="D128" s="92"/>
      <c r="E128" s="92"/>
      <c r="F128" s="92"/>
      <c r="G128" s="92"/>
      <c r="H128" s="92"/>
      <c r="I128" s="92"/>
      <c r="J128" s="92"/>
      <c r="K128" s="92"/>
      <c r="L128" s="92"/>
      <c r="M128" s="92"/>
      <c r="N128" s="92"/>
      <c r="O128" s="166" t="s">
        <v>17</v>
      </c>
      <c r="P128" s="167"/>
      <c r="Q128" s="167"/>
      <c r="R128" s="167"/>
      <c r="S128" s="168"/>
      <c r="T128" s="108" t="s">
        <v>417</v>
      </c>
      <c r="U128" s="108"/>
      <c r="V128" s="108"/>
      <c r="W128" s="108"/>
      <c r="X128" s="108"/>
      <c r="Y128" s="108"/>
      <c r="Z128" s="108"/>
      <c r="AA128" s="108"/>
      <c r="AB128" s="108" t="s">
        <v>414</v>
      </c>
      <c r="AC128" s="108"/>
      <c r="AD128" s="108"/>
      <c r="AE128" s="108"/>
      <c r="AF128" s="108"/>
      <c r="AG128" s="175" t="s">
        <v>429</v>
      </c>
      <c r="AH128" s="176"/>
      <c r="AI128" s="176"/>
      <c r="AJ128" s="176"/>
      <c r="AK128" s="177"/>
      <c r="AL128" s="178" t="s">
        <v>16</v>
      </c>
      <c r="AM128" s="178"/>
      <c r="AN128" s="178"/>
      <c r="AO128" s="178"/>
      <c r="AP128" s="178"/>
      <c r="AQ128" s="178"/>
      <c r="AR128" s="178" t="s">
        <v>267</v>
      </c>
      <c r="AS128" s="178"/>
      <c r="AT128" s="178"/>
      <c r="AU128" s="178"/>
      <c r="AV128" s="178"/>
      <c r="AW128" s="178" t="s">
        <v>423</v>
      </c>
      <c r="AX128" s="178"/>
      <c r="AY128" s="178"/>
      <c r="AZ128" s="178"/>
      <c r="BA128" s="178"/>
      <c r="BB128" s="92"/>
      <c r="BC128" s="92"/>
      <c r="BD128" s="92"/>
      <c r="BE128" s="92"/>
      <c r="BF128" s="92"/>
      <c r="BG128" s="92"/>
      <c r="BH128" s="92"/>
      <c r="BI128" s="92"/>
      <c r="BJ128" s="92"/>
      <c r="BK128" s="158"/>
      <c r="BL128" s="159"/>
      <c r="BM128" s="159"/>
      <c r="BN128" s="162"/>
      <c r="BO128" s="92"/>
      <c r="BP128" s="92"/>
      <c r="BQ128" s="92"/>
      <c r="BR128" s="162"/>
      <c r="BS128" s="162"/>
      <c r="BT128" s="162"/>
      <c r="BU128" s="162"/>
      <c r="BV128" s="92"/>
      <c r="BW128" s="92"/>
      <c r="BX128" s="162"/>
      <c r="BY128" s="162"/>
      <c r="BZ128" s="162"/>
      <c r="CA128" s="162"/>
      <c r="CB128" s="163"/>
      <c r="CQ128" s="20" t="s">
        <v>334</v>
      </c>
      <c r="CR128" s="3">
        <v>6.6</v>
      </c>
    </row>
    <row r="129" spans="2:96" ht="11.25" customHeight="1" x14ac:dyDescent="0.2">
      <c r="B129" s="153"/>
      <c r="C129" s="92"/>
      <c r="D129" s="92"/>
      <c r="E129" s="92"/>
      <c r="F129" s="92"/>
      <c r="G129" s="92"/>
      <c r="H129" s="92"/>
      <c r="I129" s="92"/>
      <c r="J129" s="92"/>
      <c r="K129" s="92"/>
      <c r="L129" s="92"/>
      <c r="M129" s="92"/>
      <c r="N129" s="92"/>
      <c r="O129" s="169"/>
      <c r="P129" s="170"/>
      <c r="Q129" s="170"/>
      <c r="R129" s="170"/>
      <c r="S129" s="171"/>
      <c r="T129" s="97" t="s">
        <v>418</v>
      </c>
      <c r="U129" s="95"/>
      <c r="V129" s="29" t="s">
        <v>415</v>
      </c>
      <c r="W129" s="95" t="s">
        <v>420</v>
      </c>
      <c r="X129" s="95"/>
      <c r="Y129" s="29" t="s">
        <v>415</v>
      </c>
      <c r="Z129" s="95" t="s">
        <v>421</v>
      </c>
      <c r="AA129" s="98"/>
      <c r="AB129" s="97" t="s">
        <v>422</v>
      </c>
      <c r="AC129" s="95"/>
      <c r="AD129" s="29" t="s">
        <v>415</v>
      </c>
      <c r="AE129" s="95" t="s">
        <v>421</v>
      </c>
      <c r="AF129" s="98"/>
      <c r="AG129" s="97" t="s">
        <v>473</v>
      </c>
      <c r="AH129" s="95"/>
      <c r="AI129" s="95"/>
      <c r="AJ129" s="95"/>
      <c r="AK129" s="98"/>
      <c r="AL129" s="179"/>
      <c r="AM129" s="179"/>
      <c r="AN129" s="179"/>
      <c r="AO129" s="179"/>
      <c r="AP129" s="179"/>
      <c r="AQ129" s="179"/>
      <c r="AR129" s="179"/>
      <c r="AS129" s="179"/>
      <c r="AT129" s="179"/>
      <c r="AU129" s="179"/>
      <c r="AV129" s="179"/>
      <c r="AW129" s="179"/>
      <c r="AX129" s="179"/>
      <c r="AY129" s="179"/>
      <c r="AZ129" s="179"/>
      <c r="BA129" s="179"/>
      <c r="BB129" s="92"/>
      <c r="BC129" s="92"/>
      <c r="BD129" s="92"/>
      <c r="BE129" s="92"/>
      <c r="BF129" s="92"/>
      <c r="BG129" s="92"/>
      <c r="BH129" s="92"/>
      <c r="BI129" s="92"/>
      <c r="BJ129" s="92"/>
      <c r="BK129" s="158"/>
      <c r="BL129" s="159"/>
      <c r="BM129" s="159"/>
      <c r="BN129" s="92"/>
      <c r="BO129" s="92"/>
      <c r="BP129" s="92"/>
      <c r="BQ129" s="92"/>
      <c r="BR129" s="162"/>
      <c r="BS129" s="162"/>
      <c r="BT129" s="162"/>
      <c r="BU129" s="162"/>
      <c r="BV129" s="92"/>
      <c r="BW129" s="92"/>
      <c r="BX129" s="162"/>
      <c r="BY129" s="162"/>
      <c r="BZ129" s="162"/>
      <c r="CA129" s="162"/>
      <c r="CB129" s="163"/>
      <c r="CQ129" s="20" t="s">
        <v>335</v>
      </c>
      <c r="CR129" s="3">
        <v>8.66</v>
      </c>
    </row>
    <row r="130" spans="2:96" ht="11.25" customHeight="1" thickBot="1" x14ac:dyDescent="0.25">
      <c r="B130" s="154"/>
      <c r="C130" s="155"/>
      <c r="D130" s="155"/>
      <c r="E130" s="155"/>
      <c r="F130" s="155"/>
      <c r="G130" s="155"/>
      <c r="H130" s="155"/>
      <c r="I130" s="155"/>
      <c r="J130" s="155"/>
      <c r="K130" s="155"/>
      <c r="L130" s="155"/>
      <c r="M130" s="155"/>
      <c r="N130" s="155"/>
      <c r="O130" s="172"/>
      <c r="P130" s="173"/>
      <c r="Q130" s="173"/>
      <c r="R130" s="173"/>
      <c r="S130" s="174"/>
      <c r="T130" s="181" t="s">
        <v>419</v>
      </c>
      <c r="U130" s="182"/>
      <c r="V130" s="28" t="s">
        <v>415</v>
      </c>
      <c r="W130" s="182" t="s">
        <v>419</v>
      </c>
      <c r="X130" s="182"/>
      <c r="Y130" s="28" t="s">
        <v>415</v>
      </c>
      <c r="Z130" s="182" t="s">
        <v>419</v>
      </c>
      <c r="AA130" s="192"/>
      <c r="AB130" s="181" t="s">
        <v>419</v>
      </c>
      <c r="AC130" s="182"/>
      <c r="AD130" s="28" t="s">
        <v>415</v>
      </c>
      <c r="AE130" s="182" t="s">
        <v>419</v>
      </c>
      <c r="AF130" s="192"/>
      <c r="AG130" s="181" t="s">
        <v>419</v>
      </c>
      <c r="AH130" s="182"/>
      <c r="AI130" s="182"/>
      <c r="AJ130" s="182"/>
      <c r="AK130" s="192"/>
      <c r="AL130" s="180"/>
      <c r="AM130" s="180"/>
      <c r="AN130" s="180"/>
      <c r="AO130" s="180"/>
      <c r="AP130" s="180"/>
      <c r="AQ130" s="180"/>
      <c r="AR130" s="180"/>
      <c r="AS130" s="180"/>
      <c r="AT130" s="180"/>
      <c r="AU130" s="180"/>
      <c r="AV130" s="180"/>
      <c r="AW130" s="180"/>
      <c r="AX130" s="180"/>
      <c r="AY130" s="180"/>
      <c r="AZ130" s="180"/>
      <c r="BA130" s="180"/>
      <c r="BB130" s="155"/>
      <c r="BC130" s="155"/>
      <c r="BD130" s="155"/>
      <c r="BE130" s="155"/>
      <c r="BF130" s="155"/>
      <c r="BG130" s="155"/>
      <c r="BH130" s="155"/>
      <c r="BI130" s="155"/>
      <c r="BJ130" s="155"/>
      <c r="BK130" s="160"/>
      <c r="BL130" s="161"/>
      <c r="BM130" s="161"/>
      <c r="BN130" s="155"/>
      <c r="BO130" s="155"/>
      <c r="BP130" s="155"/>
      <c r="BQ130" s="155"/>
      <c r="BR130" s="155"/>
      <c r="BS130" s="155"/>
      <c r="BT130" s="155"/>
      <c r="BU130" s="155"/>
      <c r="BV130" s="155"/>
      <c r="BW130" s="155"/>
      <c r="BX130" s="164"/>
      <c r="BY130" s="164"/>
      <c r="BZ130" s="164"/>
      <c r="CA130" s="164"/>
      <c r="CB130" s="165"/>
      <c r="CD130" s="23"/>
      <c r="CE130" s="23"/>
      <c r="CF130" s="23"/>
      <c r="CG130" s="23"/>
      <c r="CH130" s="23"/>
      <c r="CI130" s="23"/>
      <c r="CQ130" s="20" t="s">
        <v>336</v>
      </c>
      <c r="CR130" s="3">
        <v>10.7</v>
      </c>
    </row>
    <row r="131" spans="2:96" ht="11.25" customHeight="1" thickTop="1" x14ac:dyDescent="0.2">
      <c r="B131" s="71" t="s">
        <v>268</v>
      </c>
      <c r="C131" s="72"/>
      <c r="D131" s="72"/>
      <c r="E131" s="72"/>
      <c r="F131" s="72"/>
      <c r="G131" s="72"/>
      <c r="H131" s="72"/>
      <c r="I131" s="72"/>
      <c r="J131" s="72"/>
      <c r="K131" s="72"/>
      <c r="L131" s="72"/>
      <c r="M131" s="72"/>
      <c r="N131" s="72"/>
      <c r="O131" s="193">
        <v>12</v>
      </c>
      <c r="P131" s="194"/>
      <c r="Q131" s="21" t="s">
        <v>272</v>
      </c>
      <c r="R131" s="21"/>
      <c r="S131" s="21"/>
      <c r="T131" s="27"/>
      <c r="U131" s="27"/>
      <c r="V131" s="27"/>
      <c r="W131" s="27"/>
      <c r="X131" s="27"/>
      <c r="Y131" s="27"/>
      <c r="Z131" s="27"/>
      <c r="AA131" s="27"/>
      <c r="AB131" s="27"/>
      <c r="AC131" s="27"/>
      <c r="AD131" s="27"/>
      <c r="AE131" s="27"/>
      <c r="AF131" s="27"/>
      <c r="AG131" s="27"/>
      <c r="AH131" s="21"/>
      <c r="AI131" s="21"/>
      <c r="AJ131" s="21"/>
      <c r="AK131" s="21"/>
      <c r="AL131" s="21"/>
      <c r="AM131" s="21"/>
      <c r="AN131" s="21"/>
      <c r="AO131" s="21"/>
      <c r="AP131" s="21"/>
      <c r="AQ131" s="21"/>
      <c r="AR131" s="21"/>
      <c r="AS131" s="21"/>
      <c r="AT131" s="21"/>
      <c r="AU131" s="21"/>
      <c r="AV131" s="21"/>
      <c r="AW131" s="21"/>
      <c r="AX131" s="21"/>
      <c r="AY131" s="21"/>
      <c r="AZ131" s="21"/>
      <c r="BA131" s="22"/>
      <c r="BB131" s="195">
        <f>ROUND(PI()*O131^2/4*7.85/1000,3)</f>
        <v>0.88800000000000001</v>
      </c>
      <c r="BC131" s="195"/>
      <c r="BD131" s="195"/>
      <c r="BE131" s="63">
        <f>C51*2</f>
        <v>14</v>
      </c>
      <c r="BF131" s="63"/>
      <c r="BG131" s="63"/>
      <c r="BH131" s="83">
        <f>2*SQRT((E45/2)^2+T26^2)+(AL33/2-2)*W26</f>
        <v>17.485281374238568</v>
      </c>
      <c r="BI131" s="83"/>
      <c r="BJ131" s="83"/>
      <c r="BK131" s="124">
        <f t="shared" ref="BK131:BK144" si="0">+BE131*BH131</f>
        <v>244.79393923933995</v>
      </c>
      <c r="BL131" s="125"/>
      <c r="BM131" s="126"/>
      <c r="BN131" s="83">
        <f t="shared" ref="BN131:BN144" si="1">BB131*(BE131*BH131)</f>
        <v>217.37701804453388</v>
      </c>
      <c r="BO131" s="83"/>
      <c r="BP131" s="83"/>
      <c r="BQ131" s="83"/>
      <c r="BR131" s="84">
        <v>25</v>
      </c>
      <c r="BS131" s="84"/>
      <c r="BT131" s="84"/>
      <c r="BU131" s="84"/>
      <c r="BV131" s="84"/>
      <c r="BW131" s="84"/>
      <c r="BX131" s="65">
        <f t="shared" ref="BX131" si="2">BR131*BN131</f>
        <v>5434.4254511133468</v>
      </c>
      <c r="BY131" s="65"/>
      <c r="BZ131" s="65"/>
      <c r="CA131" s="65"/>
      <c r="CB131" s="66"/>
      <c r="CD131" s="23"/>
      <c r="CE131" s="23"/>
      <c r="CF131" s="23"/>
      <c r="CG131" s="23"/>
      <c r="CH131" s="23"/>
      <c r="CI131" s="23"/>
      <c r="CQ131" s="20" t="s">
        <v>337</v>
      </c>
      <c r="CR131" s="3">
        <v>6.82</v>
      </c>
    </row>
    <row r="132" spans="2:96" ht="11.25" customHeight="1" x14ac:dyDescent="0.2">
      <c r="B132" s="147" t="s">
        <v>14</v>
      </c>
      <c r="C132" s="148"/>
      <c r="D132" s="148"/>
      <c r="E132" s="148"/>
      <c r="F132" s="148"/>
      <c r="G132" s="148"/>
      <c r="H132" s="148"/>
      <c r="I132" s="148"/>
      <c r="J132" s="148"/>
      <c r="K132" s="148"/>
      <c r="L132" s="148"/>
      <c r="M132" s="148"/>
      <c r="N132" s="148"/>
      <c r="O132" s="120" t="s">
        <v>413</v>
      </c>
      <c r="P132" s="73"/>
      <c r="Q132" s="73"/>
      <c r="R132" s="73"/>
      <c r="S132" s="128"/>
      <c r="T132" s="129">
        <v>150</v>
      </c>
      <c r="U132" s="130"/>
      <c r="V132" s="26" t="s">
        <v>415</v>
      </c>
      <c r="W132" s="130">
        <v>150</v>
      </c>
      <c r="X132" s="130"/>
      <c r="Y132" s="26" t="s">
        <v>415</v>
      </c>
      <c r="Z132" s="130">
        <v>10</v>
      </c>
      <c r="AA132" s="131"/>
      <c r="AB132" s="129">
        <v>150</v>
      </c>
      <c r="AC132" s="130"/>
      <c r="AD132" s="26" t="s">
        <v>415</v>
      </c>
      <c r="AE132" s="130">
        <v>10</v>
      </c>
      <c r="AF132" s="131"/>
      <c r="AG132" s="129" t="s">
        <v>395</v>
      </c>
      <c r="AH132" s="130"/>
      <c r="AI132" s="130"/>
      <c r="AJ132" s="130"/>
      <c r="AK132" s="131"/>
      <c r="AL132" s="129" t="s">
        <v>306</v>
      </c>
      <c r="AM132" s="130"/>
      <c r="AN132" s="130"/>
      <c r="AO132" s="130"/>
      <c r="AP132" s="130"/>
      <c r="AQ132" s="131"/>
      <c r="AR132" s="129" t="s">
        <v>246</v>
      </c>
      <c r="AS132" s="130"/>
      <c r="AT132" s="130"/>
      <c r="AU132" s="130"/>
      <c r="AV132" s="131"/>
      <c r="AW132" s="146" t="s">
        <v>160</v>
      </c>
      <c r="AX132" s="146"/>
      <c r="AY132" s="146"/>
      <c r="AZ132" s="146"/>
      <c r="BA132" s="146"/>
      <c r="BB132" s="143" cm="1">
        <f t="array" ref="BB132">IF(O132="C profil",INDEX($CX$4:$CX$28,MATCH(AG132,$CW$4:$CW$28,0),0),IF(O132="kutu profil",(((T132*W132-4*((2*Z132)*(2*Z132)-PI()*(2*Z132)^2/4))-((T132-2*Z132)*(W132-2*Z132)-4*((1*Z132)*(1*Z132)-PI()*(1*Z132)^2/4)))/1000000*7850),IF(O132="boru profil",((PI()*AB132^2/4-PI()*(AB132-2*AE132)^2/4)/1000000*7850),IF(O132="I profil",INDEX($CN$4:$CN$118,MATCH(AL132,$CM$4:$CM$118,0),0),IF(O132="U profil",INDEX($CU$4:$CU$28,MATCH(AR132,$CT$4:$CT$28,0),0),IF(O132="korniyer",INDEX($CR$4:$CR$176,MATCH(AW132,$CQ$4:$CQ$176,0),0),"hatalı"))))))</f>
        <v>4.72</v>
      </c>
      <c r="BC132" s="143"/>
      <c r="BD132" s="143"/>
      <c r="BE132" s="109">
        <f>AL33</f>
        <v>10</v>
      </c>
      <c r="BF132" s="109"/>
      <c r="BG132" s="109"/>
      <c r="BH132" s="149">
        <f>C41</f>
        <v>42</v>
      </c>
      <c r="BI132" s="149"/>
      <c r="BJ132" s="149"/>
      <c r="BK132" s="134">
        <f t="shared" si="0"/>
        <v>420</v>
      </c>
      <c r="BL132" s="135"/>
      <c r="BM132" s="136"/>
      <c r="BN132" s="149">
        <f t="shared" si="1"/>
        <v>1982.3999999999999</v>
      </c>
      <c r="BO132" s="149"/>
      <c r="BP132" s="149"/>
      <c r="BQ132" s="149"/>
      <c r="BR132" s="84">
        <v>28</v>
      </c>
      <c r="BS132" s="84"/>
      <c r="BT132" s="84"/>
      <c r="BU132" s="84"/>
      <c r="BV132" s="84"/>
      <c r="BW132" s="84"/>
      <c r="BX132" s="85">
        <f>BR132*BN132</f>
        <v>55507.199999999997</v>
      </c>
      <c r="BY132" s="85"/>
      <c r="BZ132" s="85"/>
      <c r="CA132" s="85"/>
      <c r="CB132" s="86"/>
      <c r="CQ132" s="20" t="s">
        <v>338</v>
      </c>
      <c r="CR132" s="3">
        <v>8.9600000000000009</v>
      </c>
    </row>
    <row r="133" spans="2:96" ht="11.25" customHeight="1" x14ac:dyDescent="0.2">
      <c r="B133" s="71" t="s">
        <v>12</v>
      </c>
      <c r="C133" s="72"/>
      <c r="D133" s="72"/>
      <c r="E133" s="72"/>
      <c r="F133" s="72"/>
      <c r="G133" s="72"/>
      <c r="H133" s="72"/>
      <c r="I133" s="72"/>
      <c r="J133" s="72"/>
      <c r="K133" s="72"/>
      <c r="L133" s="72"/>
      <c r="M133" s="72"/>
      <c r="N133" s="72"/>
      <c r="O133" s="120" t="s">
        <v>16</v>
      </c>
      <c r="P133" s="73"/>
      <c r="Q133" s="73"/>
      <c r="R133" s="73"/>
      <c r="S133" s="128"/>
      <c r="T133" s="129">
        <v>150</v>
      </c>
      <c r="U133" s="130"/>
      <c r="V133" s="26" t="s">
        <v>415</v>
      </c>
      <c r="W133" s="130">
        <v>150</v>
      </c>
      <c r="X133" s="130"/>
      <c r="Y133" s="26" t="s">
        <v>415</v>
      </c>
      <c r="Z133" s="130">
        <v>10</v>
      </c>
      <c r="AA133" s="131"/>
      <c r="AB133" s="129">
        <v>150</v>
      </c>
      <c r="AC133" s="130"/>
      <c r="AD133" s="26" t="s">
        <v>415</v>
      </c>
      <c r="AE133" s="130">
        <v>10</v>
      </c>
      <c r="AF133" s="131"/>
      <c r="AG133" s="13"/>
      <c r="AH133" s="11"/>
      <c r="AI133" s="11"/>
      <c r="AJ133" s="11"/>
      <c r="AK133" s="12"/>
      <c r="AL133" s="129" t="s">
        <v>281</v>
      </c>
      <c r="AM133" s="130"/>
      <c r="AN133" s="130"/>
      <c r="AO133" s="130"/>
      <c r="AP133" s="130"/>
      <c r="AQ133" s="131"/>
      <c r="AR133" s="129" t="s">
        <v>246</v>
      </c>
      <c r="AS133" s="130"/>
      <c r="AT133" s="130"/>
      <c r="AU133" s="130"/>
      <c r="AV133" s="131"/>
      <c r="AW133" s="146" t="s">
        <v>345</v>
      </c>
      <c r="AX133" s="146"/>
      <c r="AY133" s="146"/>
      <c r="AZ133" s="146"/>
      <c r="BA133" s="146"/>
      <c r="BB133" s="143" cm="1">
        <f t="array" ref="BB133">IF(O133="kutu profil",(((T133*W133-4*((2*Z133)*(2*Z133)-PI()*(2*Z133)^2/4))-((T133-2*Z133)*(W133-2*Z133)-4*((1*Z133)*(1*Z133)-PI()*(1*Z133)^2/4)))/1000000*7850),IF(O133="boru profil",((PI()*AB133^2/4-PI()*(AB133-2*AE133)^2/4)/1000000*7850),IF(O133="I profil",INDEX($CN$4:$CN$118,MATCH(AL133,$CM$4:$CM$118,0),0),IF(O133="U profil",INDEX($CU$4:$CU$28,MATCH(AR133,$CT$4:$CT$28,0),0),IF(O133="korniyer",INDEX($CR$4:$CR$176,MATCH(AW133,$CQ$4:$CQ$176,0),0),"hatalı")))))</f>
        <v>122</v>
      </c>
      <c r="BC133" s="143"/>
      <c r="BD133" s="143"/>
      <c r="BE133" s="63">
        <f>(C51+1)*2</f>
        <v>16</v>
      </c>
      <c r="BF133" s="63"/>
      <c r="BG133" s="63"/>
      <c r="BH133" s="83">
        <f>+N10</f>
        <v>12.059850745345068</v>
      </c>
      <c r="BI133" s="83"/>
      <c r="BJ133" s="83"/>
      <c r="BK133" s="134">
        <f t="shared" si="0"/>
        <v>192.95761192552109</v>
      </c>
      <c r="BL133" s="135"/>
      <c r="BM133" s="136"/>
      <c r="BN133" s="83">
        <f t="shared" si="1"/>
        <v>23540.828654913574</v>
      </c>
      <c r="BO133" s="83"/>
      <c r="BP133" s="83"/>
      <c r="BQ133" s="83"/>
      <c r="BR133" s="84">
        <v>28</v>
      </c>
      <c r="BS133" s="84"/>
      <c r="BT133" s="84"/>
      <c r="BU133" s="84"/>
      <c r="BV133" s="84"/>
      <c r="BW133" s="84"/>
      <c r="BX133" s="85">
        <f t="shared" ref="BX133:BX151" si="3">BR133*BN133</f>
        <v>659143.20233758003</v>
      </c>
      <c r="BY133" s="85"/>
      <c r="BZ133" s="85"/>
      <c r="CA133" s="85"/>
      <c r="CB133" s="86"/>
      <c r="CQ133" s="20" t="s">
        <v>339</v>
      </c>
      <c r="CR133" s="3">
        <v>8.74</v>
      </c>
    </row>
    <row r="134" spans="2:96" ht="11.25" customHeight="1" x14ac:dyDescent="0.2">
      <c r="B134" s="71" t="s">
        <v>13</v>
      </c>
      <c r="C134" s="72"/>
      <c r="D134" s="72"/>
      <c r="E134" s="72"/>
      <c r="F134" s="72"/>
      <c r="G134" s="72"/>
      <c r="H134" s="72"/>
      <c r="I134" s="72"/>
      <c r="J134" s="72"/>
      <c r="K134" s="72"/>
      <c r="L134" s="72"/>
      <c r="M134" s="72"/>
      <c r="N134" s="72"/>
      <c r="O134" s="120" t="s">
        <v>16</v>
      </c>
      <c r="P134" s="73"/>
      <c r="Q134" s="73"/>
      <c r="R134" s="73"/>
      <c r="S134" s="128"/>
      <c r="T134" s="129">
        <v>150</v>
      </c>
      <c r="U134" s="130"/>
      <c r="V134" s="26" t="s">
        <v>415</v>
      </c>
      <c r="W134" s="130">
        <v>150</v>
      </c>
      <c r="X134" s="130"/>
      <c r="Y134" s="26" t="s">
        <v>415</v>
      </c>
      <c r="Z134" s="130">
        <v>10</v>
      </c>
      <c r="AA134" s="131"/>
      <c r="AB134" s="129">
        <v>150</v>
      </c>
      <c r="AC134" s="130"/>
      <c r="AD134" s="26" t="s">
        <v>415</v>
      </c>
      <c r="AE134" s="130">
        <v>10</v>
      </c>
      <c r="AF134" s="131"/>
      <c r="AG134" s="13"/>
      <c r="AH134" s="11"/>
      <c r="AI134" s="11"/>
      <c r="AJ134" s="11"/>
      <c r="AK134" s="12"/>
      <c r="AL134" s="129" t="s">
        <v>281</v>
      </c>
      <c r="AM134" s="130"/>
      <c r="AN134" s="130"/>
      <c r="AO134" s="130"/>
      <c r="AP134" s="130"/>
      <c r="AQ134" s="131"/>
      <c r="AR134" s="129" t="s">
        <v>246</v>
      </c>
      <c r="AS134" s="130"/>
      <c r="AT134" s="130"/>
      <c r="AU134" s="130"/>
      <c r="AV134" s="131"/>
      <c r="AW134" s="146" t="s">
        <v>345</v>
      </c>
      <c r="AX134" s="146"/>
      <c r="AY134" s="146"/>
      <c r="AZ134" s="146"/>
      <c r="BA134" s="146"/>
      <c r="BB134" s="143" cm="1">
        <f t="array" ref="BB134">IF(O134="kutu profil",(((T134*W134-4*((2*Z134)*(2*Z134)-PI()*(2*Z134)^2/4))-((T134-2*Z134)*(W134-2*Z134)-4*((1*Z134)*(1*Z134)-PI()*(1*Z134)^2/4)))/1000000*7850),IF(O134="boru profil",((PI()*AB134^2/4-PI()*(AB134-2*AE134)^2/4)/1000000*7850),IF(O134="I profil",INDEX($CN$4:$CN$118,MATCH(AL134,$CM$4:$CM$118,0),0),IF(O134="U profil",INDEX($CU$4:$CU$28,MATCH(AR134,$CT$4:$CT$28,0),0),IF(O134="korniyer",INDEX($CR$4:$CR$176,MATCH(AW134,$CQ$4:$CQ$176,0),0),"hatalı")))))</f>
        <v>122</v>
      </c>
      <c r="BC134" s="143"/>
      <c r="BD134" s="143"/>
      <c r="BE134" s="63">
        <f>(C51+1)*2</f>
        <v>16</v>
      </c>
      <c r="BF134" s="63"/>
      <c r="BG134" s="63"/>
      <c r="BH134" s="83">
        <f>+E13</f>
        <v>8</v>
      </c>
      <c r="BI134" s="83"/>
      <c r="BJ134" s="83"/>
      <c r="BK134" s="134">
        <f t="shared" si="0"/>
        <v>128</v>
      </c>
      <c r="BL134" s="135"/>
      <c r="BM134" s="136"/>
      <c r="BN134" s="83">
        <f t="shared" si="1"/>
        <v>15616</v>
      </c>
      <c r="BO134" s="83"/>
      <c r="BP134" s="83"/>
      <c r="BQ134" s="83"/>
      <c r="BR134" s="84">
        <v>28</v>
      </c>
      <c r="BS134" s="84"/>
      <c r="BT134" s="84"/>
      <c r="BU134" s="84"/>
      <c r="BV134" s="84"/>
      <c r="BW134" s="84"/>
      <c r="BX134" s="85">
        <f t="shared" si="3"/>
        <v>437248</v>
      </c>
      <c r="BY134" s="85"/>
      <c r="BZ134" s="85"/>
      <c r="CA134" s="85"/>
      <c r="CB134" s="86"/>
      <c r="CQ134" s="20" t="s">
        <v>340</v>
      </c>
      <c r="CR134" s="3">
        <v>6.85</v>
      </c>
    </row>
    <row r="135" spans="2:96" ht="11.25" customHeight="1" x14ac:dyDescent="0.2">
      <c r="B135" s="71" t="s">
        <v>466</v>
      </c>
      <c r="C135" s="72"/>
      <c r="D135" s="72"/>
      <c r="E135" s="72"/>
      <c r="F135" s="72"/>
      <c r="G135" s="72"/>
      <c r="H135" s="72"/>
      <c r="I135" s="72"/>
      <c r="J135" s="72"/>
      <c r="K135" s="72"/>
      <c r="L135" s="72"/>
      <c r="M135" s="72"/>
      <c r="N135" s="72"/>
      <c r="O135" s="120" t="s">
        <v>416</v>
      </c>
      <c r="P135" s="73"/>
      <c r="Q135" s="73"/>
      <c r="R135" s="73"/>
      <c r="S135" s="128"/>
      <c r="T135" s="129">
        <v>80</v>
      </c>
      <c r="U135" s="130"/>
      <c r="V135" s="26" t="s">
        <v>415</v>
      </c>
      <c r="W135" s="130">
        <v>80</v>
      </c>
      <c r="X135" s="130"/>
      <c r="Y135" s="26" t="s">
        <v>415</v>
      </c>
      <c r="Z135" s="130">
        <v>4</v>
      </c>
      <c r="AA135" s="131"/>
      <c r="AB135" s="129">
        <v>150</v>
      </c>
      <c r="AC135" s="130"/>
      <c r="AD135" s="26" t="s">
        <v>415</v>
      </c>
      <c r="AE135" s="130">
        <v>10</v>
      </c>
      <c r="AF135" s="131"/>
      <c r="AG135" s="13"/>
      <c r="AH135" s="11"/>
      <c r="AI135" s="11"/>
      <c r="AJ135" s="11"/>
      <c r="AK135" s="12"/>
      <c r="AL135" s="129" t="s">
        <v>281</v>
      </c>
      <c r="AM135" s="130"/>
      <c r="AN135" s="130"/>
      <c r="AO135" s="130"/>
      <c r="AP135" s="130"/>
      <c r="AQ135" s="131"/>
      <c r="AR135" s="129" t="s">
        <v>246</v>
      </c>
      <c r="AS135" s="130"/>
      <c r="AT135" s="130"/>
      <c r="AU135" s="130"/>
      <c r="AV135" s="131"/>
      <c r="AW135" s="146" t="s">
        <v>345</v>
      </c>
      <c r="AX135" s="146"/>
      <c r="AY135" s="146"/>
      <c r="AZ135" s="146"/>
      <c r="BA135" s="146"/>
      <c r="BB135" s="143" cm="1">
        <f t="array" ref="BB135">IF(O135="kutu profil",(((T135*W135-4*((2*Z135)*(2*Z135)-PI()*(2*Z135)^2/4))-((T135-2*Z135)*(W135-2*Z135)-4*((1*Z135)*(1*Z135)-PI()*(1*Z135)^2/4)))/1000000*7850),IF(O135="boru profil",((PI()*AB135^2/4-PI()*(AB135-2*AE135)^2/4)/1000000*7850),IF(O135="I profil",INDEX($CN$4:$CN$118,MATCH(AL135,$CM$4:$CM$118,0),0),IF(O135="U profil",INDEX($CU$4:$CU$28,MATCH(AR135,$CT$4:$CT$28,0),0),IF(O135="korniyer",INDEX($CR$4:$CR$176,MATCH(AW135,$CQ$4:$CQ$176,0),0),"hatalı")))))</f>
        <v>9.2221521118726368</v>
      </c>
      <c r="BC135" s="143"/>
      <c r="BD135" s="143"/>
      <c r="BE135" s="63" cm="1">
        <f t="array" ref="BE135">INDEX(BP69:BP79,MATCH(C51,BO69:BO79,0),0)*2*4+INDEX(BQ69:BQ79,MATCH(C51,BO69:BO79,0),0)*2*2</f>
        <v>40</v>
      </c>
      <c r="BF135" s="63"/>
      <c r="BG135" s="63"/>
      <c r="BH135" s="83">
        <f>SQRT(E30^2+(2*H26)^2)</f>
        <v>8.4852813742385695</v>
      </c>
      <c r="BI135" s="83"/>
      <c r="BJ135" s="83"/>
      <c r="BK135" s="134">
        <f t="shared" si="0"/>
        <v>339.41125496954277</v>
      </c>
      <c r="BL135" s="135"/>
      <c r="BM135" s="136"/>
      <c r="BN135" s="83">
        <f t="shared" si="1"/>
        <v>3130.1022218107109</v>
      </c>
      <c r="BO135" s="83"/>
      <c r="BP135" s="83"/>
      <c r="BQ135" s="83"/>
      <c r="BR135" s="84">
        <v>28</v>
      </c>
      <c r="BS135" s="84"/>
      <c r="BT135" s="84"/>
      <c r="BU135" s="84"/>
      <c r="BV135" s="84"/>
      <c r="BW135" s="84"/>
      <c r="BX135" s="85">
        <f t="shared" si="3"/>
        <v>87642.86221069991</v>
      </c>
      <c r="BY135" s="85"/>
      <c r="BZ135" s="85"/>
      <c r="CA135" s="85"/>
      <c r="CB135" s="86"/>
      <c r="CQ135" s="20" t="s">
        <v>341</v>
      </c>
      <c r="CR135" s="3">
        <v>8.99</v>
      </c>
    </row>
    <row r="136" spans="2:96" ht="11.25" customHeight="1" x14ac:dyDescent="0.2">
      <c r="B136" s="71" t="s">
        <v>289</v>
      </c>
      <c r="C136" s="72"/>
      <c r="D136" s="72"/>
      <c r="E136" s="72"/>
      <c r="F136" s="72"/>
      <c r="G136" s="72"/>
      <c r="H136" s="72"/>
      <c r="I136" s="72"/>
      <c r="J136" s="72"/>
      <c r="K136" s="72"/>
      <c r="L136" s="72"/>
      <c r="M136" s="72"/>
      <c r="N136" s="72"/>
      <c r="O136" s="120" t="s">
        <v>416</v>
      </c>
      <c r="P136" s="73"/>
      <c r="Q136" s="73"/>
      <c r="R136" s="73"/>
      <c r="S136" s="128"/>
      <c r="T136" s="129">
        <v>150</v>
      </c>
      <c r="U136" s="130"/>
      <c r="V136" s="26" t="s">
        <v>415</v>
      </c>
      <c r="W136" s="130">
        <v>150</v>
      </c>
      <c r="X136" s="130"/>
      <c r="Y136" s="26" t="s">
        <v>415</v>
      </c>
      <c r="Z136" s="130">
        <v>5</v>
      </c>
      <c r="AA136" s="131"/>
      <c r="AB136" s="129">
        <v>150</v>
      </c>
      <c r="AC136" s="130"/>
      <c r="AD136" s="26" t="s">
        <v>415</v>
      </c>
      <c r="AE136" s="130">
        <v>10</v>
      </c>
      <c r="AF136" s="131"/>
      <c r="AG136" s="13"/>
      <c r="AH136" s="11"/>
      <c r="AI136" s="11"/>
      <c r="AJ136" s="11"/>
      <c r="AK136" s="12"/>
      <c r="AL136" s="129" t="s">
        <v>281</v>
      </c>
      <c r="AM136" s="130"/>
      <c r="AN136" s="130"/>
      <c r="AO136" s="130"/>
      <c r="AP136" s="130"/>
      <c r="AQ136" s="131"/>
      <c r="AR136" s="129" t="s">
        <v>247</v>
      </c>
      <c r="AS136" s="130"/>
      <c r="AT136" s="130"/>
      <c r="AU136" s="130"/>
      <c r="AV136" s="131"/>
      <c r="AW136" s="146" t="s">
        <v>345</v>
      </c>
      <c r="AX136" s="146"/>
      <c r="AY136" s="146"/>
      <c r="AZ136" s="146"/>
      <c r="BA136" s="146"/>
      <c r="BB136" s="143" cm="1">
        <f t="array" ref="BB136">IF(O136="kutu profil",(((T136*W136-4*((2*Z136)*(2*Z136)-PI()*(2*Z136)^2/4))-((T136-2*Z136)*(W136-2*Z136)-4*((1*Z136)*(1*Z136)-PI()*(1*Z136)^2/4)))/1000000*7850),IF(O136="boru profil",((PI()*AB136^2/4-PI()*(AB136-2*AE136)^2/4)/1000000*7850),IF(O136="I profil",INDEX($CN$4:$CN$118,MATCH(AL136,$CM$4:$CM$118,0),0),IF(O136="U profil",INDEX($CU$4:$CU$28,MATCH(AR136,$CT$4:$CT$28,0),0),IF(O136="korniyer",INDEX($CR$4:$CR$176,MATCH(AW136,$CQ$4:$CQ$176,0),0),"hatalı")))))</f>
        <v>22.259612674800998</v>
      </c>
      <c r="BC136" s="143"/>
      <c r="BD136" s="143"/>
      <c r="BE136" s="63">
        <v>2</v>
      </c>
      <c r="BF136" s="63"/>
      <c r="BG136" s="63"/>
      <c r="BH136" s="83">
        <f>+C41</f>
        <v>42</v>
      </c>
      <c r="BI136" s="83"/>
      <c r="BJ136" s="83"/>
      <c r="BK136" s="134">
        <f t="shared" si="0"/>
        <v>84</v>
      </c>
      <c r="BL136" s="135"/>
      <c r="BM136" s="136"/>
      <c r="BN136" s="83">
        <f t="shared" si="1"/>
        <v>1869.8074646832838</v>
      </c>
      <c r="BO136" s="83"/>
      <c r="BP136" s="83"/>
      <c r="BQ136" s="83"/>
      <c r="BR136" s="84">
        <v>28</v>
      </c>
      <c r="BS136" s="84"/>
      <c r="BT136" s="84"/>
      <c r="BU136" s="84"/>
      <c r="BV136" s="84"/>
      <c r="BW136" s="84"/>
      <c r="BX136" s="85">
        <f t="shared" si="3"/>
        <v>52354.60901113195</v>
      </c>
      <c r="BY136" s="85"/>
      <c r="BZ136" s="85"/>
      <c r="CA136" s="85"/>
      <c r="CB136" s="86"/>
      <c r="CQ136" s="20" t="s">
        <v>342</v>
      </c>
      <c r="CR136" s="3">
        <v>11.1</v>
      </c>
    </row>
    <row r="137" spans="2:96" ht="11.25" customHeight="1" x14ac:dyDescent="0.2">
      <c r="B137" s="71" t="s">
        <v>288</v>
      </c>
      <c r="C137" s="72"/>
      <c r="D137" s="72"/>
      <c r="E137" s="72"/>
      <c r="F137" s="72"/>
      <c r="G137" s="72"/>
      <c r="H137" s="72"/>
      <c r="I137" s="72"/>
      <c r="J137" s="72"/>
      <c r="K137" s="72"/>
      <c r="L137" s="72"/>
      <c r="M137" s="72"/>
      <c r="N137" s="72"/>
      <c r="O137" s="120" t="s">
        <v>416</v>
      </c>
      <c r="P137" s="73"/>
      <c r="Q137" s="73"/>
      <c r="R137" s="73"/>
      <c r="S137" s="128"/>
      <c r="T137" s="129">
        <v>150</v>
      </c>
      <c r="U137" s="130"/>
      <c r="V137" s="26" t="s">
        <v>415</v>
      </c>
      <c r="W137" s="130">
        <v>150</v>
      </c>
      <c r="X137" s="130"/>
      <c r="Y137" s="26" t="s">
        <v>415</v>
      </c>
      <c r="Z137" s="130">
        <v>5</v>
      </c>
      <c r="AA137" s="131"/>
      <c r="AB137" s="129">
        <v>150</v>
      </c>
      <c r="AC137" s="130"/>
      <c r="AD137" s="26" t="s">
        <v>415</v>
      </c>
      <c r="AE137" s="130">
        <v>10</v>
      </c>
      <c r="AF137" s="131"/>
      <c r="AG137" s="13"/>
      <c r="AH137" s="11"/>
      <c r="AI137" s="11"/>
      <c r="AJ137" s="11"/>
      <c r="AK137" s="12"/>
      <c r="AL137" s="129" t="s">
        <v>281</v>
      </c>
      <c r="AM137" s="130"/>
      <c r="AN137" s="130"/>
      <c r="AO137" s="130"/>
      <c r="AP137" s="130"/>
      <c r="AQ137" s="131"/>
      <c r="AR137" s="129" t="s">
        <v>246</v>
      </c>
      <c r="AS137" s="130"/>
      <c r="AT137" s="130"/>
      <c r="AU137" s="130"/>
      <c r="AV137" s="131"/>
      <c r="AW137" s="146" t="s">
        <v>345</v>
      </c>
      <c r="AX137" s="146"/>
      <c r="AY137" s="146"/>
      <c r="AZ137" s="146"/>
      <c r="BA137" s="146"/>
      <c r="BB137" s="143" cm="1">
        <f t="array" ref="BB137">IF(O137="kutu profil",(((T137*W137-4*((2*Z137)*(2*Z137)-PI()*(2*Z137)^2/4))-((T137-2*Z137)*(W137-2*Z137)-4*((1*Z137)*(1*Z137)-PI()*(1*Z137)^2/4)))/1000000*7850),IF(O137="boru profil",((PI()*AB137^2/4-PI()*(AB137-2*AE137)^2/4)/1000000*7850),IF(O137="I profil",INDEX($CN$4:$CN$118,MATCH(AL137,$CM$4:$CM$118,0),0),IF(O137="U profil",INDEX($CU$4:$CU$28,MATCH(AR137,$CT$4:$CT$28,0),0),IF(O137="korniyer",INDEX($CR$4:$CR$176,MATCH(AW137,$CQ$4:$CQ$176,0),0),"hatalı")))))</f>
        <v>22.259612674800998</v>
      </c>
      <c r="BC137" s="143"/>
      <c r="BD137" s="143"/>
      <c r="BE137" s="63" cm="1">
        <f t="array" ref="BE137">INDEX(BQ69:BQ79,MATCH(C51,BO69:BO79,0),0)*2*2</f>
        <v>16</v>
      </c>
      <c r="BF137" s="63"/>
      <c r="BG137" s="63"/>
      <c r="BH137" s="83">
        <f>+AQ19</f>
        <v>6</v>
      </c>
      <c r="BI137" s="83"/>
      <c r="BJ137" s="83"/>
      <c r="BK137" s="134">
        <f t="shared" si="0"/>
        <v>96</v>
      </c>
      <c r="BL137" s="135"/>
      <c r="BM137" s="136"/>
      <c r="BN137" s="83">
        <f t="shared" si="1"/>
        <v>2136.922816780896</v>
      </c>
      <c r="BO137" s="83"/>
      <c r="BP137" s="83"/>
      <c r="BQ137" s="83"/>
      <c r="BR137" s="84">
        <v>28</v>
      </c>
      <c r="BS137" s="84"/>
      <c r="BT137" s="84"/>
      <c r="BU137" s="84"/>
      <c r="BV137" s="84"/>
      <c r="BW137" s="84"/>
      <c r="BX137" s="85">
        <f t="shared" si="3"/>
        <v>59833.838869865089</v>
      </c>
      <c r="BY137" s="85"/>
      <c r="BZ137" s="85"/>
      <c r="CA137" s="85"/>
      <c r="CB137" s="86"/>
      <c r="CQ137" s="20" t="s">
        <v>343</v>
      </c>
      <c r="CR137" s="3">
        <v>8.77</v>
      </c>
    </row>
    <row r="138" spans="2:96" ht="11.25" customHeight="1" x14ac:dyDescent="0.2">
      <c r="B138" s="71" t="s">
        <v>447</v>
      </c>
      <c r="C138" s="72"/>
      <c r="D138" s="72"/>
      <c r="E138" s="72"/>
      <c r="F138" s="72"/>
      <c r="G138" s="72"/>
      <c r="H138" s="72"/>
      <c r="I138" s="72"/>
      <c r="J138" s="72"/>
      <c r="K138" s="72"/>
      <c r="L138" s="72"/>
      <c r="M138" s="72"/>
      <c r="N138" s="72"/>
      <c r="O138" s="120" t="s">
        <v>414</v>
      </c>
      <c r="P138" s="73"/>
      <c r="Q138" s="73"/>
      <c r="R138" s="73"/>
      <c r="S138" s="128"/>
      <c r="T138" s="129">
        <v>150</v>
      </c>
      <c r="U138" s="130"/>
      <c r="V138" s="26" t="s">
        <v>415</v>
      </c>
      <c r="W138" s="130">
        <v>150</v>
      </c>
      <c r="X138" s="130"/>
      <c r="Y138" s="26" t="s">
        <v>415</v>
      </c>
      <c r="Z138" s="130">
        <v>8</v>
      </c>
      <c r="AA138" s="131"/>
      <c r="AB138" s="129">
        <v>101.6</v>
      </c>
      <c r="AC138" s="130"/>
      <c r="AD138" s="26" t="s">
        <v>415</v>
      </c>
      <c r="AE138" s="130">
        <v>4.6500000000000004</v>
      </c>
      <c r="AF138" s="131"/>
      <c r="AG138" s="13"/>
      <c r="AH138" s="11"/>
      <c r="AI138" s="11"/>
      <c r="AJ138" s="11"/>
      <c r="AK138" s="12"/>
      <c r="AL138" s="129" t="s">
        <v>281</v>
      </c>
      <c r="AM138" s="130"/>
      <c r="AN138" s="130"/>
      <c r="AO138" s="130"/>
      <c r="AP138" s="130"/>
      <c r="AQ138" s="131"/>
      <c r="AR138" s="129" t="s">
        <v>246</v>
      </c>
      <c r="AS138" s="130"/>
      <c r="AT138" s="130"/>
      <c r="AU138" s="130"/>
      <c r="AV138" s="131"/>
      <c r="AW138" s="146" t="s">
        <v>188</v>
      </c>
      <c r="AX138" s="146"/>
      <c r="AY138" s="146"/>
      <c r="AZ138" s="146"/>
      <c r="BA138" s="146"/>
      <c r="BB138" s="143" cm="1">
        <f t="array" ref="BB138">IF(O138="kutu profil",(((T138*W138-4*((2*Z138)*(2*Z138)-PI()*(2*Z138)^2/4))-((T138-2*Z138)*(W138-2*Z138)-4*((1*Z138)*(1*Z138)-PI()*(1*Z138)^2/4)))/1000000*7850),IF(O138="boru profil",((PI()*AB138^2/4-PI()*(AB138-2*AE138)^2/4)/1000000*7850),IF(O138="I profil",INDEX($CN$4:$CN$118,MATCH(AL138,$CM$4:$CM$118,0),0),IF(O138="U profil",INDEX($CU$4:$CU$28,MATCH(AR138,$CT$4:$CT$28,0),0),IF(O138="korniyer",INDEX($CR$4:$CR$176,MATCH(AW138,$CQ$4:$CQ$176,0),0),"hatalı")))))</f>
        <v>11.117836826961277</v>
      </c>
      <c r="BC138" s="143"/>
      <c r="BD138" s="143"/>
      <c r="BE138" s="63" cm="1">
        <f t="array" ref="BE138">INDEX(BP69:BP79,MATCH(C51,BO69:BO79,0),0)*2*3*2</f>
        <v>36</v>
      </c>
      <c r="BF138" s="63"/>
      <c r="BG138" s="63"/>
      <c r="BH138" s="83">
        <f>SQRT(AM19^2+AH16^2)</f>
        <v>6.5659052011974035</v>
      </c>
      <c r="BI138" s="83"/>
      <c r="BJ138" s="83"/>
      <c r="BK138" s="134">
        <f t="shared" si="0"/>
        <v>236.37258724310652</v>
      </c>
      <c r="BL138" s="135"/>
      <c r="BM138" s="136"/>
      <c r="BN138" s="83">
        <f t="shared" si="1"/>
        <v>2627.9518553355269</v>
      </c>
      <c r="BO138" s="83"/>
      <c r="BP138" s="83"/>
      <c r="BQ138" s="83"/>
      <c r="BR138" s="84">
        <v>28</v>
      </c>
      <c r="BS138" s="84"/>
      <c r="BT138" s="84"/>
      <c r="BU138" s="84"/>
      <c r="BV138" s="84"/>
      <c r="BW138" s="84"/>
      <c r="BX138" s="85">
        <f t="shared" si="3"/>
        <v>73582.651949394756</v>
      </c>
      <c r="BY138" s="85"/>
      <c r="BZ138" s="85"/>
      <c r="CA138" s="85"/>
      <c r="CB138" s="86"/>
      <c r="CQ138" s="20" t="s">
        <v>344</v>
      </c>
      <c r="CR138" s="3">
        <v>11.1</v>
      </c>
    </row>
    <row r="139" spans="2:96" ht="11.25" customHeight="1" x14ac:dyDescent="0.2">
      <c r="B139" s="71" t="s">
        <v>448</v>
      </c>
      <c r="C139" s="72"/>
      <c r="D139" s="72"/>
      <c r="E139" s="72"/>
      <c r="F139" s="72"/>
      <c r="G139" s="72"/>
      <c r="H139" s="72"/>
      <c r="I139" s="72"/>
      <c r="J139" s="72"/>
      <c r="K139" s="72"/>
      <c r="L139" s="72"/>
      <c r="M139" s="72"/>
      <c r="N139" s="72"/>
      <c r="O139" s="120" t="s">
        <v>416</v>
      </c>
      <c r="P139" s="73"/>
      <c r="Q139" s="73"/>
      <c r="R139" s="73"/>
      <c r="S139" s="128"/>
      <c r="T139" s="129">
        <v>140</v>
      </c>
      <c r="U139" s="130"/>
      <c r="V139" s="26" t="s">
        <v>415</v>
      </c>
      <c r="W139" s="130">
        <v>140</v>
      </c>
      <c r="X139" s="130"/>
      <c r="Y139" s="26" t="s">
        <v>415</v>
      </c>
      <c r="Z139" s="130">
        <v>8</v>
      </c>
      <c r="AA139" s="131"/>
      <c r="AB139" s="129">
        <v>150</v>
      </c>
      <c r="AC139" s="130"/>
      <c r="AD139" s="26" t="s">
        <v>415</v>
      </c>
      <c r="AE139" s="130">
        <v>10</v>
      </c>
      <c r="AF139" s="131"/>
      <c r="AG139" s="13"/>
      <c r="AH139" s="11"/>
      <c r="AI139" s="11"/>
      <c r="AJ139" s="11"/>
      <c r="AK139" s="12"/>
      <c r="AL139" s="129" t="s">
        <v>281</v>
      </c>
      <c r="AM139" s="130"/>
      <c r="AN139" s="130"/>
      <c r="AO139" s="130"/>
      <c r="AP139" s="130"/>
      <c r="AQ139" s="131"/>
      <c r="AR139" s="129" t="s">
        <v>246</v>
      </c>
      <c r="AS139" s="130"/>
      <c r="AT139" s="130"/>
      <c r="AU139" s="130"/>
      <c r="AV139" s="131"/>
      <c r="AW139" s="146" t="s">
        <v>345</v>
      </c>
      <c r="AX139" s="146"/>
      <c r="AY139" s="146"/>
      <c r="AZ139" s="146"/>
      <c r="BA139" s="146"/>
      <c r="BB139" s="143" cm="1">
        <f t="array" ref="BB139">IF(O139="kutu profil",(((T139*W139-4*((2*Z139)*(2*Z139)-PI()*(2*Z139)^2/4))-((T139-2*Z139)*(W139-2*Z139)-4*((1*Z139)*(1*Z139)-PI()*(1*Z139)^2/4)))/1000000*7850),IF(O139="boru profil",((PI()*AB139^2/4-PI()*(AB139-2*AE139)^2/4)/1000000*7850),IF(O139="I profil",INDEX($CN$4:$CN$118,MATCH(AL139,$CM$4:$CM$118,0),0),IF(O139="U profil",INDEX($CU$4:$CU$28,MATCH(AR139,$CT$4:$CT$28,0),0),IF(O139="korniyer",INDEX($CR$4:$CR$176,MATCH(AW139,$CQ$4:$CQ$176,0),0),"hatalı")))))</f>
        <v>31.86460844749055</v>
      </c>
      <c r="BC139" s="143"/>
      <c r="BD139" s="143"/>
      <c r="BE139" s="63" cm="1">
        <f t="array" ref="BE139">INDEX(BP69:BP79,MATCH(C51,BO69:BO79,0),0)*2*2</f>
        <v>12</v>
      </c>
      <c r="BF139" s="63"/>
      <c r="BG139" s="63"/>
      <c r="BH139" s="83">
        <f>+AM19</f>
        <v>6</v>
      </c>
      <c r="BI139" s="83"/>
      <c r="BJ139" s="83"/>
      <c r="BK139" s="134">
        <f t="shared" si="0"/>
        <v>72</v>
      </c>
      <c r="BL139" s="135"/>
      <c r="BM139" s="136"/>
      <c r="BN139" s="83">
        <f t="shared" si="1"/>
        <v>2294.2518082193196</v>
      </c>
      <c r="BO139" s="83"/>
      <c r="BP139" s="83"/>
      <c r="BQ139" s="83"/>
      <c r="BR139" s="84">
        <v>28</v>
      </c>
      <c r="BS139" s="84"/>
      <c r="BT139" s="84"/>
      <c r="BU139" s="84"/>
      <c r="BV139" s="84"/>
      <c r="BW139" s="84"/>
      <c r="BX139" s="85">
        <f t="shared" si="3"/>
        <v>64239.050630140948</v>
      </c>
      <c r="BY139" s="85"/>
      <c r="BZ139" s="85"/>
      <c r="CA139" s="85"/>
      <c r="CB139" s="86"/>
      <c r="CQ139" s="20" t="s">
        <v>345</v>
      </c>
      <c r="CR139" s="3">
        <v>13.4</v>
      </c>
    </row>
    <row r="140" spans="2:96" ht="11.25" customHeight="1" x14ac:dyDescent="0.2">
      <c r="B140" s="71" t="s">
        <v>284</v>
      </c>
      <c r="C140" s="72"/>
      <c r="D140" s="72"/>
      <c r="E140" s="72"/>
      <c r="F140" s="72"/>
      <c r="G140" s="72"/>
      <c r="H140" s="72"/>
      <c r="I140" s="72"/>
      <c r="J140" s="72"/>
      <c r="K140" s="72"/>
      <c r="L140" s="72"/>
      <c r="M140" s="72"/>
      <c r="N140" s="72"/>
      <c r="O140" s="120" t="s">
        <v>16</v>
      </c>
      <c r="P140" s="73"/>
      <c r="Q140" s="73"/>
      <c r="R140" s="73"/>
      <c r="S140" s="128"/>
      <c r="T140" s="129">
        <v>150</v>
      </c>
      <c r="U140" s="130"/>
      <c r="V140" s="26" t="s">
        <v>415</v>
      </c>
      <c r="W140" s="130">
        <v>150</v>
      </c>
      <c r="X140" s="130"/>
      <c r="Y140" s="26" t="s">
        <v>415</v>
      </c>
      <c r="Z140" s="130">
        <v>10</v>
      </c>
      <c r="AA140" s="131"/>
      <c r="AB140" s="129">
        <v>150</v>
      </c>
      <c r="AC140" s="130"/>
      <c r="AD140" s="26" t="s">
        <v>415</v>
      </c>
      <c r="AE140" s="130">
        <v>10</v>
      </c>
      <c r="AF140" s="131"/>
      <c r="AG140" s="13"/>
      <c r="AH140" s="11"/>
      <c r="AI140" s="11"/>
      <c r="AJ140" s="11"/>
      <c r="AK140" s="12"/>
      <c r="AL140" s="129" t="s">
        <v>446</v>
      </c>
      <c r="AM140" s="130"/>
      <c r="AN140" s="130"/>
      <c r="AO140" s="130"/>
      <c r="AP140" s="130"/>
      <c r="AQ140" s="131"/>
      <c r="AR140" s="129" t="s">
        <v>246</v>
      </c>
      <c r="AS140" s="130"/>
      <c r="AT140" s="130"/>
      <c r="AU140" s="130"/>
      <c r="AV140" s="131"/>
      <c r="AW140" s="146" t="s">
        <v>345</v>
      </c>
      <c r="AX140" s="146"/>
      <c r="AY140" s="146"/>
      <c r="AZ140" s="146"/>
      <c r="BA140" s="146"/>
      <c r="BB140" s="143" cm="1">
        <f t="array" ref="BB140">IF(O140="kutu profil",(((T140*W140-4*((2*Z140)*(2*Z140)-PI()*(2*Z140)^2/4))-((T140-2*Z140)*(W140-2*Z140)-4*((1*Z140)*(1*Z140)-PI()*(1*Z140)^2/4)))/1000000*7850),IF(O140="boru profil",((PI()*AB140^2/4-PI()*(AB140-2*AE140)^2/4)/1000000*7850),IF(O140="I profil",INDEX($CN$4:$CN$118,MATCH(AL140,$CM$4:$CM$118,0),0),IF(O140="U profil",INDEX($CU$4:$CU$28,MATCH(AR140,$CT$4:$CT$28,0),0),IF(O140="korniyer",INDEX($CR$4:$CR$176,MATCH(AW140,$CQ$4:$CQ$176,0),0),"hatalı")))))</f>
        <v>22.4</v>
      </c>
      <c r="BC140" s="143"/>
      <c r="BD140" s="143"/>
      <c r="BE140" s="63">
        <v>4</v>
      </c>
      <c r="BF140" s="63"/>
      <c r="BG140" s="63"/>
      <c r="BH140" s="83">
        <f>(AD81*TAN(AB10*PI()/180)+E13)+(2*AD81*TAN(AB10*PI()/180)+E13)+(3*AD81*TAN(AB10*PI()/180)+E13)</f>
        <v>25.9</v>
      </c>
      <c r="BI140" s="83"/>
      <c r="BJ140" s="83"/>
      <c r="BK140" s="134">
        <f t="shared" si="0"/>
        <v>103.6</v>
      </c>
      <c r="BL140" s="135"/>
      <c r="BM140" s="136"/>
      <c r="BN140" s="83">
        <f t="shared" si="1"/>
        <v>2320.64</v>
      </c>
      <c r="BO140" s="83"/>
      <c r="BP140" s="83"/>
      <c r="BQ140" s="83"/>
      <c r="BR140" s="84">
        <v>28</v>
      </c>
      <c r="BS140" s="84"/>
      <c r="BT140" s="84"/>
      <c r="BU140" s="84"/>
      <c r="BV140" s="84"/>
      <c r="BW140" s="84"/>
      <c r="BX140" s="85">
        <f t="shared" si="3"/>
        <v>64977.919999999998</v>
      </c>
      <c r="BY140" s="85"/>
      <c r="BZ140" s="85"/>
      <c r="CA140" s="85"/>
      <c r="CB140" s="86"/>
      <c r="CQ140" s="20" t="s">
        <v>346</v>
      </c>
      <c r="CR140" s="3">
        <v>9.32</v>
      </c>
    </row>
    <row r="141" spans="2:96" ht="11.25" customHeight="1" x14ac:dyDescent="0.2">
      <c r="B141" s="71" t="s">
        <v>285</v>
      </c>
      <c r="C141" s="72"/>
      <c r="D141" s="72"/>
      <c r="E141" s="72"/>
      <c r="F141" s="72"/>
      <c r="G141" s="72"/>
      <c r="H141" s="72"/>
      <c r="I141" s="72"/>
      <c r="J141" s="72"/>
      <c r="K141" s="72"/>
      <c r="L141" s="72"/>
      <c r="M141" s="72"/>
      <c r="N141" s="72"/>
      <c r="O141" s="120" t="s">
        <v>416</v>
      </c>
      <c r="P141" s="73"/>
      <c r="Q141" s="73"/>
      <c r="R141" s="73"/>
      <c r="S141" s="128"/>
      <c r="T141" s="129">
        <v>150</v>
      </c>
      <c r="U141" s="130"/>
      <c r="V141" s="26" t="s">
        <v>415</v>
      </c>
      <c r="W141" s="130">
        <v>100</v>
      </c>
      <c r="X141" s="130"/>
      <c r="Y141" s="26" t="s">
        <v>415</v>
      </c>
      <c r="Z141" s="130">
        <v>5</v>
      </c>
      <c r="AA141" s="131"/>
      <c r="AB141" s="129">
        <v>150</v>
      </c>
      <c r="AC141" s="130"/>
      <c r="AD141" s="26" t="s">
        <v>415</v>
      </c>
      <c r="AE141" s="130">
        <v>10</v>
      </c>
      <c r="AF141" s="131"/>
      <c r="AG141" s="13"/>
      <c r="AH141" s="11"/>
      <c r="AI141" s="11"/>
      <c r="AJ141" s="11"/>
      <c r="AK141" s="12"/>
      <c r="AL141" s="129" t="s">
        <v>281</v>
      </c>
      <c r="AM141" s="130"/>
      <c r="AN141" s="130"/>
      <c r="AO141" s="130"/>
      <c r="AP141" s="130"/>
      <c r="AQ141" s="131"/>
      <c r="AR141" s="129" t="s">
        <v>246</v>
      </c>
      <c r="AS141" s="130"/>
      <c r="AT141" s="130"/>
      <c r="AU141" s="130"/>
      <c r="AV141" s="131"/>
      <c r="AW141" s="146" t="s">
        <v>345</v>
      </c>
      <c r="AX141" s="146"/>
      <c r="AY141" s="146"/>
      <c r="AZ141" s="146"/>
      <c r="BA141" s="146"/>
      <c r="BB141" s="143" cm="1">
        <f t="array" ref="BB141">IF(O141="kutu profil",(((T141*W141-4*((2*Z141)*(2*Z141)-PI()*(2*Z141)^2/4))-((T141-2*Z141)*(W141-2*Z141)-4*((1*Z141)*(1*Z141)-PI()*(1*Z141)^2/4)))/1000000*7850),IF(O141="boru profil",((PI()*AB141^2/4-PI()*(AB141-2*AE141)^2/4)/1000000*7850),IF(O141="I profil",INDEX($CN$4:$CN$118,MATCH(AL141,$CM$4:$CM$118,0),0),IF(O141="U profil",INDEX($CU$4:$CU$28,MATCH(AR141,$CT$4:$CT$28,0),0),IF(O141="korniyer",INDEX($CR$4:$CR$176,MATCH(AW141,$CQ$4:$CQ$176,0),0),"hatalı")))))</f>
        <v>18.334612674801001</v>
      </c>
      <c r="BC141" s="143"/>
      <c r="BD141" s="143"/>
      <c r="BE141" s="63">
        <v>2</v>
      </c>
      <c r="BF141" s="63"/>
      <c r="BG141" s="63"/>
      <c r="BH141" s="83">
        <f>+E13+E7-AH76</f>
        <v>4.6999999999999993</v>
      </c>
      <c r="BI141" s="83"/>
      <c r="BJ141" s="83"/>
      <c r="BK141" s="134">
        <f t="shared" si="0"/>
        <v>9.3999999999999986</v>
      </c>
      <c r="BL141" s="135"/>
      <c r="BM141" s="136"/>
      <c r="BN141" s="83">
        <f t="shared" si="1"/>
        <v>172.34535914312937</v>
      </c>
      <c r="BO141" s="83"/>
      <c r="BP141" s="83"/>
      <c r="BQ141" s="83"/>
      <c r="BR141" s="84">
        <v>28</v>
      </c>
      <c r="BS141" s="84"/>
      <c r="BT141" s="84"/>
      <c r="BU141" s="84"/>
      <c r="BV141" s="84"/>
      <c r="BW141" s="84"/>
      <c r="BX141" s="85">
        <f t="shared" si="3"/>
        <v>4825.6700560076224</v>
      </c>
      <c r="BY141" s="85"/>
      <c r="BZ141" s="85"/>
      <c r="CA141" s="85"/>
      <c r="CB141" s="86"/>
      <c r="CQ141" s="20" t="s">
        <v>347</v>
      </c>
      <c r="CR141" s="3">
        <v>11.8</v>
      </c>
    </row>
    <row r="142" spans="2:96" x14ac:dyDescent="0.2">
      <c r="B142" s="71" t="s">
        <v>286</v>
      </c>
      <c r="C142" s="72"/>
      <c r="D142" s="72"/>
      <c r="E142" s="72"/>
      <c r="F142" s="72"/>
      <c r="G142" s="72"/>
      <c r="H142" s="72"/>
      <c r="I142" s="72"/>
      <c r="J142" s="72"/>
      <c r="K142" s="72"/>
      <c r="L142" s="72"/>
      <c r="M142" s="72"/>
      <c r="N142" s="72"/>
      <c r="O142" s="120" t="s">
        <v>416</v>
      </c>
      <c r="P142" s="73"/>
      <c r="Q142" s="73"/>
      <c r="R142" s="73"/>
      <c r="S142" s="128"/>
      <c r="T142" s="129">
        <v>100</v>
      </c>
      <c r="U142" s="130"/>
      <c r="V142" s="26" t="s">
        <v>415</v>
      </c>
      <c r="W142" s="130">
        <v>100</v>
      </c>
      <c r="X142" s="130"/>
      <c r="Y142" s="26" t="s">
        <v>415</v>
      </c>
      <c r="Z142" s="130">
        <v>5</v>
      </c>
      <c r="AA142" s="131"/>
      <c r="AB142" s="129">
        <v>150</v>
      </c>
      <c r="AC142" s="130"/>
      <c r="AD142" s="26" t="s">
        <v>415</v>
      </c>
      <c r="AE142" s="130">
        <v>10</v>
      </c>
      <c r="AF142" s="131"/>
      <c r="AG142" s="13"/>
      <c r="AH142" s="11"/>
      <c r="AI142" s="11"/>
      <c r="AJ142" s="11"/>
      <c r="AK142" s="12"/>
      <c r="AL142" s="129" t="s">
        <v>281</v>
      </c>
      <c r="AM142" s="130"/>
      <c r="AN142" s="130"/>
      <c r="AO142" s="130"/>
      <c r="AP142" s="130"/>
      <c r="AQ142" s="131"/>
      <c r="AR142" s="129" t="s">
        <v>246</v>
      </c>
      <c r="AS142" s="130"/>
      <c r="AT142" s="130"/>
      <c r="AU142" s="130"/>
      <c r="AV142" s="131"/>
      <c r="AW142" s="146" t="s">
        <v>345</v>
      </c>
      <c r="AX142" s="146"/>
      <c r="AY142" s="146"/>
      <c r="AZ142" s="146"/>
      <c r="BA142" s="146"/>
      <c r="BB142" s="143" cm="1">
        <f t="array" ref="BB142">IF(O142="kutu profil",(((T142*W142-4*((2*Z142)*(2*Z142)-PI()*(2*Z142)^2/4))-((T142-2*Z142)*(W142-2*Z142)-4*((1*Z142)*(1*Z142)-PI()*(1*Z142)^2/4)))/1000000*7850),IF(O142="boru profil",((PI()*AB142^2/4-PI()*(AB142-2*AE142)^2/4)/1000000*7850),IF(O142="I profil",INDEX($CN$4:$CN$118,MATCH(AL142,$CM$4:$CM$118,0),0),IF(O142="U profil",INDEX($CU$4:$CU$28,MATCH(AR142,$CT$4:$CT$28,0),0),IF(O142="korniyer",INDEX($CR$4:$CR$176,MATCH(AW142,$CQ$4:$CQ$176,0),0),"hatalı")))))</f>
        <v>14.409612674800993</v>
      </c>
      <c r="BC142" s="143"/>
      <c r="BD142" s="143"/>
      <c r="BE142" s="63">
        <f>6*3*2</f>
        <v>36</v>
      </c>
      <c r="BF142" s="63"/>
      <c r="BG142" s="63"/>
      <c r="BH142" s="83">
        <f>+AD81</f>
        <v>3.1666666666666665</v>
      </c>
      <c r="BI142" s="83"/>
      <c r="BJ142" s="83"/>
      <c r="BK142" s="134">
        <f t="shared" si="0"/>
        <v>114</v>
      </c>
      <c r="BL142" s="135"/>
      <c r="BM142" s="136"/>
      <c r="BN142" s="83">
        <f t="shared" si="1"/>
        <v>1642.6958449273131</v>
      </c>
      <c r="BO142" s="83"/>
      <c r="BP142" s="83"/>
      <c r="BQ142" s="83"/>
      <c r="BR142" s="84">
        <v>28</v>
      </c>
      <c r="BS142" s="84"/>
      <c r="BT142" s="84"/>
      <c r="BU142" s="84"/>
      <c r="BV142" s="84"/>
      <c r="BW142" s="84"/>
      <c r="BX142" s="85">
        <f t="shared" si="3"/>
        <v>45995.483657964767</v>
      </c>
      <c r="BY142" s="85"/>
      <c r="BZ142" s="85"/>
      <c r="CA142" s="85"/>
      <c r="CB142" s="86"/>
      <c r="CQ142" s="20" t="s">
        <v>348</v>
      </c>
      <c r="CR142" s="3">
        <v>14.3</v>
      </c>
    </row>
    <row r="143" spans="2:96" x14ac:dyDescent="0.2">
      <c r="B143" s="71" t="s">
        <v>287</v>
      </c>
      <c r="C143" s="72"/>
      <c r="D143" s="72"/>
      <c r="E143" s="72"/>
      <c r="F143" s="72"/>
      <c r="G143" s="72"/>
      <c r="H143" s="72"/>
      <c r="I143" s="72"/>
      <c r="J143" s="72"/>
      <c r="K143" s="72"/>
      <c r="L143" s="72"/>
      <c r="M143" s="72"/>
      <c r="N143" s="72"/>
      <c r="O143" s="120" t="s">
        <v>416</v>
      </c>
      <c r="P143" s="73"/>
      <c r="Q143" s="73"/>
      <c r="R143" s="73"/>
      <c r="S143" s="128"/>
      <c r="T143" s="129">
        <v>150</v>
      </c>
      <c r="U143" s="130"/>
      <c r="V143" s="26" t="s">
        <v>415</v>
      </c>
      <c r="W143" s="130">
        <v>150</v>
      </c>
      <c r="X143" s="130"/>
      <c r="Y143" s="26" t="s">
        <v>415</v>
      </c>
      <c r="Z143" s="130">
        <v>5</v>
      </c>
      <c r="AA143" s="131"/>
      <c r="AB143" s="129">
        <v>150</v>
      </c>
      <c r="AC143" s="130"/>
      <c r="AD143" s="26" t="s">
        <v>415</v>
      </c>
      <c r="AE143" s="130">
        <v>10</v>
      </c>
      <c r="AF143" s="131"/>
      <c r="AG143" s="13"/>
      <c r="AH143" s="11"/>
      <c r="AI143" s="11"/>
      <c r="AJ143" s="11"/>
      <c r="AK143" s="12"/>
      <c r="AL143" s="129" t="s">
        <v>281</v>
      </c>
      <c r="AM143" s="130"/>
      <c r="AN143" s="130"/>
      <c r="AO143" s="130"/>
      <c r="AP143" s="130"/>
      <c r="AQ143" s="131"/>
      <c r="AR143" s="129" t="s">
        <v>246</v>
      </c>
      <c r="AS143" s="130"/>
      <c r="AT143" s="130"/>
      <c r="AU143" s="130"/>
      <c r="AV143" s="131"/>
      <c r="AW143" s="146" t="s">
        <v>345</v>
      </c>
      <c r="AX143" s="146"/>
      <c r="AY143" s="146"/>
      <c r="AZ143" s="146"/>
      <c r="BA143" s="146"/>
      <c r="BB143" s="143" cm="1">
        <f t="array" ref="BB143">IF(O143="kutu profil",(((T143*W143-4*((2*Z143)*(2*Z143)-PI()*(2*Z143)^2/4))-((T143-2*Z143)*(W143-2*Z143)-4*((1*Z143)*(1*Z143)-PI()*(1*Z143)^2/4)))/1000000*7850),IF(O143="boru profil",((PI()*AB143^2/4-PI()*(AB143-2*AE143)^2/4)/1000000*7850),IF(O143="I profil",INDEX($CN$4:$CN$118,MATCH(AL143,$CM$4:$CM$118,0),0),IF(O143="U profil",INDEX($CU$4:$CU$28,MATCH(AR143,$CT$4:$CT$28,0),0),IF(O143="korniyer",INDEX($CR$4:$CR$176,MATCH(AW143,$CQ$4:$CQ$176,0),0),"hatalı")))))</f>
        <v>22.259612674800998</v>
      </c>
      <c r="BC143" s="143"/>
      <c r="BD143" s="143"/>
      <c r="BE143" s="63">
        <f>IF((D75+D78)&lt;AH76,4,8)</f>
        <v>8</v>
      </c>
      <c r="BF143" s="63"/>
      <c r="BG143" s="63"/>
      <c r="BH143" s="83">
        <f>+S81/2</f>
        <v>2.5</v>
      </c>
      <c r="BI143" s="83"/>
      <c r="BJ143" s="83"/>
      <c r="BK143" s="134">
        <f t="shared" si="0"/>
        <v>20</v>
      </c>
      <c r="BL143" s="135"/>
      <c r="BM143" s="136"/>
      <c r="BN143" s="83">
        <f t="shared" si="1"/>
        <v>445.19225349601993</v>
      </c>
      <c r="BO143" s="83"/>
      <c r="BP143" s="83"/>
      <c r="BQ143" s="83"/>
      <c r="BR143" s="84">
        <v>28</v>
      </c>
      <c r="BS143" s="84"/>
      <c r="BT143" s="84"/>
      <c r="BU143" s="84"/>
      <c r="BV143" s="84"/>
      <c r="BW143" s="84"/>
      <c r="BX143" s="85">
        <f t="shared" si="3"/>
        <v>12465.383097888558</v>
      </c>
      <c r="BY143" s="85"/>
      <c r="BZ143" s="85"/>
      <c r="CA143" s="85"/>
      <c r="CB143" s="86"/>
      <c r="CQ143" s="20" t="s">
        <v>349</v>
      </c>
      <c r="CR143" s="3">
        <v>12.2</v>
      </c>
    </row>
    <row r="144" spans="2:96" x14ac:dyDescent="0.2">
      <c r="B144" s="71" t="s">
        <v>555</v>
      </c>
      <c r="C144" s="72"/>
      <c r="D144" s="72"/>
      <c r="E144" s="72"/>
      <c r="F144" s="72"/>
      <c r="G144" s="72"/>
      <c r="H144" s="72"/>
      <c r="I144" s="72"/>
      <c r="J144" s="72"/>
      <c r="K144" s="72"/>
      <c r="L144" s="72"/>
      <c r="M144" s="72"/>
      <c r="N144" s="72"/>
      <c r="O144" s="120" t="s">
        <v>416</v>
      </c>
      <c r="P144" s="73"/>
      <c r="Q144" s="73"/>
      <c r="R144" s="73"/>
      <c r="S144" s="128"/>
      <c r="T144" s="129">
        <v>100</v>
      </c>
      <c r="U144" s="130"/>
      <c r="V144" s="26" t="s">
        <v>415</v>
      </c>
      <c r="W144" s="130">
        <v>100</v>
      </c>
      <c r="X144" s="130"/>
      <c r="Y144" s="26" t="s">
        <v>415</v>
      </c>
      <c r="Z144" s="130">
        <v>3</v>
      </c>
      <c r="AA144" s="131"/>
      <c r="AB144" s="129">
        <v>150</v>
      </c>
      <c r="AC144" s="130"/>
      <c r="AD144" s="26" t="s">
        <v>415</v>
      </c>
      <c r="AE144" s="130">
        <v>10</v>
      </c>
      <c r="AF144" s="131"/>
      <c r="AG144" s="13"/>
      <c r="AH144" s="11"/>
      <c r="AI144" s="11"/>
      <c r="AJ144" s="11"/>
      <c r="AK144" s="12"/>
      <c r="AL144" s="129" t="s">
        <v>281</v>
      </c>
      <c r="AM144" s="130"/>
      <c r="AN144" s="130"/>
      <c r="AO144" s="130"/>
      <c r="AP144" s="130"/>
      <c r="AQ144" s="131"/>
      <c r="AR144" s="129" t="s">
        <v>246</v>
      </c>
      <c r="AS144" s="130"/>
      <c r="AT144" s="130"/>
      <c r="AU144" s="130"/>
      <c r="AV144" s="131"/>
      <c r="AW144" s="146" t="s">
        <v>345</v>
      </c>
      <c r="AX144" s="146"/>
      <c r="AY144" s="146"/>
      <c r="AZ144" s="146"/>
      <c r="BA144" s="146"/>
      <c r="BB144" s="143" cm="1">
        <f t="array" ref="BB144">IF(O144="kutu profil",(((T144*W144-4*((2*Z144)*(2*Z144)-PI()*(2*Z144)^2/4))-((T144-2*Z144)*(W144-2*Z144)-4*((1*Z144)*(1*Z144)-PI()*(1*Z144)^2/4)))/1000000*7850),IF(O144="boru profil",((PI()*AB144^2/4-PI()*(AB144-2*AE144)^2/4)/1000000*7850),IF(O144="I profil",INDEX($CN$4:$CN$118,MATCH(AL144,$CM$4:$CM$118,0),0),IF(O144="U profil",INDEX($CU$4:$CU$28,MATCH(AR144,$CT$4:$CT$28,0),0),IF(O144="korniyer",INDEX($CR$4:$CR$176,MATCH(AW144,$CQ$4:$CQ$176,0),0),"hatalı")))))</f>
        <v>8.955460562928355</v>
      </c>
      <c r="BC144" s="143"/>
      <c r="BD144" s="143"/>
      <c r="BE144" s="63">
        <v>2</v>
      </c>
      <c r="BF144" s="63"/>
      <c r="BG144" s="63"/>
      <c r="BH144" s="83">
        <f>2*(S81+AH76+SQRT(S81^2+AH76^2))</f>
        <v>32.45362404707371</v>
      </c>
      <c r="BI144" s="83"/>
      <c r="BJ144" s="83"/>
      <c r="BK144" s="134">
        <f t="shared" si="0"/>
        <v>64.90724809414742</v>
      </c>
      <c r="BL144" s="135"/>
      <c r="BM144" s="136"/>
      <c r="BN144" s="83">
        <f t="shared" si="1"/>
        <v>581.27430055534387</v>
      </c>
      <c r="BO144" s="83"/>
      <c r="BP144" s="83"/>
      <c r="BQ144" s="83"/>
      <c r="BR144" s="84">
        <v>28</v>
      </c>
      <c r="BS144" s="84"/>
      <c r="BT144" s="84"/>
      <c r="BU144" s="84"/>
      <c r="BV144" s="84"/>
      <c r="BW144" s="84"/>
      <c r="BX144" s="85">
        <f t="shared" si="3"/>
        <v>16275.680415549628</v>
      </c>
      <c r="BY144" s="85"/>
      <c r="BZ144" s="85"/>
      <c r="CA144" s="85"/>
      <c r="CB144" s="86"/>
      <c r="CQ144" s="20" t="s">
        <v>350</v>
      </c>
      <c r="CR144" s="3">
        <v>15</v>
      </c>
    </row>
    <row r="145" spans="2:96" x14ac:dyDescent="0.2">
      <c r="B145" s="41" t="s">
        <v>554</v>
      </c>
      <c r="C145" s="42"/>
      <c r="D145" s="42"/>
      <c r="E145" s="42"/>
      <c r="F145" s="42"/>
      <c r="G145" s="42" t="s">
        <v>553</v>
      </c>
      <c r="H145" s="42"/>
      <c r="I145" s="42"/>
      <c r="J145" s="42"/>
      <c r="K145" s="73">
        <v>200</v>
      </c>
      <c r="L145" s="73"/>
      <c r="M145" s="42" t="s">
        <v>272</v>
      </c>
      <c r="N145" s="43"/>
      <c r="O145" s="120" t="s">
        <v>382</v>
      </c>
      <c r="P145" s="73"/>
      <c r="Q145" s="73"/>
      <c r="R145" s="73"/>
      <c r="S145" s="128"/>
      <c r="T145" s="129">
        <v>100</v>
      </c>
      <c r="U145" s="130"/>
      <c r="V145" s="26" t="s">
        <v>415</v>
      </c>
      <c r="W145" s="130">
        <v>100</v>
      </c>
      <c r="X145" s="130"/>
      <c r="Y145" s="26" t="s">
        <v>415</v>
      </c>
      <c r="Z145" s="130">
        <v>3</v>
      </c>
      <c r="AA145" s="131"/>
      <c r="AB145" s="129">
        <v>150</v>
      </c>
      <c r="AC145" s="130"/>
      <c r="AD145" s="26" t="s">
        <v>415</v>
      </c>
      <c r="AE145" s="130">
        <v>10</v>
      </c>
      <c r="AF145" s="131"/>
      <c r="AG145" s="13"/>
      <c r="AH145" s="11"/>
      <c r="AI145" s="11"/>
      <c r="AJ145" s="11"/>
      <c r="AK145" s="12"/>
      <c r="AL145" s="129" t="s">
        <v>281</v>
      </c>
      <c r="AM145" s="130"/>
      <c r="AN145" s="130"/>
      <c r="AO145" s="130"/>
      <c r="AP145" s="130"/>
      <c r="AQ145" s="131"/>
      <c r="AR145" s="129" t="s">
        <v>246</v>
      </c>
      <c r="AS145" s="130"/>
      <c r="AT145" s="130"/>
      <c r="AU145" s="130"/>
      <c r="AV145" s="131"/>
      <c r="AW145" s="146" t="s">
        <v>345</v>
      </c>
      <c r="AX145" s="146"/>
      <c r="AY145" s="146"/>
      <c r="AZ145" s="146"/>
      <c r="BA145" s="146"/>
      <c r="BB145" s="143" cm="1">
        <f t="array" ref="BB145">IF(O145="kutu profil",(((T145*W145-4*((2*Z145)*(2*Z145)-PI()*(2*Z145)^2/4))-((T145-2*Z145)*(W145-2*Z145)-4*((1*Z145)*(1*Z145)-PI()*(1*Z145)^2/4)))/1000000*7850),IF(O145="boru profil",((PI()*AB145^2/4-PI()*(AB145-2*AE145)^2/4)/1000000*7850),IF(O145="I profil",INDEX($CN$4:$CN$118,MATCH(AL145,$CM$4:$CM$118,0),0),IF(O145="U profil",INDEX($CU$4:$CU$28,MATCH(AR145,$CT$4:$CT$28,0),0),IF(O145="korniyer",INDEX($CR$4:$CR$176,MATCH(AW145,$CQ$4:$CQ$176,0),0),"hatalı")))))</f>
        <v>13.4</v>
      </c>
      <c r="BC145" s="143"/>
      <c r="BD145" s="143"/>
      <c r="BE145" s="63">
        <f>BE134+12</f>
        <v>28</v>
      </c>
      <c r="BF145" s="63"/>
      <c r="BG145" s="63"/>
      <c r="BH145" s="83">
        <f>+K145/1000</f>
        <v>0.2</v>
      </c>
      <c r="BI145" s="83"/>
      <c r="BJ145" s="83"/>
      <c r="BK145" s="134">
        <f t="shared" ref="BK145" si="4">+BE145*BH145</f>
        <v>5.6000000000000005</v>
      </c>
      <c r="BL145" s="135"/>
      <c r="BM145" s="136"/>
      <c r="BN145" s="83">
        <f t="shared" ref="BN145" si="5">BB145*(BE145*BH145)</f>
        <v>75.040000000000006</v>
      </c>
      <c r="BO145" s="83"/>
      <c r="BP145" s="83"/>
      <c r="BQ145" s="83"/>
      <c r="BR145" s="84">
        <v>28</v>
      </c>
      <c r="BS145" s="84"/>
      <c r="BT145" s="84"/>
      <c r="BU145" s="84"/>
      <c r="BV145" s="84"/>
      <c r="BW145" s="84"/>
      <c r="BX145" s="85">
        <f t="shared" ref="BX145:BX146" si="6">BR145*BN145</f>
        <v>2101.1200000000003</v>
      </c>
      <c r="BY145" s="85"/>
      <c r="BZ145" s="85"/>
      <c r="CA145" s="85"/>
      <c r="CB145" s="86"/>
      <c r="CQ145" s="20" t="s">
        <v>351</v>
      </c>
      <c r="CR145" s="3">
        <v>17.8</v>
      </c>
    </row>
    <row r="146" spans="2:96" x14ac:dyDescent="0.2">
      <c r="B146" s="71" t="s">
        <v>570</v>
      </c>
      <c r="C146" s="72"/>
      <c r="D146" s="72"/>
      <c r="E146" s="72"/>
      <c r="F146" s="72"/>
      <c r="G146" s="72"/>
      <c r="H146" s="72"/>
      <c r="I146" s="72"/>
      <c r="J146" s="72"/>
      <c r="K146" s="72"/>
      <c r="L146" s="72"/>
      <c r="M146" s="72"/>
      <c r="N146" s="72"/>
      <c r="O146" s="13" t="s">
        <v>271</v>
      </c>
      <c r="P146" s="73">
        <v>450</v>
      </c>
      <c r="Q146" s="73"/>
      <c r="R146" s="11" t="s">
        <v>272</v>
      </c>
      <c r="S146" s="11"/>
      <c r="T146" s="11" t="s">
        <v>273</v>
      </c>
      <c r="U146" s="73">
        <v>800</v>
      </c>
      <c r="V146" s="73"/>
      <c r="W146" s="11" t="s">
        <v>272</v>
      </c>
      <c r="X146" s="11"/>
      <c r="Y146" s="11" t="s">
        <v>274</v>
      </c>
      <c r="Z146" s="73">
        <v>30</v>
      </c>
      <c r="AA146" s="73"/>
      <c r="AB146" s="11" t="s">
        <v>272</v>
      </c>
      <c r="AC146" s="11"/>
      <c r="AD146" s="11"/>
      <c r="AE146" s="11"/>
      <c r="AF146" s="11"/>
      <c r="AG146" s="11" t="s">
        <v>282</v>
      </c>
      <c r="AH146" s="11"/>
      <c r="AI146" s="11"/>
      <c r="AJ146" s="11"/>
      <c r="AK146" s="11"/>
      <c r="AL146" s="11"/>
      <c r="AM146" s="73">
        <v>2</v>
      </c>
      <c r="AN146" s="73"/>
      <c r="AO146" s="11" t="s">
        <v>433</v>
      </c>
      <c r="AP146" s="11"/>
      <c r="AQ146" s="11"/>
      <c r="AR146" s="11"/>
      <c r="AS146" s="11"/>
      <c r="AT146" s="11"/>
      <c r="AU146" s="11"/>
      <c r="AV146" s="11"/>
      <c r="AW146" s="11"/>
      <c r="AX146" s="11"/>
      <c r="AY146" s="11"/>
      <c r="AZ146" s="11"/>
      <c r="BA146" s="12"/>
      <c r="BB146" s="63" t="s">
        <v>276</v>
      </c>
      <c r="BC146" s="63"/>
      <c r="BD146" s="63"/>
      <c r="BE146" s="63">
        <f>(C51+1)*2*AM146</f>
        <v>32</v>
      </c>
      <c r="BF146" s="63"/>
      <c r="BG146" s="63"/>
      <c r="BH146" s="62" t="s">
        <v>276</v>
      </c>
      <c r="BI146" s="62"/>
      <c r="BJ146" s="62"/>
      <c r="BK146" s="62" t="s">
        <v>276</v>
      </c>
      <c r="BL146" s="62"/>
      <c r="BM146" s="62"/>
      <c r="BN146" s="83">
        <f t="shared" ref="BN146" si="7">P146/1000*U146/1000*Z146/1000*7850*BE146</f>
        <v>2712.9599999999996</v>
      </c>
      <c r="BO146" s="83"/>
      <c r="BP146" s="83"/>
      <c r="BQ146" s="83"/>
      <c r="BR146" s="84">
        <v>28</v>
      </c>
      <c r="BS146" s="84"/>
      <c r="BT146" s="84"/>
      <c r="BU146" s="84"/>
      <c r="BV146" s="84"/>
      <c r="BW146" s="84"/>
      <c r="BX146" s="85">
        <f t="shared" si="6"/>
        <v>75962.87999999999</v>
      </c>
      <c r="BY146" s="85"/>
      <c r="BZ146" s="85"/>
      <c r="CA146" s="85"/>
      <c r="CB146" s="86"/>
      <c r="CQ146" s="20" t="s">
        <v>352</v>
      </c>
      <c r="CR146" s="3">
        <v>20.5</v>
      </c>
    </row>
    <row r="147" spans="2:96" x14ac:dyDescent="0.2">
      <c r="B147" s="71" t="s">
        <v>571</v>
      </c>
      <c r="C147" s="72"/>
      <c r="D147" s="72"/>
      <c r="E147" s="72"/>
      <c r="F147" s="72"/>
      <c r="G147" s="72"/>
      <c r="H147" s="72"/>
      <c r="I147" s="72"/>
      <c r="J147" s="72"/>
      <c r="K147" s="72"/>
      <c r="L147" s="72"/>
      <c r="M147" s="72"/>
      <c r="N147" s="72"/>
      <c r="O147" s="13" t="s">
        <v>271</v>
      </c>
      <c r="P147" s="73">
        <v>450</v>
      </c>
      <c r="Q147" s="73"/>
      <c r="R147" s="11" t="s">
        <v>272</v>
      </c>
      <c r="S147" s="11"/>
      <c r="T147" s="11" t="s">
        <v>273</v>
      </c>
      <c r="U147" s="73">
        <v>800</v>
      </c>
      <c r="V147" s="73"/>
      <c r="W147" s="11" t="s">
        <v>272</v>
      </c>
      <c r="X147" s="11"/>
      <c r="Y147" s="11" t="s">
        <v>274</v>
      </c>
      <c r="Z147" s="73">
        <v>30</v>
      </c>
      <c r="AA147" s="73"/>
      <c r="AB147" s="11" t="s">
        <v>272</v>
      </c>
      <c r="AC147" s="11"/>
      <c r="AD147" s="11"/>
      <c r="AE147" s="11"/>
      <c r="AF147" s="11"/>
      <c r="AG147" s="11" t="s">
        <v>282</v>
      </c>
      <c r="AH147" s="11"/>
      <c r="AI147" s="11"/>
      <c r="AJ147" s="11"/>
      <c r="AK147" s="11"/>
      <c r="AL147" s="11"/>
      <c r="AM147" s="73">
        <v>2</v>
      </c>
      <c r="AN147" s="73"/>
      <c r="AO147" s="11" t="s">
        <v>433</v>
      </c>
      <c r="AP147" s="11"/>
      <c r="AQ147" s="11"/>
      <c r="AR147" s="11"/>
      <c r="AS147" s="11"/>
      <c r="AT147" s="11"/>
      <c r="AU147" s="11"/>
      <c r="AV147" s="11"/>
      <c r="AW147" s="11"/>
      <c r="AX147" s="11"/>
      <c r="AY147" s="11"/>
      <c r="AZ147" s="11"/>
      <c r="BA147" s="12"/>
      <c r="BB147" s="63" t="s">
        <v>276</v>
      </c>
      <c r="BC147" s="63"/>
      <c r="BD147" s="63"/>
      <c r="BE147" s="63">
        <f>(C51+1)*AM147</f>
        <v>16</v>
      </c>
      <c r="BF147" s="63"/>
      <c r="BG147" s="63"/>
      <c r="BH147" s="62" t="s">
        <v>276</v>
      </c>
      <c r="BI147" s="62"/>
      <c r="BJ147" s="62"/>
      <c r="BK147" s="62" t="s">
        <v>276</v>
      </c>
      <c r="BL147" s="62"/>
      <c r="BM147" s="62"/>
      <c r="BN147" s="83">
        <f t="shared" ref="BN147" si="8">P147/1000*U147/1000*Z147/1000*7850*BE147</f>
        <v>1356.4799999999998</v>
      </c>
      <c r="BO147" s="83"/>
      <c r="BP147" s="83"/>
      <c r="BQ147" s="83"/>
      <c r="BR147" s="84">
        <v>28</v>
      </c>
      <c r="BS147" s="84"/>
      <c r="BT147" s="84"/>
      <c r="BU147" s="84"/>
      <c r="BV147" s="84"/>
      <c r="BW147" s="84"/>
      <c r="BX147" s="85">
        <f t="shared" ref="BX147" si="9">BR147*BN147</f>
        <v>37981.439999999995</v>
      </c>
      <c r="BY147" s="85"/>
      <c r="BZ147" s="85"/>
      <c r="CA147" s="85"/>
      <c r="CB147" s="86"/>
      <c r="CQ147" s="20" t="s">
        <v>353</v>
      </c>
      <c r="CR147" s="3">
        <v>11.9</v>
      </c>
    </row>
    <row r="148" spans="2:96" x14ac:dyDescent="0.2">
      <c r="B148" s="71" t="s">
        <v>275</v>
      </c>
      <c r="C148" s="72"/>
      <c r="D148" s="72"/>
      <c r="E148" s="72"/>
      <c r="F148" s="72"/>
      <c r="G148" s="72"/>
      <c r="H148" s="72"/>
      <c r="I148" s="72"/>
      <c r="J148" s="72"/>
      <c r="K148" s="72"/>
      <c r="L148" s="72"/>
      <c r="M148" s="72"/>
      <c r="N148" s="72"/>
      <c r="O148" s="13" t="s">
        <v>271</v>
      </c>
      <c r="P148" s="73">
        <v>450</v>
      </c>
      <c r="Q148" s="73"/>
      <c r="R148" s="11" t="s">
        <v>272</v>
      </c>
      <c r="S148" s="11"/>
      <c r="T148" s="11" t="s">
        <v>273</v>
      </c>
      <c r="U148" s="73">
        <v>800</v>
      </c>
      <c r="V148" s="73"/>
      <c r="W148" s="11" t="s">
        <v>272</v>
      </c>
      <c r="X148" s="11"/>
      <c r="Y148" s="11" t="s">
        <v>274</v>
      </c>
      <c r="Z148" s="73">
        <v>30</v>
      </c>
      <c r="AA148" s="73"/>
      <c r="AB148" s="11" t="s">
        <v>272</v>
      </c>
      <c r="AC148" s="11"/>
      <c r="AD148" s="11"/>
      <c r="AE148" s="11"/>
      <c r="AF148" s="11"/>
      <c r="AG148" s="11"/>
      <c r="AH148" s="11"/>
      <c r="AI148" s="11"/>
      <c r="AJ148" s="11"/>
      <c r="AK148" s="11"/>
      <c r="AL148" s="11"/>
      <c r="AM148" s="11"/>
      <c r="AN148" s="11"/>
      <c r="AO148" s="11"/>
      <c r="AP148" s="11"/>
      <c r="AQ148" s="11"/>
      <c r="AR148" s="11"/>
      <c r="AS148" s="11"/>
      <c r="AT148" s="11"/>
      <c r="AU148" s="11"/>
      <c r="AV148" s="11"/>
      <c r="AW148" s="11"/>
      <c r="AX148" s="11"/>
      <c r="AY148" s="11"/>
      <c r="AZ148" s="11"/>
      <c r="BA148" s="12"/>
      <c r="BB148" s="63" t="s">
        <v>276</v>
      </c>
      <c r="BC148" s="63"/>
      <c r="BD148" s="63"/>
      <c r="BE148" s="63">
        <f>+BE134</f>
        <v>16</v>
      </c>
      <c r="BF148" s="63"/>
      <c r="BG148" s="63"/>
      <c r="BH148" s="62" t="s">
        <v>276</v>
      </c>
      <c r="BI148" s="62"/>
      <c r="BJ148" s="62"/>
      <c r="BK148" s="62" t="s">
        <v>276</v>
      </c>
      <c r="BL148" s="62"/>
      <c r="BM148" s="62"/>
      <c r="BN148" s="83">
        <f t="shared" ref="BN148:BN156" si="10">P148/1000*U148/1000*Z148/1000*7850*BE148</f>
        <v>1356.4799999999998</v>
      </c>
      <c r="BO148" s="83"/>
      <c r="BP148" s="83"/>
      <c r="BQ148" s="83"/>
      <c r="BR148" s="84">
        <v>28</v>
      </c>
      <c r="BS148" s="84"/>
      <c r="BT148" s="84"/>
      <c r="BU148" s="84"/>
      <c r="BV148" s="84"/>
      <c r="BW148" s="84"/>
      <c r="BX148" s="85">
        <f t="shared" si="3"/>
        <v>37981.439999999995</v>
      </c>
      <c r="BY148" s="85"/>
      <c r="BZ148" s="85"/>
      <c r="CA148" s="85"/>
      <c r="CB148" s="86"/>
      <c r="CQ148" s="20" t="s">
        <v>354</v>
      </c>
      <c r="CR148" s="3">
        <v>14.6</v>
      </c>
    </row>
    <row r="149" spans="2:96" x14ac:dyDescent="0.2">
      <c r="B149" s="71" t="s">
        <v>442</v>
      </c>
      <c r="C149" s="72"/>
      <c r="D149" s="72"/>
      <c r="E149" s="72"/>
      <c r="F149" s="72"/>
      <c r="G149" s="72"/>
      <c r="H149" s="72"/>
      <c r="I149" s="72"/>
      <c r="J149" s="72"/>
      <c r="K149" s="72"/>
      <c r="L149" s="72"/>
      <c r="M149" s="72"/>
      <c r="N149" s="72"/>
      <c r="O149" s="13" t="s">
        <v>271</v>
      </c>
      <c r="P149" s="73">
        <v>350</v>
      </c>
      <c r="Q149" s="73"/>
      <c r="R149" s="11" t="s">
        <v>272</v>
      </c>
      <c r="S149" s="11"/>
      <c r="T149" s="11" t="s">
        <v>273</v>
      </c>
      <c r="U149" s="73">
        <v>350</v>
      </c>
      <c r="V149" s="73"/>
      <c r="W149" s="11" t="s">
        <v>272</v>
      </c>
      <c r="X149" s="11"/>
      <c r="Y149" s="11" t="s">
        <v>274</v>
      </c>
      <c r="Z149" s="73">
        <v>20</v>
      </c>
      <c r="AA149" s="73"/>
      <c r="AB149" s="11" t="s">
        <v>272</v>
      </c>
      <c r="AC149" s="11"/>
      <c r="AD149" s="11"/>
      <c r="AE149" s="11"/>
      <c r="AF149" s="11"/>
      <c r="AG149" s="11"/>
      <c r="AH149" s="11"/>
      <c r="AI149" s="11"/>
      <c r="AJ149" s="11"/>
      <c r="AK149" s="11"/>
      <c r="AL149" s="11"/>
      <c r="AM149" s="11"/>
      <c r="AN149" s="11"/>
      <c r="AO149" s="11"/>
      <c r="AP149" s="11"/>
      <c r="AQ149" s="11"/>
      <c r="AR149" s="11"/>
      <c r="AS149" s="11"/>
      <c r="AT149" s="11"/>
      <c r="AU149" s="11"/>
      <c r="AV149" s="11"/>
      <c r="AW149" s="11"/>
      <c r="AX149" s="11"/>
      <c r="AY149" s="11"/>
      <c r="AZ149" s="11"/>
      <c r="BA149" s="12"/>
      <c r="BB149" s="63" t="s">
        <v>276</v>
      </c>
      <c r="BC149" s="63"/>
      <c r="BD149" s="63"/>
      <c r="BE149" s="63">
        <f>6*2</f>
        <v>12</v>
      </c>
      <c r="BF149" s="63"/>
      <c r="BG149" s="63"/>
      <c r="BH149" s="62" t="s">
        <v>276</v>
      </c>
      <c r="BI149" s="62"/>
      <c r="BJ149" s="62"/>
      <c r="BK149" s="62" t="s">
        <v>276</v>
      </c>
      <c r="BL149" s="62"/>
      <c r="BM149" s="62"/>
      <c r="BN149" s="83">
        <f t="shared" si="10"/>
        <v>230.78999999999996</v>
      </c>
      <c r="BO149" s="83"/>
      <c r="BP149" s="83"/>
      <c r="BQ149" s="83"/>
      <c r="BR149" s="84">
        <v>28</v>
      </c>
      <c r="BS149" s="84"/>
      <c r="BT149" s="84"/>
      <c r="BU149" s="84"/>
      <c r="BV149" s="84"/>
      <c r="BW149" s="84"/>
      <c r="BX149" s="85">
        <f t="shared" si="3"/>
        <v>6462.119999999999</v>
      </c>
      <c r="BY149" s="85"/>
      <c r="BZ149" s="85"/>
      <c r="CA149" s="85"/>
      <c r="CB149" s="86"/>
      <c r="CQ149" s="20" t="s">
        <v>355</v>
      </c>
      <c r="CR149" s="3">
        <v>17.3</v>
      </c>
    </row>
    <row r="150" spans="2:96" x14ac:dyDescent="0.2">
      <c r="B150" s="71" t="s">
        <v>277</v>
      </c>
      <c r="C150" s="72"/>
      <c r="D150" s="72"/>
      <c r="E150" s="72"/>
      <c r="F150" s="72"/>
      <c r="G150" s="72"/>
      <c r="H150" s="72"/>
      <c r="I150" s="72"/>
      <c r="J150" s="72"/>
      <c r="K150" s="72"/>
      <c r="L150" s="72"/>
      <c r="M150" s="72"/>
      <c r="N150" s="72"/>
      <c r="O150" s="13" t="s">
        <v>271</v>
      </c>
      <c r="P150" s="73">
        <v>200</v>
      </c>
      <c r="Q150" s="73"/>
      <c r="R150" s="11" t="s">
        <v>272</v>
      </c>
      <c r="S150" s="11"/>
      <c r="T150" s="11" t="s">
        <v>273</v>
      </c>
      <c r="U150" s="73">
        <v>200</v>
      </c>
      <c r="V150" s="73"/>
      <c r="W150" s="11" t="s">
        <v>272</v>
      </c>
      <c r="X150" s="11"/>
      <c r="Y150" s="11" t="s">
        <v>274</v>
      </c>
      <c r="Z150" s="73">
        <v>15</v>
      </c>
      <c r="AA150" s="73"/>
      <c r="AB150" s="11" t="s">
        <v>272</v>
      </c>
      <c r="AC150" s="11"/>
      <c r="AD150" s="11"/>
      <c r="AE150" s="11"/>
      <c r="AF150" s="11"/>
      <c r="AG150" s="11"/>
      <c r="AH150" s="11"/>
      <c r="AI150" s="11"/>
      <c r="AJ150" s="11"/>
      <c r="AK150" s="11"/>
      <c r="AL150" s="11"/>
      <c r="AM150" s="11"/>
      <c r="AN150" s="11"/>
      <c r="AO150" s="11"/>
      <c r="AP150" s="11"/>
      <c r="AQ150" s="11"/>
      <c r="AR150" s="11"/>
      <c r="AS150" s="11"/>
      <c r="AT150" s="11"/>
      <c r="AU150" s="11"/>
      <c r="AV150" s="11"/>
      <c r="AW150" s="11"/>
      <c r="AX150" s="11"/>
      <c r="AY150" s="11"/>
      <c r="AZ150" s="11"/>
      <c r="BA150" s="12"/>
      <c r="BB150" s="63" t="s">
        <v>276</v>
      </c>
      <c r="BC150" s="63"/>
      <c r="BD150" s="63"/>
      <c r="BE150" s="63" cm="1">
        <f t="array" ref="BE150">INDEX(BP69:BP79,MATCH(C51,BO69:BO79,0),0)*3*2</f>
        <v>18</v>
      </c>
      <c r="BF150" s="63"/>
      <c r="BG150" s="63"/>
      <c r="BH150" s="62" t="s">
        <v>276</v>
      </c>
      <c r="BI150" s="62"/>
      <c r="BJ150" s="62"/>
      <c r="BK150" s="62" t="s">
        <v>276</v>
      </c>
      <c r="BL150" s="62"/>
      <c r="BM150" s="62"/>
      <c r="BN150" s="83">
        <f t="shared" si="10"/>
        <v>84.78</v>
      </c>
      <c r="BO150" s="83"/>
      <c r="BP150" s="83"/>
      <c r="BQ150" s="83"/>
      <c r="BR150" s="84">
        <v>28</v>
      </c>
      <c r="BS150" s="84"/>
      <c r="BT150" s="84"/>
      <c r="BU150" s="84"/>
      <c r="BV150" s="84"/>
      <c r="BW150" s="84"/>
      <c r="BX150" s="85">
        <f t="shared" si="3"/>
        <v>2373.84</v>
      </c>
      <c r="BY150" s="85"/>
      <c r="BZ150" s="85"/>
      <c r="CA150" s="85"/>
      <c r="CB150" s="86"/>
      <c r="CQ150" s="20" t="s">
        <v>356</v>
      </c>
      <c r="CR150" s="3">
        <v>12.5</v>
      </c>
    </row>
    <row r="151" spans="2:96" x14ac:dyDescent="0.2">
      <c r="B151" s="71" t="s">
        <v>467</v>
      </c>
      <c r="C151" s="72"/>
      <c r="D151" s="72"/>
      <c r="E151" s="72"/>
      <c r="F151" s="72"/>
      <c r="G151" s="72"/>
      <c r="H151" s="72"/>
      <c r="I151" s="72"/>
      <c r="J151" s="72"/>
      <c r="K151" s="72"/>
      <c r="L151" s="72"/>
      <c r="M151" s="72"/>
      <c r="N151" s="72"/>
      <c r="O151" s="13" t="s">
        <v>271</v>
      </c>
      <c r="P151" s="73">
        <v>200</v>
      </c>
      <c r="Q151" s="73"/>
      <c r="R151" s="11" t="s">
        <v>272</v>
      </c>
      <c r="S151" s="11"/>
      <c r="T151" s="11" t="s">
        <v>273</v>
      </c>
      <c r="U151" s="73">
        <v>200</v>
      </c>
      <c r="V151" s="73"/>
      <c r="W151" s="11" t="s">
        <v>272</v>
      </c>
      <c r="X151" s="11"/>
      <c r="Y151" s="11" t="s">
        <v>274</v>
      </c>
      <c r="Z151" s="73">
        <v>10</v>
      </c>
      <c r="AA151" s="73"/>
      <c r="AB151" s="11" t="s">
        <v>272</v>
      </c>
      <c r="AC151" s="11"/>
      <c r="AD151" s="11"/>
      <c r="AE151" s="11"/>
      <c r="AF151" s="11"/>
      <c r="AG151" s="11"/>
      <c r="AH151" s="11"/>
      <c r="AI151" s="11"/>
      <c r="AJ151" s="11"/>
      <c r="AK151" s="11"/>
      <c r="AL151" s="11"/>
      <c r="AM151" s="11"/>
      <c r="AN151" s="11"/>
      <c r="AO151" s="11"/>
      <c r="AP151" s="11"/>
      <c r="AQ151" s="11"/>
      <c r="AR151" s="11"/>
      <c r="AS151" s="11"/>
      <c r="AT151" s="11"/>
      <c r="AU151" s="11"/>
      <c r="AV151" s="11"/>
      <c r="AW151" s="11"/>
      <c r="AX151" s="11"/>
      <c r="AY151" s="11"/>
      <c r="AZ151" s="11"/>
      <c r="BA151" s="12"/>
      <c r="BB151" s="63" t="s">
        <v>276</v>
      </c>
      <c r="BC151" s="63"/>
      <c r="BD151" s="63"/>
      <c r="BE151" s="63" cm="1">
        <f t="array" ref="BE151">INDEX(BP69:BP79,MATCH(C51,BO69:BO79,0),0)*2*2+INDEX(BQ69:BQ79,MATCH(C51,BO69:BO79,0),0)*2</f>
        <v>20</v>
      </c>
      <c r="BF151" s="63"/>
      <c r="BG151" s="63"/>
      <c r="BH151" s="62" t="s">
        <v>276</v>
      </c>
      <c r="BI151" s="62"/>
      <c r="BJ151" s="62"/>
      <c r="BK151" s="62" t="s">
        <v>276</v>
      </c>
      <c r="BL151" s="62"/>
      <c r="BM151" s="62"/>
      <c r="BN151" s="83">
        <f t="shared" si="10"/>
        <v>62.800000000000004</v>
      </c>
      <c r="BO151" s="83"/>
      <c r="BP151" s="83"/>
      <c r="BQ151" s="83"/>
      <c r="BR151" s="84">
        <v>28</v>
      </c>
      <c r="BS151" s="84"/>
      <c r="BT151" s="84"/>
      <c r="BU151" s="84"/>
      <c r="BV151" s="84"/>
      <c r="BW151" s="84"/>
      <c r="BX151" s="85">
        <f t="shared" si="3"/>
        <v>1758.4</v>
      </c>
      <c r="BY151" s="85"/>
      <c r="BZ151" s="85"/>
      <c r="CA151" s="85"/>
      <c r="CB151" s="86"/>
      <c r="CQ151" s="20" t="s">
        <v>357</v>
      </c>
      <c r="CR151" s="3">
        <v>15.4</v>
      </c>
    </row>
    <row r="152" spans="2:96" x14ac:dyDescent="0.2">
      <c r="B152" s="71" t="s">
        <v>480</v>
      </c>
      <c r="C152" s="72"/>
      <c r="D152" s="72"/>
      <c r="E152" s="72"/>
      <c r="F152" s="72"/>
      <c r="G152" s="72"/>
      <c r="H152" s="72"/>
      <c r="I152" s="72"/>
      <c r="J152" s="72"/>
      <c r="K152" s="72"/>
      <c r="L152" s="72"/>
      <c r="M152" s="72"/>
      <c r="N152" s="72"/>
      <c r="O152" s="13" t="s">
        <v>271</v>
      </c>
      <c r="P152" s="73">
        <v>100</v>
      </c>
      <c r="Q152" s="73"/>
      <c r="R152" s="11" t="s">
        <v>272</v>
      </c>
      <c r="S152" s="11"/>
      <c r="T152" s="11" t="s">
        <v>273</v>
      </c>
      <c r="U152" s="73">
        <v>100</v>
      </c>
      <c r="V152" s="73"/>
      <c r="W152" s="11" t="s">
        <v>272</v>
      </c>
      <c r="X152" s="11"/>
      <c r="Y152" s="11" t="s">
        <v>274</v>
      </c>
      <c r="Z152" s="73">
        <v>10</v>
      </c>
      <c r="AA152" s="73"/>
      <c r="AB152" s="11" t="s">
        <v>272</v>
      </c>
      <c r="AC152" s="11"/>
      <c r="AD152" s="11"/>
      <c r="AE152" s="11"/>
      <c r="AF152" s="11"/>
      <c r="AG152" s="11"/>
      <c r="AH152" s="11"/>
      <c r="AI152" s="11"/>
      <c r="AJ152" s="11"/>
      <c r="AK152" s="11"/>
      <c r="AL152" s="11"/>
      <c r="AM152" s="11"/>
      <c r="AN152" s="11"/>
      <c r="AO152" s="11"/>
      <c r="AP152" s="11"/>
      <c r="AQ152" s="11"/>
      <c r="AR152" s="11"/>
      <c r="AS152" s="11"/>
      <c r="AT152" s="11"/>
      <c r="AU152" s="11"/>
      <c r="AV152" s="11"/>
      <c r="AW152" s="11"/>
      <c r="AX152" s="11"/>
      <c r="AY152" s="11"/>
      <c r="AZ152" s="11"/>
      <c r="BA152" s="12"/>
      <c r="BB152" s="63" t="s">
        <v>276</v>
      </c>
      <c r="BC152" s="63"/>
      <c r="BD152" s="63"/>
      <c r="BE152" s="63" cm="1">
        <f t="array" ref="BE152">((C51)*4+INDEX(BP69:BP79,MATCH(C51,BO69:BO79,0),0)*4)*2</f>
        <v>80</v>
      </c>
      <c r="BF152" s="63"/>
      <c r="BG152" s="63"/>
      <c r="BH152" s="62" t="s">
        <v>276</v>
      </c>
      <c r="BI152" s="62"/>
      <c r="BJ152" s="62"/>
      <c r="BK152" s="62" t="s">
        <v>276</v>
      </c>
      <c r="BL152" s="62"/>
      <c r="BM152" s="62"/>
      <c r="BN152" s="83">
        <f t="shared" si="10"/>
        <v>62.800000000000004</v>
      </c>
      <c r="BO152" s="83"/>
      <c r="BP152" s="83"/>
      <c r="BQ152" s="83"/>
      <c r="BR152" s="84">
        <v>28</v>
      </c>
      <c r="BS152" s="84"/>
      <c r="BT152" s="84"/>
      <c r="BU152" s="84"/>
      <c r="BV152" s="84"/>
      <c r="BW152" s="84"/>
      <c r="BX152" s="85">
        <f t="shared" ref="BX152" si="11">BR152*BN152</f>
        <v>1758.4</v>
      </c>
      <c r="BY152" s="85"/>
      <c r="BZ152" s="85"/>
      <c r="CA152" s="85"/>
      <c r="CB152" s="86"/>
      <c r="CQ152" s="20" t="s">
        <v>358</v>
      </c>
      <c r="CR152" s="3">
        <v>18.3</v>
      </c>
    </row>
    <row r="153" spans="2:96" x14ac:dyDescent="0.2">
      <c r="B153" s="71" t="s">
        <v>475</v>
      </c>
      <c r="C153" s="72"/>
      <c r="D153" s="72"/>
      <c r="E153" s="72"/>
      <c r="F153" s="72"/>
      <c r="G153" s="72"/>
      <c r="H153" s="72"/>
      <c r="I153" s="72"/>
      <c r="J153" s="72"/>
      <c r="K153" s="72"/>
      <c r="L153" s="72"/>
      <c r="M153" s="72"/>
      <c r="N153" s="72"/>
      <c r="O153" s="13" t="s">
        <v>271</v>
      </c>
      <c r="P153" s="73">
        <v>80</v>
      </c>
      <c r="Q153" s="73"/>
      <c r="R153" s="11" t="s">
        <v>272</v>
      </c>
      <c r="S153" s="11"/>
      <c r="T153" s="11" t="s">
        <v>273</v>
      </c>
      <c r="U153" s="73">
        <v>80</v>
      </c>
      <c r="V153" s="73"/>
      <c r="W153" s="11" t="s">
        <v>272</v>
      </c>
      <c r="X153" s="11"/>
      <c r="Y153" s="11" t="s">
        <v>274</v>
      </c>
      <c r="Z153" s="73">
        <v>5</v>
      </c>
      <c r="AA153" s="73"/>
      <c r="AB153" s="11" t="s">
        <v>272</v>
      </c>
      <c r="AC153" s="11"/>
      <c r="AD153" s="11"/>
      <c r="AE153" s="11"/>
      <c r="AF153" s="11"/>
      <c r="AG153" s="11"/>
      <c r="AH153" s="11"/>
      <c r="AI153" s="11"/>
      <c r="AJ153" s="11"/>
      <c r="AK153" s="11"/>
      <c r="AL153" s="11"/>
      <c r="AM153" s="11"/>
      <c r="AN153" s="11"/>
      <c r="AO153" s="11"/>
      <c r="AP153" s="11"/>
      <c r="AQ153" s="11"/>
      <c r="AR153" s="11"/>
      <c r="AS153" s="11"/>
      <c r="AT153" s="11"/>
      <c r="AU153" s="11"/>
      <c r="AV153" s="11"/>
      <c r="AW153" s="11"/>
      <c r="AX153" s="11"/>
      <c r="AY153" s="11"/>
      <c r="AZ153" s="11"/>
      <c r="BA153" s="12"/>
      <c r="BB153" s="63" t="s">
        <v>276</v>
      </c>
      <c r="BC153" s="63"/>
      <c r="BD153" s="63"/>
      <c r="BE153" s="63">
        <f>(C51+1)*AL33</f>
        <v>80</v>
      </c>
      <c r="BF153" s="63"/>
      <c r="BG153" s="63"/>
      <c r="BH153" s="62" t="s">
        <v>276</v>
      </c>
      <c r="BI153" s="62"/>
      <c r="BJ153" s="62"/>
      <c r="BK153" s="62" t="s">
        <v>276</v>
      </c>
      <c r="BL153" s="62"/>
      <c r="BM153" s="62"/>
      <c r="BN153" s="83">
        <f t="shared" si="10"/>
        <v>20.095999999999997</v>
      </c>
      <c r="BO153" s="83"/>
      <c r="BP153" s="83"/>
      <c r="BQ153" s="83"/>
      <c r="BR153" s="84">
        <v>28</v>
      </c>
      <c r="BS153" s="84"/>
      <c r="BT153" s="84"/>
      <c r="BU153" s="84"/>
      <c r="BV153" s="84"/>
      <c r="BW153" s="84"/>
      <c r="BX153" s="85">
        <f t="shared" ref="BX153" si="12">BR153*BN153</f>
        <v>562.68799999999987</v>
      </c>
      <c r="BY153" s="85"/>
      <c r="BZ153" s="85"/>
      <c r="CA153" s="85"/>
      <c r="CB153" s="86"/>
      <c r="CQ153" s="20" t="s">
        <v>359</v>
      </c>
      <c r="CR153" s="3">
        <v>16.600000000000001</v>
      </c>
    </row>
    <row r="154" spans="2:96" x14ac:dyDescent="0.2">
      <c r="B154" s="71" t="s">
        <v>482</v>
      </c>
      <c r="C154" s="72"/>
      <c r="D154" s="72"/>
      <c r="E154" s="72"/>
      <c r="F154" s="72"/>
      <c r="G154" s="72"/>
      <c r="H154" s="72"/>
      <c r="I154" s="72"/>
      <c r="J154" s="72"/>
      <c r="K154" s="72"/>
      <c r="L154" s="72"/>
      <c r="M154" s="72"/>
      <c r="N154" s="72"/>
      <c r="O154" s="13" t="s">
        <v>271</v>
      </c>
      <c r="P154" s="73">
        <v>80</v>
      </c>
      <c r="Q154" s="73"/>
      <c r="R154" s="11" t="s">
        <v>272</v>
      </c>
      <c r="S154" s="11"/>
      <c r="T154" s="11" t="s">
        <v>273</v>
      </c>
      <c r="U154" s="73">
        <v>80</v>
      </c>
      <c r="V154" s="73"/>
      <c r="W154" s="11" t="s">
        <v>272</v>
      </c>
      <c r="X154" s="11"/>
      <c r="Y154" s="11" t="s">
        <v>274</v>
      </c>
      <c r="Z154" s="73">
        <v>5</v>
      </c>
      <c r="AA154" s="73"/>
      <c r="AB154" s="11" t="s">
        <v>272</v>
      </c>
      <c r="AC154" s="11"/>
      <c r="AD154" s="11"/>
      <c r="AE154" s="11"/>
      <c r="AF154" s="11"/>
      <c r="AG154" s="11"/>
      <c r="AH154" s="11"/>
      <c r="AI154" s="11"/>
      <c r="AJ154" s="11"/>
      <c r="AK154" s="11"/>
      <c r="AL154" s="11"/>
      <c r="AM154" s="11"/>
      <c r="AN154" s="11"/>
      <c r="AO154" s="11"/>
      <c r="AP154" s="11"/>
      <c r="AQ154" s="11"/>
      <c r="AR154" s="11"/>
      <c r="AS154" s="11"/>
      <c r="AT154" s="11"/>
      <c r="AU154" s="11"/>
      <c r="AV154" s="11"/>
      <c r="AW154" s="11"/>
      <c r="AX154" s="11"/>
      <c r="AY154" s="11"/>
      <c r="AZ154" s="11"/>
      <c r="BA154" s="12"/>
      <c r="BB154" s="63" t="s">
        <v>276</v>
      </c>
      <c r="BC154" s="63"/>
      <c r="BD154" s="63"/>
      <c r="BE154" s="63" cm="1">
        <f t="array" ref="BE154">INDEX(BP69:BP79,MATCH(C51,BO69:BO79,0),0)*8*2</f>
        <v>48</v>
      </c>
      <c r="BF154" s="63"/>
      <c r="BG154" s="63"/>
      <c r="BH154" s="62" t="s">
        <v>276</v>
      </c>
      <c r="BI154" s="62"/>
      <c r="BJ154" s="62"/>
      <c r="BK154" s="62" t="s">
        <v>276</v>
      </c>
      <c r="BL154" s="62"/>
      <c r="BM154" s="62"/>
      <c r="BN154" s="83">
        <f t="shared" si="10"/>
        <v>12.057599999999999</v>
      </c>
      <c r="BO154" s="83"/>
      <c r="BP154" s="83"/>
      <c r="BQ154" s="83"/>
      <c r="BR154" s="84">
        <v>28</v>
      </c>
      <c r="BS154" s="84"/>
      <c r="BT154" s="84"/>
      <c r="BU154" s="84"/>
      <c r="BV154" s="84"/>
      <c r="BW154" s="84"/>
      <c r="BX154" s="85">
        <f t="shared" ref="BX154" si="13">BR154*BN154</f>
        <v>337.61279999999999</v>
      </c>
      <c r="BY154" s="85"/>
      <c r="BZ154" s="85"/>
      <c r="CA154" s="85"/>
      <c r="CB154" s="86"/>
      <c r="CQ154" s="20" t="s">
        <v>360</v>
      </c>
      <c r="CR154" s="3">
        <v>19.7</v>
      </c>
    </row>
    <row r="155" spans="2:96" x14ac:dyDescent="0.2">
      <c r="B155" s="71" t="s">
        <v>476</v>
      </c>
      <c r="C155" s="72"/>
      <c r="D155" s="72"/>
      <c r="E155" s="72"/>
      <c r="F155" s="72"/>
      <c r="G155" s="72"/>
      <c r="H155" s="72"/>
      <c r="I155" s="72"/>
      <c r="J155" s="72"/>
      <c r="K155" s="72"/>
      <c r="L155" s="72"/>
      <c r="M155" s="72"/>
      <c r="N155" s="72"/>
      <c r="O155" s="13" t="s">
        <v>271</v>
      </c>
      <c r="P155" s="73">
        <v>80</v>
      </c>
      <c r="Q155" s="73"/>
      <c r="R155" s="11" t="s">
        <v>272</v>
      </c>
      <c r="S155" s="11"/>
      <c r="T155" s="11" t="s">
        <v>273</v>
      </c>
      <c r="U155" s="73">
        <v>80</v>
      </c>
      <c r="V155" s="73"/>
      <c r="W155" s="11" t="s">
        <v>272</v>
      </c>
      <c r="X155" s="11"/>
      <c r="Y155" s="11" t="s">
        <v>274</v>
      </c>
      <c r="Z155" s="73">
        <v>5</v>
      </c>
      <c r="AA155" s="73"/>
      <c r="AB155" s="11" t="s">
        <v>272</v>
      </c>
      <c r="AC155" s="11"/>
      <c r="AD155" s="11"/>
      <c r="AE155" s="11"/>
      <c r="AF155" s="11"/>
      <c r="AG155" s="11"/>
      <c r="AH155" s="11"/>
      <c r="AI155" s="11"/>
      <c r="AJ155" s="11"/>
      <c r="AK155" s="11"/>
      <c r="AL155" s="11"/>
      <c r="AM155" s="11"/>
      <c r="AN155" s="11"/>
      <c r="AO155" s="11"/>
      <c r="AP155" s="11"/>
      <c r="AQ155" s="11"/>
      <c r="AR155" s="11"/>
      <c r="AS155" s="11"/>
      <c r="AT155" s="11"/>
      <c r="AU155" s="11"/>
      <c r="AV155" s="11"/>
      <c r="AW155" s="11"/>
      <c r="AX155" s="11"/>
      <c r="AY155" s="11"/>
      <c r="AZ155" s="11"/>
      <c r="BA155" s="12"/>
      <c r="BB155" s="63" t="s">
        <v>276</v>
      </c>
      <c r="BC155" s="63"/>
      <c r="BD155" s="63"/>
      <c r="BE155" s="63" cm="1">
        <f t="array" ref="BE155">INDEX(BQ69:BQ79,MATCH(C51,BO69:BO79,0),0)*2*3*2</f>
        <v>48</v>
      </c>
      <c r="BF155" s="63"/>
      <c r="BG155" s="63"/>
      <c r="BH155" s="62" t="s">
        <v>276</v>
      </c>
      <c r="BI155" s="62"/>
      <c r="BJ155" s="62"/>
      <c r="BK155" s="62" t="s">
        <v>276</v>
      </c>
      <c r="BL155" s="62"/>
      <c r="BM155" s="62"/>
      <c r="BN155" s="83">
        <f t="shared" si="10"/>
        <v>12.057599999999999</v>
      </c>
      <c r="BO155" s="83"/>
      <c r="BP155" s="83"/>
      <c r="BQ155" s="83"/>
      <c r="BR155" s="84">
        <v>28</v>
      </c>
      <c r="BS155" s="84"/>
      <c r="BT155" s="84"/>
      <c r="BU155" s="84"/>
      <c r="BV155" s="84"/>
      <c r="BW155" s="84"/>
      <c r="BX155" s="85">
        <f t="shared" ref="BX155" si="14">BR155*BN155</f>
        <v>337.61279999999999</v>
      </c>
      <c r="BY155" s="85"/>
      <c r="BZ155" s="85"/>
      <c r="CA155" s="85"/>
      <c r="CB155" s="86"/>
      <c r="CQ155" s="20" t="s">
        <v>361</v>
      </c>
      <c r="CR155" s="3">
        <v>15.3</v>
      </c>
    </row>
    <row r="156" spans="2:96" x14ac:dyDescent="0.2">
      <c r="B156" s="71" t="s">
        <v>477</v>
      </c>
      <c r="C156" s="72"/>
      <c r="D156" s="72"/>
      <c r="E156" s="72"/>
      <c r="F156" s="72"/>
      <c r="G156" s="72"/>
      <c r="H156" s="72"/>
      <c r="I156" s="72"/>
      <c r="J156" s="72"/>
      <c r="K156" s="72"/>
      <c r="L156" s="72"/>
      <c r="M156" s="72"/>
      <c r="N156" s="72"/>
      <c r="O156" s="13" t="s">
        <v>271</v>
      </c>
      <c r="P156" s="73">
        <v>80</v>
      </c>
      <c r="Q156" s="73"/>
      <c r="R156" s="11" t="s">
        <v>272</v>
      </c>
      <c r="S156" s="11"/>
      <c r="T156" s="11" t="s">
        <v>273</v>
      </c>
      <c r="U156" s="73">
        <v>80</v>
      </c>
      <c r="V156" s="73"/>
      <c r="W156" s="11" t="s">
        <v>272</v>
      </c>
      <c r="X156" s="11"/>
      <c r="Y156" s="11" t="s">
        <v>274</v>
      </c>
      <c r="Z156" s="73">
        <v>5</v>
      </c>
      <c r="AA156" s="73"/>
      <c r="AB156" s="11" t="s">
        <v>272</v>
      </c>
      <c r="AC156" s="11"/>
      <c r="AD156" s="11"/>
      <c r="AE156" s="11"/>
      <c r="AF156" s="11"/>
      <c r="AG156" s="11"/>
      <c r="AH156" s="11"/>
      <c r="AI156" s="11"/>
      <c r="AJ156" s="11"/>
      <c r="AK156" s="11"/>
      <c r="AL156" s="11"/>
      <c r="AM156" s="11"/>
      <c r="AN156" s="11"/>
      <c r="AO156" s="11"/>
      <c r="AP156" s="11"/>
      <c r="AQ156" s="11"/>
      <c r="AR156" s="11"/>
      <c r="AS156" s="11"/>
      <c r="AT156" s="11"/>
      <c r="AU156" s="11"/>
      <c r="AV156" s="11"/>
      <c r="AW156" s="11"/>
      <c r="AX156" s="11"/>
      <c r="AY156" s="11"/>
      <c r="AZ156" s="11"/>
      <c r="BA156" s="12"/>
      <c r="BB156" s="63" t="s">
        <v>276</v>
      </c>
      <c r="BC156" s="63"/>
      <c r="BD156" s="63"/>
      <c r="BE156" s="63">
        <f>36*2+IF((D75+D78)&lt;AH76,4,8)*2</f>
        <v>88</v>
      </c>
      <c r="BF156" s="63"/>
      <c r="BG156" s="63"/>
      <c r="BH156" s="62" t="s">
        <v>276</v>
      </c>
      <c r="BI156" s="62"/>
      <c r="BJ156" s="62"/>
      <c r="BK156" s="62" t="s">
        <v>276</v>
      </c>
      <c r="BL156" s="62"/>
      <c r="BM156" s="62"/>
      <c r="BN156" s="83">
        <f t="shared" si="10"/>
        <v>22.105599999999999</v>
      </c>
      <c r="BO156" s="83"/>
      <c r="BP156" s="83"/>
      <c r="BQ156" s="83"/>
      <c r="BR156" s="84">
        <v>28</v>
      </c>
      <c r="BS156" s="84"/>
      <c r="BT156" s="84"/>
      <c r="BU156" s="84"/>
      <c r="BV156" s="84"/>
      <c r="BW156" s="84"/>
      <c r="BX156" s="85">
        <f t="shared" ref="BX156" si="15">BR156*BN156</f>
        <v>618.95679999999993</v>
      </c>
      <c r="BY156" s="85"/>
      <c r="BZ156" s="85"/>
      <c r="CA156" s="85"/>
      <c r="CB156" s="86"/>
      <c r="CQ156" s="20" t="s">
        <v>362</v>
      </c>
      <c r="CR156" s="3">
        <v>18.600000000000001</v>
      </c>
    </row>
    <row r="157" spans="2:96" x14ac:dyDescent="0.2">
      <c r="B157" s="71" t="s">
        <v>560</v>
      </c>
      <c r="C157" s="72"/>
      <c r="D157" s="72"/>
      <c r="E157" s="72"/>
      <c r="F157" s="72"/>
      <c r="G157" s="72"/>
      <c r="H157" s="72"/>
      <c r="I157" s="72"/>
      <c r="J157" s="72"/>
      <c r="K157" s="72"/>
      <c r="L157" s="72"/>
      <c r="M157" s="72"/>
      <c r="N157" s="72"/>
      <c r="O157" s="13" t="s">
        <v>271</v>
      </c>
      <c r="P157" s="73">
        <v>800</v>
      </c>
      <c r="Q157" s="73"/>
      <c r="R157" s="11" t="s">
        <v>272</v>
      </c>
      <c r="S157" s="11"/>
      <c r="T157" s="11" t="s">
        <v>273</v>
      </c>
      <c r="U157" s="73">
        <v>250</v>
      </c>
      <c r="V157" s="73"/>
      <c r="W157" s="11" t="s">
        <v>272</v>
      </c>
      <c r="X157" s="11"/>
      <c r="Y157" s="11" t="s">
        <v>274</v>
      </c>
      <c r="Z157" s="73">
        <v>15</v>
      </c>
      <c r="AA157" s="73"/>
      <c r="AB157" s="11" t="s">
        <v>272</v>
      </c>
      <c r="AC157" s="11"/>
      <c r="AD157" s="11"/>
      <c r="AE157" s="11"/>
      <c r="AF157" s="11"/>
      <c r="AG157" s="11" t="s">
        <v>282</v>
      </c>
      <c r="AH157" s="11"/>
      <c r="AI157" s="11"/>
      <c r="AJ157" s="11"/>
      <c r="AK157" s="11"/>
      <c r="AL157" s="11"/>
      <c r="AM157" s="73">
        <v>2</v>
      </c>
      <c r="AN157" s="73"/>
      <c r="AO157" s="11" t="s">
        <v>433</v>
      </c>
      <c r="AP157" s="11"/>
      <c r="AQ157" s="11"/>
      <c r="AR157" s="11"/>
      <c r="AS157" s="11"/>
      <c r="AT157" s="11"/>
      <c r="AU157" s="11"/>
      <c r="AV157" s="11"/>
      <c r="AW157" s="11"/>
      <c r="AX157" s="11"/>
      <c r="AY157" s="11"/>
      <c r="AZ157" s="11"/>
      <c r="BA157" s="12"/>
      <c r="BB157" s="63" t="s">
        <v>276</v>
      </c>
      <c r="BC157" s="63"/>
      <c r="BD157" s="63"/>
      <c r="BE157" s="63">
        <f>(BE148+BE149)*AM157</f>
        <v>56</v>
      </c>
      <c r="BF157" s="63"/>
      <c r="BG157" s="63"/>
      <c r="BH157" s="62" t="s">
        <v>276</v>
      </c>
      <c r="BI157" s="62"/>
      <c r="BJ157" s="62"/>
      <c r="BK157" s="62" t="s">
        <v>276</v>
      </c>
      <c r="BL157" s="62"/>
      <c r="BM157" s="62"/>
      <c r="BN157" s="83">
        <f t="shared" ref="BN157" si="16">P157/1000*U157/1000*Z157/1000*7850*BE157</f>
        <v>1318.8</v>
      </c>
      <c r="BO157" s="83"/>
      <c r="BP157" s="83"/>
      <c r="BQ157" s="83"/>
      <c r="BR157" s="84">
        <v>28</v>
      </c>
      <c r="BS157" s="84"/>
      <c r="BT157" s="84"/>
      <c r="BU157" s="84"/>
      <c r="BV157" s="84"/>
      <c r="BW157" s="84"/>
      <c r="BX157" s="85">
        <f t="shared" ref="BX157" si="17">BR157*BN157</f>
        <v>36926.400000000001</v>
      </c>
      <c r="BY157" s="85"/>
      <c r="BZ157" s="85"/>
      <c r="CA157" s="85"/>
      <c r="CB157" s="86"/>
      <c r="CQ157" s="20" t="s">
        <v>363</v>
      </c>
      <c r="CR157" s="3">
        <v>18.2</v>
      </c>
    </row>
    <row r="158" spans="2:96" x14ac:dyDescent="0.2">
      <c r="B158" s="71" t="s">
        <v>572</v>
      </c>
      <c r="C158" s="72"/>
      <c r="D158" s="72"/>
      <c r="E158" s="72"/>
      <c r="F158" s="72"/>
      <c r="G158" s="72"/>
      <c r="H158" s="72"/>
      <c r="I158" s="72"/>
      <c r="J158" s="72"/>
      <c r="K158" s="72"/>
      <c r="L158" s="72"/>
      <c r="M158" s="72"/>
      <c r="N158" s="72"/>
      <c r="O158" s="13" t="s">
        <v>278</v>
      </c>
      <c r="P158" s="73">
        <v>20</v>
      </c>
      <c r="Q158" s="73"/>
      <c r="R158" s="11"/>
      <c r="S158" s="11" t="s">
        <v>282</v>
      </c>
      <c r="T158" s="11"/>
      <c r="U158" s="11"/>
      <c r="V158" s="11"/>
      <c r="W158" s="11"/>
      <c r="X158" s="11"/>
      <c r="Y158" s="73">
        <v>10</v>
      </c>
      <c r="Z158" s="73"/>
      <c r="AA158" s="11" t="s">
        <v>433</v>
      </c>
      <c r="AB158" s="11"/>
      <c r="AC158" s="11"/>
      <c r="AD158" s="11"/>
      <c r="AE158" s="11"/>
      <c r="AF158" s="11"/>
      <c r="AG158" s="11"/>
      <c r="AH158" s="11"/>
      <c r="AI158" s="11"/>
      <c r="AJ158" s="11"/>
      <c r="AK158" s="11"/>
      <c r="AL158" s="11"/>
      <c r="AM158" s="11"/>
      <c r="AN158" s="11"/>
      <c r="AO158" s="11"/>
      <c r="AP158" s="11"/>
      <c r="AQ158" s="11"/>
      <c r="AR158" s="11"/>
      <c r="AS158" s="11"/>
      <c r="AT158" s="11"/>
      <c r="AU158" s="11"/>
      <c r="AV158" s="11"/>
      <c r="AW158" s="11"/>
      <c r="AX158" s="11"/>
      <c r="AY158" s="11"/>
      <c r="AZ158" s="11"/>
      <c r="BA158" s="12"/>
      <c r="BB158" s="63" t="s">
        <v>276</v>
      </c>
      <c r="BC158" s="63"/>
      <c r="BD158" s="63"/>
      <c r="BE158" s="63">
        <f>(C51+1)*2*Y158</f>
        <v>160</v>
      </c>
      <c r="BF158" s="63"/>
      <c r="BG158" s="63"/>
      <c r="BH158" s="62" t="s">
        <v>276</v>
      </c>
      <c r="BI158" s="62"/>
      <c r="BJ158" s="62"/>
      <c r="BK158" s="62" t="s">
        <v>276</v>
      </c>
      <c r="BL158" s="62"/>
      <c r="BM158" s="62"/>
      <c r="BN158" s="63" t="s">
        <v>276</v>
      </c>
      <c r="BO158" s="63"/>
      <c r="BP158" s="63"/>
      <c r="BQ158" s="63"/>
      <c r="BR158" s="64">
        <v>105</v>
      </c>
      <c r="BS158" s="64"/>
      <c r="BT158" s="64"/>
      <c r="BU158" s="64"/>
      <c r="BV158" s="64"/>
      <c r="BW158" s="64"/>
      <c r="BX158" s="65">
        <f t="shared" ref="BX158:BX167" si="18">BR158*BE158</f>
        <v>16800</v>
      </c>
      <c r="BY158" s="65"/>
      <c r="BZ158" s="65"/>
      <c r="CA158" s="65"/>
      <c r="CB158" s="66"/>
      <c r="CQ158" s="20" t="s">
        <v>364</v>
      </c>
      <c r="CR158" s="3">
        <v>21.6</v>
      </c>
    </row>
    <row r="159" spans="2:96" x14ac:dyDescent="0.2">
      <c r="B159" s="71" t="s">
        <v>573</v>
      </c>
      <c r="C159" s="72"/>
      <c r="D159" s="72"/>
      <c r="E159" s="72"/>
      <c r="F159" s="72"/>
      <c r="G159" s="72"/>
      <c r="H159" s="72"/>
      <c r="I159" s="72"/>
      <c r="J159" s="72"/>
      <c r="K159" s="72"/>
      <c r="L159" s="72"/>
      <c r="M159" s="72"/>
      <c r="N159" s="72"/>
      <c r="O159" s="13" t="s">
        <v>278</v>
      </c>
      <c r="P159" s="73">
        <v>20</v>
      </c>
      <c r="Q159" s="73"/>
      <c r="R159" s="11"/>
      <c r="S159" s="11" t="s">
        <v>282</v>
      </c>
      <c r="T159" s="11"/>
      <c r="U159" s="11"/>
      <c r="V159" s="11"/>
      <c r="W159" s="11"/>
      <c r="X159" s="11"/>
      <c r="Y159" s="73">
        <v>10</v>
      </c>
      <c r="Z159" s="73"/>
      <c r="AA159" s="11" t="s">
        <v>433</v>
      </c>
      <c r="AB159" s="11"/>
      <c r="AC159" s="11"/>
      <c r="AD159" s="11"/>
      <c r="AE159" s="11"/>
      <c r="AF159" s="11"/>
      <c r="AG159" s="11"/>
      <c r="AH159" s="11"/>
      <c r="AI159" s="11"/>
      <c r="AJ159" s="11"/>
      <c r="AK159" s="11"/>
      <c r="AL159" s="11"/>
      <c r="AM159" s="11"/>
      <c r="AN159" s="11"/>
      <c r="AO159" s="11"/>
      <c r="AP159" s="11"/>
      <c r="AQ159" s="11"/>
      <c r="AR159" s="11"/>
      <c r="AS159" s="11"/>
      <c r="AT159" s="11"/>
      <c r="AU159" s="11"/>
      <c r="AV159" s="11"/>
      <c r="AW159" s="11"/>
      <c r="AX159" s="11"/>
      <c r="AY159" s="11"/>
      <c r="AZ159" s="11"/>
      <c r="BA159" s="12"/>
      <c r="BB159" s="63" t="s">
        <v>276</v>
      </c>
      <c r="BC159" s="63"/>
      <c r="BD159" s="63"/>
      <c r="BE159" s="63">
        <f>(C51+1)*Y159</f>
        <v>80</v>
      </c>
      <c r="BF159" s="63"/>
      <c r="BG159" s="63"/>
      <c r="BH159" s="62" t="s">
        <v>276</v>
      </c>
      <c r="BI159" s="62"/>
      <c r="BJ159" s="62"/>
      <c r="BK159" s="62" t="s">
        <v>276</v>
      </c>
      <c r="BL159" s="62"/>
      <c r="BM159" s="62"/>
      <c r="BN159" s="63" t="s">
        <v>276</v>
      </c>
      <c r="BO159" s="63"/>
      <c r="BP159" s="63"/>
      <c r="BQ159" s="63"/>
      <c r="BR159" s="64">
        <v>105</v>
      </c>
      <c r="BS159" s="64"/>
      <c r="BT159" s="64"/>
      <c r="BU159" s="64"/>
      <c r="BV159" s="64"/>
      <c r="BW159" s="64"/>
      <c r="BX159" s="65">
        <f t="shared" ref="BX159" si="19">BR159*BE159</f>
        <v>8400</v>
      </c>
      <c r="BY159" s="65"/>
      <c r="BZ159" s="65"/>
      <c r="CA159" s="65"/>
      <c r="CB159" s="66"/>
      <c r="CQ159" s="20" t="s">
        <v>365</v>
      </c>
      <c r="CR159" s="3">
        <v>19</v>
      </c>
    </row>
    <row r="160" spans="2:96" x14ac:dyDescent="0.2">
      <c r="B160" s="71" t="s">
        <v>481</v>
      </c>
      <c r="C160" s="72"/>
      <c r="D160" s="72"/>
      <c r="E160" s="72"/>
      <c r="F160" s="72"/>
      <c r="G160" s="72"/>
      <c r="H160" s="72"/>
      <c r="I160" s="72"/>
      <c r="J160" s="72"/>
      <c r="K160" s="72"/>
      <c r="L160" s="72"/>
      <c r="M160" s="72"/>
      <c r="N160" s="72"/>
      <c r="O160" s="13" t="s">
        <v>278</v>
      </c>
      <c r="P160" s="73">
        <v>16</v>
      </c>
      <c r="Q160" s="73"/>
      <c r="R160" s="11"/>
      <c r="S160" s="11" t="s">
        <v>282</v>
      </c>
      <c r="T160" s="11"/>
      <c r="U160" s="11"/>
      <c r="V160" s="11"/>
      <c r="W160" s="11"/>
      <c r="X160" s="11"/>
      <c r="Y160" s="73">
        <v>2</v>
      </c>
      <c r="Z160" s="73"/>
      <c r="AA160" s="11" t="s">
        <v>433</v>
      </c>
      <c r="AB160" s="11"/>
      <c r="AC160" s="11"/>
      <c r="AD160" s="11"/>
      <c r="AE160" s="11"/>
      <c r="AF160" s="11"/>
      <c r="AG160" s="11"/>
      <c r="AH160" s="11"/>
      <c r="AI160" s="11"/>
      <c r="AJ160" s="11"/>
      <c r="AK160" s="11"/>
      <c r="AL160" s="11"/>
      <c r="AM160" s="11"/>
      <c r="AN160" s="11"/>
      <c r="AO160" s="11"/>
      <c r="AP160" s="11"/>
      <c r="AQ160" s="11"/>
      <c r="AR160" s="11"/>
      <c r="AS160" s="11"/>
      <c r="AT160" s="11"/>
      <c r="AU160" s="11"/>
      <c r="AV160" s="11"/>
      <c r="AW160" s="11"/>
      <c r="AX160" s="11"/>
      <c r="AY160" s="11"/>
      <c r="AZ160" s="11"/>
      <c r="BA160" s="12"/>
      <c r="BB160" s="63" t="s">
        <v>276</v>
      </c>
      <c r="BC160" s="63"/>
      <c r="BD160" s="63"/>
      <c r="BE160" s="63" cm="1">
        <f t="array" ref="BE160">((C51)*4+INDEX(BP69:BP79,MATCH(C51,BO69:BO79,0),0)*4)*2*Y160</f>
        <v>160</v>
      </c>
      <c r="BF160" s="63"/>
      <c r="BG160" s="63"/>
      <c r="BH160" s="62" t="s">
        <v>276</v>
      </c>
      <c r="BI160" s="62"/>
      <c r="BJ160" s="62"/>
      <c r="BK160" s="62" t="s">
        <v>276</v>
      </c>
      <c r="BL160" s="62"/>
      <c r="BM160" s="62"/>
      <c r="BN160" s="63" t="s">
        <v>276</v>
      </c>
      <c r="BO160" s="63"/>
      <c r="BP160" s="63"/>
      <c r="BQ160" s="63"/>
      <c r="BR160" s="64">
        <v>105</v>
      </c>
      <c r="BS160" s="64"/>
      <c r="BT160" s="64"/>
      <c r="BU160" s="64"/>
      <c r="BV160" s="64"/>
      <c r="BW160" s="64"/>
      <c r="BX160" s="65">
        <f t="shared" si="18"/>
        <v>16800</v>
      </c>
      <c r="BY160" s="65"/>
      <c r="BZ160" s="65"/>
      <c r="CA160" s="65"/>
      <c r="CB160" s="66"/>
      <c r="CQ160" s="20" t="s">
        <v>366</v>
      </c>
      <c r="CR160" s="3">
        <v>22.6</v>
      </c>
    </row>
    <row r="161" spans="2:96" x14ac:dyDescent="0.2">
      <c r="B161" s="71" t="s">
        <v>474</v>
      </c>
      <c r="C161" s="72"/>
      <c r="D161" s="72"/>
      <c r="E161" s="72"/>
      <c r="F161" s="72"/>
      <c r="G161" s="72"/>
      <c r="H161" s="72"/>
      <c r="I161" s="72"/>
      <c r="J161" s="72"/>
      <c r="K161" s="72"/>
      <c r="L161" s="72"/>
      <c r="M161" s="72"/>
      <c r="N161" s="72"/>
      <c r="O161" s="13" t="s">
        <v>278</v>
      </c>
      <c r="P161" s="73">
        <v>12</v>
      </c>
      <c r="Q161" s="73"/>
      <c r="R161" s="11"/>
      <c r="S161" s="11" t="s">
        <v>282</v>
      </c>
      <c r="T161" s="11"/>
      <c r="U161" s="11"/>
      <c r="V161" s="11"/>
      <c r="W161" s="11"/>
      <c r="X161" s="11"/>
      <c r="Y161" s="73">
        <v>2</v>
      </c>
      <c r="Z161" s="73"/>
      <c r="AA161" s="11" t="s">
        <v>433</v>
      </c>
      <c r="AB161" s="11"/>
      <c r="AC161" s="11"/>
      <c r="AD161" s="11"/>
      <c r="AE161" s="11"/>
      <c r="AF161" s="11"/>
      <c r="AG161" s="11"/>
      <c r="AH161" s="11"/>
      <c r="AI161" s="11"/>
      <c r="AJ161" s="11"/>
      <c r="AK161" s="11"/>
      <c r="AL161" s="11"/>
      <c r="AM161" s="11"/>
      <c r="AN161" s="11"/>
      <c r="AO161" s="11"/>
      <c r="AP161" s="11"/>
      <c r="AQ161" s="11"/>
      <c r="AR161" s="11"/>
      <c r="AS161" s="11"/>
      <c r="AT161" s="11"/>
      <c r="AU161" s="11"/>
      <c r="AV161" s="11"/>
      <c r="AW161" s="11"/>
      <c r="AX161" s="11"/>
      <c r="AY161" s="11"/>
      <c r="AZ161" s="11"/>
      <c r="BA161" s="12"/>
      <c r="BB161" s="63" t="s">
        <v>276</v>
      </c>
      <c r="BC161" s="63"/>
      <c r="BD161" s="63"/>
      <c r="BE161" s="63">
        <f>(C51+1)*AL33*Y161</f>
        <v>160</v>
      </c>
      <c r="BF161" s="63"/>
      <c r="BG161" s="63"/>
      <c r="BH161" s="62" t="s">
        <v>276</v>
      </c>
      <c r="BI161" s="62"/>
      <c r="BJ161" s="62"/>
      <c r="BK161" s="62" t="s">
        <v>276</v>
      </c>
      <c r="BL161" s="62"/>
      <c r="BM161" s="62"/>
      <c r="BN161" s="63" t="s">
        <v>276</v>
      </c>
      <c r="BO161" s="63"/>
      <c r="BP161" s="63"/>
      <c r="BQ161" s="63"/>
      <c r="BR161" s="64">
        <v>105</v>
      </c>
      <c r="BS161" s="64"/>
      <c r="BT161" s="64"/>
      <c r="BU161" s="64"/>
      <c r="BV161" s="64"/>
      <c r="BW161" s="64"/>
      <c r="BX161" s="65">
        <f t="shared" si="18"/>
        <v>16800</v>
      </c>
      <c r="BY161" s="65"/>
      <c r="BZ161" s="65"/>
      <c r="CA161" s="65"/>
      <c r="CB161" s="66"/>
      <c r="CQ161" s="20" t="s">
        <v>367</v>
      </c>
      <c r="CR161" s="3">
        <v>26.1</v>
      </c>
    </row>
    <row r="162" spans="2:96" x14ac:dyDescent="0.2">
      <c r="B162" s="71" t="s">
        <v>568</v>
      </c>
      <c r="C162" s="72"/>
      <c r="D162" s="72"/>
      <c r="E162" s="72"/>
      <c r="F162" s="72"/>
      <c r="G162" s="72"/>
      <c r="H162" s="72"/>
      <c r="I162" s="72"/>
      <c r="J162" s="72"/>
      <c r="K162" s="72"/>
      <c r="L162" s="72"/>
      <c r="M162" s="72"/>
      <c r="N162" s="72"/>
      <c r="O162" s="13" t="s">
        <v>278</v>
      </c>
      <c r="P162" s="73">
        <v>16</v>
      </c>
      <c r="Q162" s="73"/>
      <c r="R162" s="11"/>
      <c r="S162" s="11" t="s">
        <v>282</v>
      </c>
      <c r="T162" s="11"/>
      <c r="U162" s="11"/>
      <c r="V162" s="11"/>
      <c r="W162" s="11"/>
      <c r="X162" s="11"/>
      <c r="Y162" s="73">
        <v>4</v>
      </c>
      <c r="Z162" s="73"/>
      <c r="AA162" s="11" t="s">
        <v>433</v>
      </c>
      <c r="AB162" s="11"/>
      <c r="AC162" s="11"/>
      <c r="AD162" s="11"/>
      <c r="AE162" s="11"/>
      <c r="AF162" s="11"/>
      <c r="AG162" s="11"/>
      <c r="AH162" s="11"/>
      <c r="AI162" s="11"/>
      <c r="AJ162" s="11"/>
      <c r="AK162" s="11"/>
      <c r="AL162" s="11"/>
      <c r="AM162" s="11"/>
      <c r="AN162" s="11"/>
      <c r="AO162" s="11"/>
      <c r="AP162" s="11"/>
      <c r="AQ162" s="11"/>
      <c r="AR162" s="11"/>
      <c r="AS162" s="11"/>
      <c r="AT162" s="11"/>
      <c r="AU162" s="11"/>
      <c r="AV162" s="11"/>
      <c r="AW162" s="11"/>
      <c r="AX162" s="11"/>
      <c r="AY162" s="11"/>
      <c r="AZ162" s="11"/>
      <c r="BA162" s="12"/>
      <c r="BB162" s="63" t="s">
        <v>276</v>
      </c>
      <c r="BC162" s="63"/>
      <c r="BD162" s="63"/>
      <c r="BE162" s="63" cm="1">
        <f t="array" ref="BE162">INDEX(BP69:BP79,MATCH(C51,BO69:BO79,0),0)*4*3*2*Y162</f>
        <v>288</v>
      </c>
      <c r="BF162" s="63"/>
      <c r="BG162" s="63"/>
      <c r="BH162" s="62" t="s">
        <v>276</v>
      </c>
      <c r="BI162" s="62"/>
      <c r="BJ162" s="62"/>
      <c r="BK162" s="62" t="s">
        <v>276</v>
      </c>
      <c r="BL162" s="62"/>
      <c r="BM162" s="62"/>
      <c r="BN162" s="63" t="s">
        <v>276</v>
      </c>
      <c r="BO162" s="63"/>
      <c r="BP162" s="63"/>
      <c r="BQ162" s="63"/>
      <c r="BR162" s="64">
        <v>105</v>
      </c>
      <c r="BS162" s="64"/>
      <c r="BT162" s="64"/>
      <c r="BU162" s="64"/>
      <c r="BV162" s="64"/>
      <c r="BW162" s="64"/>
      <c r="BX162" s="65">
        <f t="shared" si="18"/>
        <v>30240</v>
      </c>
      <c r="BY162" s="65"/>
      <c r="BZ162" s="65"/>
      <c r="CA162" s="65"/>
      <c r="CB162" s="66"/>
      <c r="CQ162" s="20" t="s">
        <v>368</v>
      </c>
      <c r="CR162" s="3">
        <v>18.2</v>
      </c>
    </row>
    <row r="163" spans="2:96" x14ac:dyDescent="0.2">
      <c r="B163" s="71" t="s">
        <v>569</v>
      </c>
      <c r="C163" s="72"/>
      <c r="D163" s="72"/>
      <c r="E163" s="72"/>
      <c r="F163" s="72"/>
      <c r="G163" s="72"/>
      <c r="H163" s="72"/>
      <c r="I163" s="72"/>
      <c r="J163" s="72"/>
      <c r="K163" s="72"/>
      <c r="L163" s="72"/>
      <c r="M163" s="72"/>
      <c r="N163" s="72"/>
      <c r="O163" s="13" t="s">
        <v>278</v>
      </c>
      <c r="P163" s="73">
        <v>16</v>
      </c>
      <c r="Q163" s="73"/>
      <c r="R163" s="11"/>
      <c r="S163" s="11" t="s">
        <v>282</v>
      </c>
      <c r="T163" s="11"/>
      <c r="U163" s="11"/>
      <c r="V163" s="11"/>
      <c r="W163" s="11"/>
      <c r="X163" s="11"/>
      <c r="Y163" s="73">
        <v>4</v>
      </c>
      <c r="Z163" s="73"/>
      <c r="AA163" s="11" t="s">
        <v>433</v>
      </c>
      <c r="AB163" s="11"/>
      <c r="AC163" s="11"/>
      <c r="AD163" s="11"/>
      <c r="AE163" s="11"/>
      <c r="AF163" s="11"/>
      <c r="AG163" s="11"/>
      <c r="AH163" s="11"/>
      <c r="AI163" s="11"/>
      <c r="AJ163" s="11"/>
      <c r="AK163" s="11"/>
      <c r="AL163" s="11"/>
      <c r="AM163" s="11"/>
      <c r="AN163" s="11"/>
      <c r="AO163" s="11"/>
      <c r="AP163" s="11"/>
      <c r="AQ163" s="11"/>
      <c r="AR163" s="11"/>
      <c r="AS163" s="11"/>
      <c r="AT163" s="11"/>
      <c r="AU163" s="11"/>
      <c r="AV163" s="11"/>
      <c r="AW163" s="11"/>
      <c r="AX163" s="11"/>
      <c r="AY163" s="11"/>
      <c r="AZ163" s="11"/>
      <c r="BA163" s="12"/>
      <c r="BB163" s="63" t="s">
        <v>276</v>
      </c>
      <c r="BC163" s="63"/>
      <c r="BD163" s="63"/>
      <c r="BE163" s="63" cm="1">
        <f t="array" ref="BE163">INDEX(BP69:BP79,MATCH(C51,BO69:BO79,0),0)*2*3*2*Y163</f>
        <v>144</v>
      </c>
      <c r="BF163" s="63"/>
      <c r="BG163" s="63"/>
      <c r="BH163" s="62" t="s">
        <v>276</v>
      </c>
      <c r="BI163" s="62"/>
      <c r="BJ163" s="62"/>
      <c r="BK163" s="62" t="s">
        <v>276</v>
      </c>
      <c r="BL163" s="62"/>
      <c r="BM163" s="62"/>
      <c r="BN163" s="63" t="s">
        <v>276</v>
      </c>
      <c r="BO163" s="63"/>
      <c r="BP163" s="63"/>
      <c r="BQ163" s="63"/>
      <c r="BR163" s="64">
        <v>105</v>
      </c>
      <c r="BS163" s="64"/>
      <c r="BT163" s="64"/>
      <c r="BU163" s="64"/>
      <c r="BV163" s="64"/>
      <c r="BW163" s="64"/>
      <c r="BX163" s="65">
        <f t="shared" ref="BX163" si="20">BR163*BE163</f>
        <v>15120</v>
      </c>
      <c r="BY163" s="65"/>
      <c r="BZ163" s="65"/>
      <c r="CA163" s="65"/>
      <c r="CB163" s="66"/>
      <c r="CQ163" s="20" t="s">
        <v>369</v>
      </c>
      <c r="CR163" s="3">
        <v>21.6</v>
      </c>
    </row>
    <row r="164" spans="2:96" x14ac:dyDescent="0.2">
      <c r="B164" s="71" t="s">
        <v>478</v>
      </c>
      <c r="C164" s="72"/>
      <c r="D164" s="72"/>
      <c r="E164" s="72"/>
      <c r="F164" s="72"/>
      <c r="G164" s="72"/>
      <c r="H164" s="72"/>
      <c r="I164" s="72"/>
      <c r="J164" s="72"/>
      <c r="K164" s="72"/>
      <c r="L164" s="72"/>
      <c r="M164" s="72"/>
      <c r="N164" s="72"/>
      <c r="O164" s="13" t="s">
        <v>278</v>
      </c>
      <c r="P164" s="73">
        <v>12</v>
      </c>
      <c r="Q164" s="73"/>
      <c r="R164" s="11"/>
      <c r="S164" s="11" t="s">
        <v>282</v>
      </c>
      <c r="T164" s="11"/>
      <c r="U164" s="11"/>
      <c r="V164" s="11"/>
      <c r="W164" s="11"/>
      <c r="X164" s="11"/>
      <c r="Y164" s="73">
        <v>4</v>
      </c>
      <c r="Z164" s="73"/>
      <c r="AA164" s="11" t="s">
        <v>433</v>
      </c>
      <c r="AB164" s="11"/>
      <c r="AC164" s="11"/>
      <c r="AD164" s="11"/>
      <c r="AE164" s="11"/>
      <c r="AF164" s="11"/>
      <c r="AG164" s="11"/>
      <c r="AH164" s="11"/>
      <c r="AI164" s="11"/>
      <c r="AJ164" s="11"/>
      <c r="AK164" s="11"/>
      <c r="AL164" s="11"/>
      <c r="AM164" s="11"/>
      <c r="AN164" s="11"/>
      <c r="AO164" s="11"/>
      <c r="AP164" s="11"/>
      <c r="AQ164" s="11"/>
      <c r="AR164" s="11"/>
      <c r="AS164" s="11"/>
      <c r="AT164" s="11"/>
      <c r="AU164" s="11"/>
      <c r="AV164" s="11"/>
      <c r="AW164" s="11"/>
      <c r="AX164" s="11"/>
      <c r="AY164" s="11"/>
      <c r="AZ164" s="11"/>
      <c r="BA164" s="12"/>
      <c r="BB164" s="63" t="s">
        <v>276</v>
      </c>
      <c r="BC164" s="63"/>
      <c r="BD164" s="63"/>
      <c r="BE164" s="63" cm="1">
        <f t="array" ref="BE164">INDEX(BQ69:BQ79,MATCH(C51,BO69:BO79,0),0)*2*3*2*Y164</f>
        <v>192</v>
      </c>
      <c r="BF164" s="63"/>
      <c r="BG164" s="63"/>
      <c r="BH164" s="62" t="s">
        <v>276</v>
      </c>
      <c r="BI164" s="62"/>
      <c r="BJ164" s="62"/>
      <c r="BK164" s="62" t="s">
        <v>276</v>
      </c>
      <c r="BL164" s="62"/>
      <c r="BM164" s="62"/>
      <c r="BN164" s="63" t="s">
        <v>276</v>
      </c>
      <c r="BO164" s="63"/>
      <c r="BP164" s="63"/>
      <c r="BQ164" s="63"/>
      <c r="BR164" s="64">
        <v>105</v>
      </c>
      <c r="BS164" s="64"/>
      <c r="BT164" s="64"/>
      <c r="BU164" s="64"/>
      <c r="BV164" s="64"/>
      <c r="BW164" s="64"/>
      <c r="BX164" s="65">
        <f t="shared" si="18"/>
        <v>20160</v>
      </c>
      <c r="BY164" s="65"/>
      <c r="BZ164" s="65"/>
      <c r="CA164" s="65"/>
      <c r="CB164" s="66"/>
      <c r="CQ164" s="20" t="s">
        <v>370</v>
      </c>
      <c r="CR164" s="3">
        <v>25</v>
      </c>
    </row>
    <row r="165" spans="2:96" x14ac:dyDescent="0.2">
      <c r="B165" s="71" t="s">
        <v>479</v>
      </c>
      <c r="C165" s="72"/>
      <c r="D165" s="72"/>
      <c r="E165" s="72"/>
      <c r="F165" s="72"/>
      <c r="G165" s="72"/>
      <c r="H165" s="72"/>
      <c r="I165" s="72"/>
      <c r="J165" s="72"/>
      <c r="K165" s="72"/>
      <c r="L165" s="72"/>
      <c r="M165" s="72"/>
      <c r="N165" s="72"/>
      <c r="O165" s="13" t="s">
        <v>278</v>
      </c>
      <c r="P165" s="73">
        <v>12</v>
      </c>
      <c r="Q165" s="73"/>
      <c r="R165" s="11"/>
      <c r="S165" s="11" t="s">
        <v>282</v>
      </c>
      <c r="T165" s="11"/>
      <c r="U165" s="11"/>
      <c r="V165" s="11"/>
      <c r="W165" s="11"/>
      <c r="X165" s="11"/>
      <c r="Y165" s="73">
        <v>4</v>
      </c>
      <c r="Z165" s="73"/>
      <c r="AA165" s="11" t="s">
        <v>433</v>
      </c>
      <c r="AB165" s="11"/>
      <c r="AC165" s="11"/>
      <c r="AD165" s="11"/>
      <c r="AE165" s="11"/>
      <c r="AF165" s="11"/>
      <c r="AG165" s="11"/>
      <c r="AH165" s="11"/>
      <c r="AI165" s="11"/>
      <c r="AJ165" s="11"/>
      <c r="AK165" s="11"/>
      <c r="AL165" s="11"/>
      <c r="AM165" s="11"/>
      <c r="AN165" s="11"/>
      <c r="AO165" s="11"/>
      <c r="AP165" s="11"/>
      <c r="AQ165" s="11"/>
      <c r="AR165" s="11"/>
      <c r="AS165" s="11"/>
      <c r="AT165" s="11"/>
      <c r="AU165" s="11"/>
      <c r="AV165" s="11"/>
      <c r="AW165" s="11"/>
      <c r="AX165" s="11"/>
      <c r="AY165" s="11"/>
      <c r="AZ165" s="11"/>
      <c r="BA165" s="12"/>
      <c r="BB165" s="63" t="s">
        <v>276</v>
      </c>
      <c r="BC165" s="63"/>
      <c r="BD165" s="63"/>
      <c r="BE165" s="63">
        <f>(36*2+IF((D75+D78)&lt;AH76,4,8)*2)*Y165</f>
        <v>352</v>
      </c>
      <c r="BF165" s="63"/>
      <c r="BG165" s="63"/>
      <c r="BH165" s="62" t="s">
        <v>276</v>
      </c>
      <c r="BI165" s="62"/>
      <c r="BJ165" s="62"/>
      <c r="BK165" s="62" t="s">
        <v>276</v>
      </c>
      <c r="BL165" s="62"/>
      <c r="BM165" s="62"/>
      <c r="BN165" s="63" t="s">
        <v>276</v>
      </c>
      <c r="BO165" s="63"/>
      <c r="BP165" s="63"/>
      <c r="BQ165" s="63"/>
      <c r="BR165" s="64">
        <v>105</v>
      </c>
      <c r="BS165" s="64"/>
      <c r="BT165" s="64"/>
      <c r="BU165" s="64"/>
      <c r="BV165" s="64"/>
      <c r="BW165" s="64"/>
      <c r="BX165" s="65">
        <f t="shared" si="18"/>
        <v>36960</v>
      </c>
      <c r="BY165" s="65"/>
      <c r="BZ165" s="65"/>
      <c r="CA165" s="65"/>
      <c r="CB165" s="66"/>
      <c r="CQ165" s="20" t="s">
        <v>371</v>
      </c>
      <c r="CR165" s="3">
        <v>20.6</v>
      </c>
    </row>
    <row r="166" spans="2:96" x14ac:dyDescent="0.2">
      <c r="B166" s="71" t="s">
        <v>299</v>
      </c>
      <c r="C166" s="72"/>
      <c r="D166" s="72"/>
      <c r="E166" s="72"/>
      <c r="F166" s="72"/>
      <c r="G166" s="72"/>
      <c r="H166" s="72"/>
      <c r="I166" s="72"/>
      <c r="J166" s="72"/>
      <c r="K166" s="72"/>
      <c r="L166" s="72"/>
      <c r="M166" s="72"/>
      <c r="N166" s="72"/>
      <c r="O166" s="111">
        <v>22</v>
      </c>
      <c r="P166" s="112"/>
      <c r="Q166" s="11" t="s">
        <v>272</v>
      </c>
      <c r="R166" s="11"/>
      <c r="S166" s="11" t="s">
        <v>282</v>
      </c>
      <c r="T166" s="11"/>
      <c r="U166" s="11"/>
      <c r="V166" s="11"/>
      <c r="W166" s="11"/>
      <c r="X166" s="11"/>
      <c r="Y166" s="73">
        <v>8</v>
      </c>
      <c r="Z166" s="73"/>
      <c r="AA166" s="11" t="s">
        <v>433</v>
      </c>
      <c r="AB166" s="11"/>
      <c r="AC166" s="11"/>
      <c r="AD166" s="11"/>
      <c r="AE166" s="11"/>
      <c r="AF166" s="11"/>
      <c r="AG166" s="11"/>
      <c r="AH166" s="11"/>
      <c r="AI166" s="11"/>
      <c r="AJ166" s="11"/>
      <c r="AK166" s="11"/>
      <c r="AL166" s="11"/>
      <c r="AM166" s="11"/>
      <c r="AN166" s="11"/>
      <c r="AO166" s="11"/>
      <c r="AP166" s="11"/>
      <c r="AQ166" s="11"/>
      <c r="AR166" s="11"/>
      <c r="AS166" s="11"/>
      <c r="AT166" s="11"/>
      <c r="AU166" s="11"/>
      <c r="AV166" s="11"/>
      <c r="AW166" s="11"/>
      <c r="AX166" s="11"/>
      <c r="AY166" s="11"/>
      <c r="AZ166" s="11"/>
      <c r="BA166" s="12"/>
      <c r="BB166" s="63" t="s">
        <v>276</v>
      </c>
      <c r="BC166" s="63"/>
      <c r="BD166" s="63"/>
      <c r="BE166" s="63">
        <f>+BE134*Y166</f>
        <v>128</v>
      </c>
      <c r="BF166" s="63"/>
      <c r="BG166" s="63"/>
      <c r="BH166" s="62" t="s">
        <v>276</v>
      </c>
      <c r="BI166" s="62"/>
      <c r="BJ166" s="62"/>
      <c r="BK166" s="62" t="s">
        <v>276</v>
      </c>
      <c r="BL166" s="62"/>
      <c r="BM166" s="62"/>
      <c r="BN166" s="63" t="s">
        <v>276</v>
      </c>
      <c r="BO166" s="63"/>
      <c r="BP166" s="63"/>
      <c r="BQ166" s="63"/>
      <c r="BR166" s="64">
        <v>1800</v>
      </c>
      <c r="BS166" s="64"/>
      <c r="BT166" s="64"/>
      <c r="BU166" s="64"/>
      <c r="BV166" s="64"/>
      <c r="BW166" s="64"/>
      <c r="BX166" s="65">
        <f t="shared" si="18"/>
        <v>230400</v>
      </c>
      <c r="BY166" s="65"/>
      <c r="BZ166" s="65"/>
      <c r="CA166" s="65"/>
      <c r="CB166" s="66"/>
      <c r="CQ166" s="20" t="s">
        <v>372</v>
      </c>
      <c r="CR166" s="3">
        <v>24.5</v>
      </c>
    </row>
    <row r="167" spans="2:96" x14ac:dyDescent="0.2">
      <c r="B167" s="71" t="s">
        <v>443</v>
      </c>
      <c r="C167" s="72"/>
      <c r="D167" s="72"/>
      <c r="E167" s="72"/>
      <c r="F167" s="72"/>
      <c r="G167" s="72"/>
      <c r="H167" s="72"/>
      <c r="I167" s="72"/>
      <c r="J167" s="72"/>
      <c r="K167" s="72"/>
      <c r="L167" s="72"/>
      <c r="M167" s="72"/>
      <c r="N167" s="72"/>
      <c r="O167" s="111">
        <v>20</v>
      </c>
      <c r="P167" s="112"/>
      <c r="Q167" s="11" t="s">
        <v>272</v>
      </c>
      <c r="R167" s="11"/>
      <c r="S167" s="11" t="s">
        <v>282</v>
      </c>
      <c r="T167" s="11"/>
      <c r="U167" s="11"/>
      <c r="V167" s="11"/>
      <c r="W167" s="11"/>
      <c r="X167" s="11"/>
      <c r="Y167" s="73">
        <v>2</v>
      </c>
      <c r="Z167" s="73"/>
      <c r="AA167" s="11" t="s">
        <v>433</v>
      </c>
      <c r="AB167" s="11"/>
      <c r="AC167" s="11"/>
      <c r="AD167" s="11"/>
      <c r="AE167" s="11"/>
      <c r="AF167" s="11"/>
      <c r="AG167" s="11"/>
      <c r="AH167" s="11"/>
      <c r="AI167" s="11"/>
      <c r="AJ167" s="11"/>
      <c r="AK167" s="11"/>
      <c r="AL167" s="11"/>
      <c r="AM167" s="11"/>
      <c r="AN167" s="11"/>
      <c r="AO167" s="11"/>
      <c r="AP167" s="11"/>
      <c r="AQ167" s="11"/>
      <c r="AR167" s="11"/>
      <c r="AS167" s="11"/>
      <c r="AT167" s="11"/>
      <c r="AU167" s="11"/>
      <c r="AV167" s="11"/>
      <c r="AW167" s="11"/>
      <c r="AX167" s="11"/>
      <c r="AY167" s="11"/>
      <c r="AZ167" s="11"/>
      <c r="BA167" s="12"/>
      <c r="BB167" s="63" t="s">
        <v>276</v>
      </c>
      <c r="BC167" s="63"/>
      <c r="BD167" s="63"/>
      <c r="BE167" s="63">
        <f>12*Y167</f>
        <v>24</v>
      </c>
      <c r="BF167" s="63"/>
      <c r="BG167" s="63"/>
      <c r="BH167" s="62" t="s">
        <v>276</v>
      </c>
      <c r="BI167" s="62"/>
      <c r="BJ167" s="62"/>
      <c r="BK167" s="62" t="s">
        <v>276</v>
      </c>
      <c r="BL167" s="62"/>
      <c r="BM167" s="62"/>
      <c r="BN167" s="63" t="s">
        <v>276</v>
      </c>
      <c r="BO167" s="63"/>
      <c r="BP167" s="63"/>
      <c r="BQ167" s="63"/>
      <c r="BR167" s="64">
        <v>1500</v>
      </c>
      <c r="BS167" s="64"/>
      <c r="BT167" s="64"/>
      <c r="BU167" s="64"/>
      <c r="BV167" s="64"/>
      <c r="BW167" s="64"/>
      <c r="BX167" s="65">
        <f t="shared" si="18"/>
        <v>36000</v>
      </c>
      <c r="BY167" s="65"/>
      <c r="BZ167" s="65"/>
      <c r="CA167" s="65"/>
      <c r="CB167" s="66"/>
      <c r="CQ167" s="20" t="s">
        <v>373</v>
      </c>
      <c r="CR167" s="3">
        <v>28.3</v>
      </c>
    </row>
    <row r="168" spans="2:96" x14ac:dyDescent="0.2">
      <c r="B168" s="71" t="s">
        <v>292</v>
      </c>
      <c r="C168" s="72"/>
      <c r="D168" s="72"/>
      <c r="E168" s="72"/>
      <c r="F168" s="72"/>
      <c r="G168" s="72"/>
      <c r="H168" s="72"/>
      <c r="I168" s="72"/>
      <c r="J168" s="72"/>
      <c r="K168" s="72"/>
      <c r="L168" s="72"/>
      <c r="M168" s="72"/>
      <c r="N168" s="72"/>
      <c r="O168" s="144" t="s">
        <v>464</v>
      </c>
      <c r="P168" s="145"/>
      <c r="Q168" s="145"/>
      <c r="R168" s="145"/>
      <c r="S168" s="145"/>
      <c r="T168" s="145"/>
      <c r="U168" s="11" t="s">
        <v>295</v>
      </c>
      <c r="V168" s="19"/>
      <c r="W168" s="61">
        <f>N10*C41*2</f>
        <v>1013.0274626089857</v>
      </c>
      <c r="X168" s="61"/>
      <c r="Y168" s="61"/>
      <c r="Z168" s="11" t="s">
        <v>294</v>
      </c>
      <c r="AA168" s="11"/>
      <c r="AB168" s="11"/>
      <c r="AC168" s="11"/>
      <c r="AD168" s="11"/>
      <c r="AE168" s="11"/>
      <c r="AF168" s="11"/>
      <c r="AG168" s="11"/>
      <c r="AH168" s="11"/>
      <c r="AI168" s="11"/>
      <c r="AJ168" s="11"/>
      <c r="AK168" s="11"/>
      <c r="AL168" s="11"/>
      <c r="AM168" s="11"/>
      <c r="AN168" s="11"/>
      <c r="AO168" s="11"/>
      <c r="AP168" s="11"/>
      <c r="AQ168" s="11"/>
      <c r="AR168" s="11"/>
      <c r="AS168" s="11"/>
      <c r="AT168" s="11"/>
      <c r="AU168" s="11"/>
      <c r="AV168" s="11"/>
      <c r="AW168" s="11"/>
      <c r="AX168" s="11"/>
      <c r="AY168" s="11"/>
      <c r="AZ168" s="11"/>
      <c r="BA168" s="12"/>
      <c r="BB168" s="63" t="s">
        <v>276</v>
      </c>
      <c r="BC168" s="63"/>
      <c r="BD168" s="63"/>
      <c r="BE168" s="63">
        <v>1</v>
      </c>
      <c r="BF168" s="63"/>
      <c r="BG168" s="63"/>
      <c r="BH168" s="62" t="s">
        <v>276</v>
      </c>
      <c r="BI168" s="62"/>
      <c r="BJ168" s="62"/>
      <c r="BK168" s="62" t="s">
        <v>276</v>
      </c>
      <c r="BL168" s="62"/>
      <c r="BM168" s="62"/>
      <c r="BN168" s="63" t="s">
        <v>276</v>
      </c>
      <c r="BO168" s="63"/>
      <c r="BP168" s="63"/>
      <c r="BQ168" s="63"/>
      <c r="BR168" s="87">
        <v>200</v>
      </c>
      <c r="BS168" s="87"/>
      <c r="BT168" s="87"/>
      <c r="BU168" s="87"/>
      <c r="BV168" s="87"/>
      <c r="BW168" s="87"/>
      <c r="BX168" s="65">
        <f>W168*BR168*BE168</f>
        <v>202605.49252179713</v>
      </c>
      <c r="BY168" s="65"/>
      <c r="BZ168" s="65"/>
      <c r="CA168" s="65"/>
      <c r="CB168" s="66"/>
      <c r="CQ168" s="20" t="s">
        <v>374</v>
      </c>
      <c r="CR168" s="3">
        <v>23</v>
      </c>
    </row>
    <row r="169" spans="2:96" x14ac:dyDescent="0.2">
      <c r="B169" s="71" t="s">
        <v>293</v>
      </c>
      <c r="C169" s="72"/>
      <c r="D169" s="72"/>
      <c r="E169" s="72"/>
      <c r="F169" s="72"/>
      <c r="G169" s="72"/>
      <c r="H169" s="72"/>
      <c r="I169" s="72"/>
      <c r="J169" s="72"/>
      <c r="K169" s="72"/>
      <c r="L169" s="72"/>
      <c r="M169" s="72"/>
      <c r="N169" s="72"/>
      <c r="O169" s="144" t="s">
        <v>465</v>
      </c>
      <c r="P169" s="145"/>
      <c r="Q169" s="145"/>
      <c r="R169" s="145"/>
      <c r="S169" s="145"/>
      <c r="T169" s="145"/>
      <c r="U169" s="11" t="s">
        <v>295</v>
      </c>
      <c r="V169" s="19"/>
      <c r="W169" s="61">
        <f>C41*E13*2+2*(E13*S21+S21*E7/2)-2*S81*AH76</f>
        <v>1039.8</v>
      </c>
      <c r="X169" s="61"/>
      <c r="Y169" s="61"/>
      <c r="Z169" s="11" t="s">
        <v>294</v>
      </c>
      <c r="AA169" s="11"/>
      <c r="AB169" s="11"/>
      <c r="AC169" s="11"/>
      <c r="AD169" s="11"/>
      <c r="AE169" s="11"/>
      <c r="AF169" s="11"/>
      <c r="AG169" s="11"/>
      <c r="AH169" s="11"/>
      <c r="AI169" s="11"/>
      <c r="AJ169" s="11"/>
      <c r="AK169" s="11"/>
      <c r="AL169" s="11"/>
      <c r="AM169" s="11"/>
      <c r="AN169" s="11"/>
      <c r="AO169" s="11"/>
      <c r="AP169" s="11"/>
      <c r="AQ169" s="11"/>
      <c r="AR169" s="11"/>
      <c r="AS169" s="11"/>
      <c r="AT169" s="11"/>
      <c r="AU169" s="11"/>
      <c r="AV169" s="11"/>
      <c r="AW169" s="11"/>
      <c r="AX169" s="11"/>
      <c r="AY169" s="11"/>
      <c r="AZ169" s="11"/>
      <c r="BA169" s="12"/>
      <c r="BB169" s="63" t="s">
        <v>276</v>
      </c>
      <c r="BC169" s="63"/>
      <c r="BD169" s="63"/>
      <c r="BE169" s="63">
        <v>1</v>
      </c>
      <c r="BF169" s="63"/>
      <c r="BG169" s="63"/>
      <c r="BH169" s="62" t="s">
        <v>276</v>
      </c>
      <c r="BI169" s="62"/>
      <c r="BJ169" s="62"/>
      <c r="BK169" s="62" t="s">
        <v>276</v>
      </c>
      <c r="BL169" s="62"/>
      <c r="BM169" s="62"/>
      <c r="BN169" s="63" t="s">
        <v>276</v>
      </c>
      <c r="BO169" s="63"/>
      <c r="BP169" s="63"/>
      <c r="BQ169" s="63"/>
      <c r="BR169" s="87">
        <v>1000</v>
      </c>
      <c r="BS169" s="87"/>
      <c r="BT169" s="87"/>
      <c r="BU169" s="87"/>
      <c r="BV169" s="87"/>
      <c r="BW169" s="87"/>
      <c r="BX169" s="65">
        <f>W169*BR169*BE169</f>
        <v>1039800</v>
      </c>
      <c r="BY169" s="65"/>
      <c r="BZ169" s="65"/>
      <c r="CA169" s="65"/>
      <c r="CB169" s="66"/>
      <c r="CQ169" s="20" t="s">
        <v>375</v>
      </c>
      <c r="CR169" s="3">
        <v>27.3</v>
      </c>
    </row>
    <row r="170" spans="2:96" x14ac:dyDescent="0.2">
      <c r="B170" s="71" t="s">
        <v>296</v>
      </c>
      <c r="C170" s="72"/>
      <c r="D170" s="72"/>
      <c r="E170" s="72"/>
      <c r="F170" s="72"/>
      <c r="G170" s="72"/>
      <c r="H170" s="72"/>
      <c r="I170" s="72"/>
      <c r="J170" s="72"/>
      <c r="K170" s="72"/>
      <c r="L170" s="72"/>
      <c r="M170" s="72"/>
      <c r="N170" s="72"/>
      <c r="O170" s="120" t="s">
        <v>297</v>
      </c>
      <c r="P170" s="73"/>
      <c r="Q170" s="73"/>
      <c r="R170" s="11" t="s">
        <v>295</v>
      </c>
      <c r="S170" s="19"/>
      <c r="T170" s="61">
        <f>S81*AH76</f>
        <v>22.5</v>
      </c>
      <c r="U170" s="61"/>
      <c r="V170" s="61"/>
      <c r="W170" s="11" t="s">
        <v>294</v>
      </c>
      <c r="X170" s="11"/>
      <c r="Y170" s="11" t="s">
        <v>274</v>
      </c>
      <c r="Z170" s="73">
        <v>2</v>
      </c>
      <c r="AA170" s="73"/>
      <c r="AB170" s="11" t="s">
        <v>272</v>
      </c>
      <c r="AC170" s="11"/>
      <c r="AD170" s="11"/>
      <c r="AE170" s="11"/>
      <c r="AF170" s="11"/>
      <c r="AG170" s="11"/>
      <c r="AH170" s="11"/>
      <c r="AI170" s="11"/>
      <c r="AJ170" s="11"/>
      <c r="AK170" s="11"/>
      <c r="AL170" s="11"/>
      <c r="AM170" s="11"/>
      <c r="AN170" s="11"/>
      <c r="AO170" s="11"/>
      <c r="AP170" s="11"/>
      <c r="AQ170" s="11"/>
      <c r="AR170" s="11"/>
      <c r="AS170" s="11"/>
      <c r="AT170" s="11"/>
      <c r="AU170" s="11"/>
      <c r="AV170" s="11"/>
      <c r="AW170" s="11"/>
      <c r="AX170" s="11"/>
      <c r="AY170" s="11"/>
      <c r="AZ170" s="11"/>
      <c r="BA170" s="12"/>
      <c r="BB170" s="63" t="s">
        <v>276</v>
      </c>
      <c r="BC170" s="63"/>
      <c r="BD170" s="63"/>
      <c r="BE170" s="63">
        <v>2</v>
      </c>
      <c r="BF170" s="63"/>
      <c r="BG170" s="63"/>
      <c r="BH170" s="62" t="s">
        <v>276</v>
      </c>
      <c r="BI170" s="62"/>
      <c r="BJ170" s="62"/>
      <c r="BK170" s="62" t="s">
        <v>276</v>
      </c>
      <c r="BL170" s="62"/>
      <c r="BM170" s="62"/>
      <c r="BN170" s="83">
        <f>7850*T170*Z170/1000*BE170</f>
        <v>706.5</v>
      </c>
      <c r="BO170" s="83"/>
      <c r="BP170" s="83"/>
      <c r="BQ170" s="83"/>
      <c r="BR170" s="84">
        <v>28</v>
      </c>
      <c r="BS170" s="84"/>
      <c r="BT170" s="84"/>
      <c r="BU170" s="84"/>
      <c r="BV170" s="84"/>
      <c r="BW170" s="84"/>
      <c r="BX170" s="65">
        <f>BN170*BR170</f>
        <v>19782</v>
      </c>
      <c r="BY170" s="65"/>
      <c r="BZ170" s="65"/>
      <c r="CA170" s="65"/>
      <c r="CB170" s="66"/>
      <c r="CQ170" s="20" t="s">
        <v>376</v>
      </c>
      <c r="CR170" s="3">
        <v>31.6</v>
      </c>
    </row>
    <row r="171" spans="2:96" x14ac:dyDescent="0.2">
      <c r="B171" s="14"/>
      <c r="BG171" s="133" t="s">
        <v>301</v>
      </c>
      <c r="BH171" s="133"/>
      <c r="BI171" s="133"/>
      <c r="BJ171" s="133"/>
      <c r="BK171" s="133"/>
      <c r="BL171" s="133"/>
      <c r="BM171" s="133"/>
      <c r="BN171" s="132">
        <f>SUM(BN131:BQ170)</f>
        <v>66611.536397909658</v>
      </c>
      <c r="BO171" s="133"/>
      <c r="BP171" s="133"/>
      <c r="BQ171" s="133"/>
      <c r="BS171" s="133" t="s">
        <v>484</v>
      </c>
      <c r="BT171" s="133"/>
      <c r="BU171" s="133"/>
      <c r="BV171" s="133"/>
      <c r="BW171" s="133"/>
      <c r="BX171" s="138">
        <f>SUM(BX131:CB170)</f>
        <v>3534556.3806091337</v>
      </c>
      <c r="BY171" s="138"/>
      <c r="BZ171" s="138"/>
      <c r="CA171" s="138"/>
      <c r="CB171" s="139"/>
      <c r="CQ171" s="20" t="s">
        <v>377</v>
      </c>
      <c r="CR171" s="3">
        <v>35.9</v>
      </c>
    </row>
    <row r="172" spans="2:96" x14ac:dyDescent="0.2">
      <c r="B172" s="14"/>
      <c r="O172" s="44" t="s">
        <v>567</v>
      </c>
      <c r="BG172" s="133" t="s">
        <v>302</v>
      </c>
      <c r="BH172" s="133"/>
      <c r="BI172" s="133"/>
      <c r="BJ172" s="133"/>
      <c r="BK172" s="133"/>
      <c r="BL172" s="133"/>
      <c r="BM172" s="133"/>
      <c r="BN172" s="132">
        <f>+BN171/1000</f>
        <v>66.61153639790966</v>
      </c>
      <c r="BO172" s="133"/>
      <c r="BP172" s="133"/>
      <c r="BQ172" s="133"/>
      <c r="BS172" s="133" t="s">
        <v>485</v>
      </c>
      <c r="BT172" s="133"/>
      <c r="BU172" s="133"/>
      <c r="BV172" s="133"/>
      <c r="BW172" s="133"/>
      <c r="BX172" s="138">
        <f>BX171*0.18</f>
        <v>636220.14850964409</v>
      </c>
      <c r="BY172" s="138"/>
      <c r="BZ172" s="138"/>
      <c r="CA172" s="138"/>
      <c r="CB172" s="139"/>
      <c r="CQ172" s="20" t="s">
        <v>378</v>
      </c>
      <c r="CR172" s="3">
        <v>26.1</v>
      </c>
    </row>
    <row r="173" spans="2:96" x14ac:dyDescent="0.2">
      <c r="B173" s="14"/>
      <c r="BG173" s="133" t="s">
        <v>411</v>
      </c>
      <c r="BH173" s="133"/>
      <c r="BI173" s="133"/>
      <c r="BJ173" s="133"/>
      <c r="BK173" s="133"/>
      <c r="BL173" s="133"/>
      <c r="BM173" s="133"/>
      <c r="BN173" s="186">
        <f>C41*S24</f>
        <v>1008</v>
      </c>
      <c r="BO173" s="186"/>
      <c r="BP173" s="186"/>
      <c r="BQ173" s="186"/>
      <c r="BS173" s="133" t="s">
        <v>486</v>
      </c>
      <c r="BT173" s="133"/>
      <c r="BU173" s="133"/>
      <c r="BV173" s="133"/>
      <c r="BW173" s="133"/>
      <c r="BX173" s="140">
        <f>+BX172+BX171</f>
        <v>4170776.5291187777</v>
      </c>
      <c r="BY173" s="140"/>
      <c r="BZ173" s="140"/>
      <c r="CA173" s="140"/>
      <c r="CB173" s="141"/>
      <c r="CQ173" s="20" t="s">
        <v>379</v>
      </c>
      <c r="CR173" s="3">
        <v>31.1</v>
      </c>
    </row>
    <row r="174" spans="2:96" x14ac:dyDescent="0.2">
      <c r="B174" s="53" t="s">
        <v>545</v>
      </c>
      <c r="BG174" s="133" t="s">
        <v>412</v>
      </c>
      <c r="BH174" s="133"/>
      <c r="BI174" s="133"/>
      <c r="BJ174" s="133"/>
      <c r="BK174" s="133"/>
      <c r="BL174" s="133"/>
      <c r="BM174" s="133"/>
      <c r="BN174" s="137">
        <f>+BN171/BN173</f>
        <v>66.082873410624657</v>
      </c>
      <c r="BO174" s="137"/>
      <c r="BP174" s="137"/>
      <c r="BQ174" s="137"/>
      <c r="CB174" s="15"/>
      <c r="CQ174" s="20" t="s">
        <v>380</v>
      </c>
      <c r="CR174" s="3">
        <v>36</v>
      </c>
    </row>
    <row r="175" spans="2:96" x14ac:dyDescent="0.2">
      <c r="B175" s="71" t="s">
        <v>490</v>
      </c>
      <c r="C175" s="72"/>
      <c r="D175" s="72"/>
      <c r="E175" s="72"/>
      <c r="F175" s="72"/>
      <c r="G175" s="72"/>
      <c r="H175" s="72"/>
      <c r="I175" s="72"/>
      <c r="J175" s="72"/>
      <c r="K175" s="72"/>
      <c r="L175" s="72"/>
      <c r="M175" s="72"/>
      <c r="N175" s="72"/>
      <c r="O175" s="69">
        <f>+K123</f>
        <v>0.9</v>
      </c>
      <c r="P175" s="61"/>
      <c r="Q175" s="11" t="s">
        <v>0</v>
      </c>
      <c r="R175" s="19" t="s">
        <v>491</v>
      </c>
      <c r="S175" s="61">
        <f>+C113</f>
        <v>0.9</v>
      </c>
      <c r="T175" s="61"/>
      <c r="U175" s="11" t="s">
        <v>0</v>
      </c>
      <c r="V175" s="19" t="s">
        <v>491</v>
      </c>
      <c r="W175" s="61">
        <f>+Q91</f>
        <v>0.8</v>
      </c>
      <c r="X175" s="61"/>
      <c r="Y175" s="11" t="s">
        <v>0</v>
      </c>
      <c r="Z175" s="19" t="s">
        <v>491</v>
      </c>
      <c r="AA175" s="61">
        <f>(C51+1)*2+6*2</f>
        <v>28</v>
      </c>
      <c r="AB175" s="61"/>
      <c r="AC175" s="11" t="s">
        <v>433</v>
      </c>
      <c r="AD175" s="11"/>
      <c r="AE175" s="19" t="s">
        <v>2</v>
      </c>
      <c r="AF175" s="61">
        <f>O175*S175*W175*AA175</f>
        <v>18.144000000000005</v>
      </c>
      <c r="AG175" s="61"/>
      <c r="AH175" s="61"/>
      <c r="AI175" s="11" t="s">
        <v>492</v>
      </c>
      <c r="AJ175" s="11"/>
      <c r="AK175" s="11"/>
      <c r="AL175" s="11"/>
      <c r="AM175" s="11"/>
      <c r="AN175" s="11"/>
      <c r="AO175" s="11"/>
      <c r="AP175" s="11"/>
      <c r="AQ175" s="11"/>
      <c r="AR175" s="11"/>
      <c r="AS175" s="11"/>
      <c r="AT175" s="11"/>
      <c r="AU175" s="11"/>
      <c r="AV175" s="11"/>
      <c r="AW175" s="11"/>
      <c r="AX175" s="11"/>
      <c r="AY175" s="11"/>
      <c r="AZ175" s="11"/>
      <c r="BA175" s="12"/>
      <c r="BB175" s="63" t="s">
        <v>276</v>
      </c>
      <c r="BC175" s="63"/>
      <c r="BD175" s="63"/>
      <c r="BE175" s="63" t="s">
        <v>276</v>
      </c>
      <c r="BF175" s="63"/>
      <c r="BG175" s="63"/>
      <c r="BH175" s="62" t="s">
        <v>276</v>
      </c>
      <c r="BI175" s="62"/>
      <c r="BJ175" s="62"/>
      <c r="BK175" s="62" t="s">
        <v>276</v>
      </c>
      <c r="BL175" s="62"/>
      <c r="BM175" s="62"/>
      <c r="BN175" s="63" t="s">
        <v>276</v>
      </c>
      <c r="BO175" s="63"/>
      <c r="BP175" s="63"/>
      <c r="BQ175" s="63"/>
      <c r="BR175" s="142">
        <v>2600</v>
      </c>
      <c r="BS175" s="142"/>
      <c r="BT175" s="142"/>
      <c r="BU175" s="142"/>
      <c r="BV175" s="142"/>
      <c r="BW175" s="142"/>
      <c r="BX175" s="65">
        <f>AF175*BR175</f>
        <v>47174.400000000016</v>
      </c>
      <c r="BY175" s="65"/>
      <c r="BZ175" s="65"/>
      <c r="CA175" s="65"/>
      <c r="CB175" s="66"/>
      <c r="CQ175" s="20" t="s">
        <v>381</v>
      </c>
      <c r="CR175" s="3">
        <v>40.9</v>
      </c>
    </row>
    <row r="176" spans="2:96" x14ac:dyDescent="0.2">
      <c r="B176" s="71" t="s">
        <v>493</v>
      </c>
      <c r="C176" s="72"/>
      <c r="D176" s="72"/>
      <c r="E176" s="72"/>
      <c r="F176" s="72"/>
      <c r="G176" s="72"/>
      <c r="H176" s="72"/>
      <c r="I176" s="72"/>
      <c r="J176" s="72"/>
      <c r="K176" s="72"/>
      <c r="L176" s="72"/>
      <c r="M176" s="72"/>
      <c r="N176" s="72"/>
      <c r="O176" s="69">
        <f>+R113</f>
        <v>2</v>
      </c>
      <c r="P176" s="61"/>
      <c r="Q176" s="11" t="s">
        <v>0</v>
      </c>
      <c r="R176" s="19" t="s">
        <v>491</v>
      </c>
      <c r="S176" s="61">
        <f>+K98</f>
        <v>2</v>
      </c>
      <c r="T176" s="61"/>
      <c r="U176" s="11" t="s">
        <v>0</v>
      </c>
      <c r="V176" s="19" t="s">
        <v>491</v>
      </c>
      <c r="W176" s="61">
        <f>+Q95</f>
        <v>0.4</v>
      </c>
      <c r="X176" s="61"/>
      <c r="Y176" s="11" t="s">
        <v>0</v>
      </c>
      <c r="Z176" s="19" t="s">
        <v>491</v>
      </c>
      <c r="AA176" s="61">
        <f>+AA175</f>
        <v>28</v>
      </c>
      <c r="AB176" s="61"/>
      <c r="AC176" s="11" t="s">
        <v>433</v>
      </c>
      <c r="AD176" s="11"/>
      <c r="AE176" s="19" t="s">
        <v>2</v>
      </c>
      <c r="AF176" s="61">
        <f>O176*S176*W176*AA176</f>
        <v>44.800000000000004</v>
      </c>
      <c r="AG176" s="61"/>
      <c r="AH176" s="61"/>
      <c r="AI176" s="11" t="s">
        <v>492</v>
      </c>
      <c r="AJ176" s="11"/>
      <c r="AK176" s="11"/>
      <c r="AL176" s="11"/>
      <c r="AM176" s="11"/>
      <c r="AN176" s="11"/>
      <c r="AO176" s="11"/>
      <c r="AP176" s="11"/>
      <c r="AQ176" s="11"/>
      <c r="AR176" s="11"/>
      <c r="AS176" s="11"/>
      <c r="AT176" s="11"/>
      <c r="AU176" s="11"/>
      <c r="AV176" s="11"/>
      <c r="AW176" s="11"/>
      <c r="AX176" s="11"/>
      <c r="AY176" s="11"/>
      <c r="AZ176" s="11"/>
      <c r="BA176" s="12"/>
      <c r="BB176" s="63" t="s">
        <v>276</v>
      </c>
      <c r="BC176" s="63"/>
      <c r="BD176" s="63"/>
      <c r="BE176" s="63" t="s">
        <v>276</v>
      </c>
      <c r="BF176" s="63"/>
      <c r="BG176" s="63"/>
      <c r="BH176" s="62" t="s">
        <v>276</v>
      </c>
      <c r="BI176" s="62"/>
      <c r="BJ176" s="62"/>
      <c r="BK176" s="62" t="s">
        <v>276</v>
      </c>
      <c r="BL176" s="62"/>
      <c r="BM176" s="62"/>
      <c r="BN176" s="63" t="s">
        <v>276</v>
      </c>
      <c r="BO176" s="63"/>
      <c r="BP176" s="63"/>
      <c r="BQ176" s="63"/>
      <c r="BR176" s="142">
        <v>2600</v>
      </c>
      <c r="BS176" s="142"/>
      <c r="BT176" s="142"/>
      <c r="BU176" s="142"/>
      <c r="BV176" s="142"/>
      <c r="BW176" s="142"/>
      <c r="BX176" s="65">
        <f>AF176*BR176</f>
        <v>116480.00000000001</v>
      </c>
      <c r="BY176" s="65"/>
      <c r="BZ176" s="65"/>
      <c r="CA176" s="65"/>
      <c r="CB176" s="66"/>
      <c r="CQ176" s="7" t="s">
        <v>137</v>
      </c>
      <c r="CR176" s="7"/>
    </row>
    <row r="177" spans="2:80" x14ac:dyDescent="0.2">
      <c r="B177" s="71" t="s">
        <v>494</v>
      </c>
      <c r="C177" s="72"/>
      <c r="D177" s="72"/>
      <c r="E177" s="72"/>
      <c r="F177" s="72"/>
      <c r="G177" s="72"/>
      <c r="H177" s="72"/>
      <c r="I177" s="72"/>
      <c r="J177" s="72"/>
      <c r="K177" s="72"/>
      <c r="L177" s="72"/>
      <c r="M177" s="72"/>
      <c r="N177" s="72"/>
      <c r="O177" s="69">
        <f>+K121</f>
        <v>0.15</v>
      </c>
      <c r="P177" s="61"/>
      <c r="Q177" s="11" t="s">
        <v>0</v>
      </c>
      <c r="R177" s="19" t="s">
        <v>491</v>
      </c>
      <c r="S177" s="61">
        <f>+Q95+Q91</f>
        <v>1.2000000000000002</v>
      </c>
      <c r="T177" s="61"/>
      <c r="U177" s="11" t="s">
        <v>0</v>
      </c>
      <c r="V177" s="19" t="s">
        <v>491</v>
      </c>
      <c r="W177" s="61">
        <f>2*C41-2*C51*C113+2*S24-2*7*K123</f>
        <v>106.80000000000001</v>
      </c>
      <c r="X177" s="61"/>
      <c r="Y177" s="61"/>
      <c r="Z177" s="11" t="s">
        <v>0</v>
      </c>
      <c r="AA177" s="19" t="s">
        <v>276</v>
      </c>
      <c r="AB177" s="61">
        <f>+Q95</f>
        <v>0.4</v>
      </c>
      <c r="AC177" s="61"/>
      <c r="AD177" s="11" t="s">
        <v>0</v>
      </c>
      <c r="AE177" s="19" t="s">
        <v>491</v>
      </c>
      <c r="AF177" s="61">
        <f>(K98-K123)/2</f>
        <v>0.55000000000000004</v>
      </c>
      <c r="AG177" s="61"/>
      <c r="AH177" s="11" t="s">
        <v>0</v>
      </c>
      <c r="AI177" s="19" t="s">
        <v>491</v>
      </c>
      <c r="AJ177" s="61">
        <f>+O177</f>
        <v>0.15</v>
      </c>
      <c r="AK177" s="61"/>
      <c r="AL177" s="11" t="s">
        <v>0</v>
      </c>
      <c r="AM177" s="19" t="s">
        <v>491</v>
      </c>
      <c r="AN177" s="61">
        <f>2*C51*2+14*2</f>
        <v>56</v>
      </c>
      <c r="AO177" s="61"/>
      <c r="AP177" s="11" t="s">
        <v>433</v>
      </c>
      <c r="AQ177" s="11"/>
      <c r="AR177" s="19" t="s">
        <v>2</v>
      </c>
      <c r="AS177" s="61">
        <f>O177*S177*W177-AB177*AF177*AJ177*AN177</f>
        <v>17.376000000000005</v>
      </c>
      <c r="AT177" s="61"/>
      <c r="AU177" s="61"/>
      <c r="AV177" s="11" t="s">
        <v>492</v>
      </c>
      <c r="AW177" s="11"/>
      <c r="AX177" s="11"/>
      <c r="AY177" s="11"/>
      <c r="AZ177" s="11"/>
      <c r="BA177" s="12"/>
      <c r="BB177" s="63" t="s">
        <v>276</v>
      </c>
      <c r="BC177" s="63"/>
      <c r="BD177" s="63"/>
      <c r="BE177" s="63" t="s">
        <v>276</v>
      </c>
      <c r="BF177" s="63"/>
      <c r="BG177" s="63"/>
      <c r="BH177" s="62" t="s">
        <v>276</v>
      </c>
      <c r="BI177" s="62"/>
      <c r="BJ177" s="62"/>
      <c r="BK177" s="62" t="s">
        <v>276</v>
      </c>
      <c r="BL177" s="62"/>
      <c r="BM177" s="62"/>
      <c r="BN177" s="63" t="s">
        <v>276</v>
      </c>
      <c r="BO177" s="63"/>
      <c r="BP177" s="63"/>
      <c r="BQ177" s="63"/>
      <c r="BR177" s="142">
        <v>2600</v>
      </c>
      <c r="BS177" s="142"/>
      <c r="BT177" s="142"/>
      <c r="BU177" s="142"/>
      <c r="BV177" s="142"/>
      <c r="BW177" s="142"/>
      <c r="BX177" s="65">
        <f>AS177*BR177</f>
        <v>45177.600000000013</v>
      </c>
      <c r="BY177" s="65"/>
      <c r="BZ177" s="65"/>
      <c r="CA177" s="65"/>
      <c r="CB177" s="66"/>
    </row>
    <row r="178" spans="2:80" x14ac:dyDescent="0.2">
      <c r="B178" s="71" t="s">
        <v>495</v>
      </c>
      <c r="C178" s="72"/>
      <c r="D178" s="72"/>
      <c r="E178" s="72"/>
      <c r="F178" s="72"/>
      <c r="G178" s="72"/>
      <c r="H178" s="72"/>
      <c r="I178" s="72"/>
      <c r="J178" s="72"/>
      <c r="K178" s="72"/>
      <c r="L178" s="72"/>
      <c r="M178" s="72"/>
      <c r="N178" s="72"/>
      <c r="O178" s="114">
        <f>+C41</f>
        <v>42</v>
      </c>
      <c r="P178" s="115"/>
      <c r="Q178" s="46" t="s">
        <v>0</v>
      </c>
      <c r="R178" s="45" t="s">
        <v>491</v>
      </c>
      <c r="S178" s="115">
        <f>+S24</f>
        <v>24</v>
      </c>
      <c r="T178" s="115"/>
      <c r="U178" s="46" t="s">
        <v>0</v>
      </c>
      <c r="V178" s="45" t="s">
        <v>491</v>
      </c>
      <c r="W178" s="115">
        <f>+D88</f>
        <v>0.15</v>
      </c>
      <c r="X178" s="115"/>
      <c r="Y178" s="46" t="s">
        <v>0</v>
      </c>
      <c r="Z178" s="45" t="s">
        <v>2</v>
      </c>
      <c r="AA178" s="115">
        <f>O178*S178*W178</f>
        <v>151.19999999999999</v>
      </c>
      <c r="AB178" s="115"/>
      <c r="AC178" s="115"/>
      <c r="AD178" s="46" t="s">
        <v>492</v>
      </c>
      <c r="AJ178" s="46"/>
      <c r="AK178" s="46"/>
      <c r="AL178" s="46"/>
      <c r="AM178" s="46"/>
      <c r="AN178" s="46"/>
      <c r="AO178" s="46"/>
      <c r="AP178" s="46"/>
      <c r="AQ178" s="46"/>
      <c r="AR178" s="46"/>
      <c r="AS178" s="46"/>
      <c r="AT178" s="46"/>
      <c r="AU178" s="46"/>
      <c r="AV178" s="46"/>
      <c r="AW178" s="46"/>
      <c r="AX178" s="46"/>
      <c r="AY178" s="46"/>
      <c r="AZ178" s="46"/>
      <c r="BA178" s="47"/>
      <c r="BB178" s="209" t="s">
        <v>276</v>
      </c>
      <c r="BC178" s="209"/>
      <c r="BD178" s="209"/>
      <c r="BE178" s="209" t="s">
        <v>276</v>
      </c>
      <c r="BF178" s="209"/>
      <c r="BG178" s="209"/>
      <c r="BH178" s="210" t="s">
        <v>276</v>
      </c>
      <c r="BI178" s="210"/>
      <c r="BJ178" s="210"/>
      <c r="BK178" s="210" t="s">
        <v>276</v>
      </c>
      <c r="BL178" s="210"/>
      <c r="BM178" s="210"/>
      <c r="BN178" s="209" t="s">
        <v>276</v>
      </c>
      <c r="BO178" s="209"/>
      <c r="BP178" s="209"/>
      <c r="BQ178" s="209"/>
      <c r="BR178" s="142">
        <v>2600</v>
      </c>
      <c r="BS178" s="142"/>
      <c r="BT178" s="142"/>
      <c r="BU178" s="142"/>
      <c r="BV178" s="142"/>
      <c r="BW178" s="142"/>
      <c r="BX178" s="212">
        <f>AA178*BR178</f>
        <v>393119.99999999994</v>
      </c>
      <c r="BY178" s="212"/>
      <c r="BZ178" s="212"/>
      <c r="CA178" s="212"/>
      <c r="CB178" s="213"/>
    </row>
    <row r="179" spans="2:80" x14ac:dyDescent="0.2">
      <c r="B179" s="71" t="s">
        <v>496</v>
      </c>
      <c r="C179" s="72"/>
      <c r="D179" s="72"/>
      <c r="E179" s="72"/>
      <c r="F179" s="72"/>
      <c r="G179" s="72"/>
      <c r="H179" s="72"/>
      <c r="I179" s="72"/>
      <c r="J179" s="72"/>
      <c r="K179" s="72"/>
      <c r="L179" s="72"/>
      <c r="M179" s="72"/>
      <c r="N179" s="72"/>
      <c r="O179" s="196">
        <f>+F102</f>
        <v>16</v>
      </c>
      <c r="P179" s="197"/>
      <c r="Q179" s="202">
        <f>+H102</f>
        <v>26</v>
      </c>
      <c r="R179" s="202"/>
      <c r="S179" s="11" t="s">
        <v>272</v>
      </c>
      <c r="T179" s="11"/>
      <c r="U179" s="11"/>
      <c r="V179" s="11" t="s">
        <v>498</v>
      </c>
      <c r="W179" s="61">
        <f>+G103</f>
        <v>1.3</v>
      </c>
      <c r="X179" s="61"/>
      <c r="Y179" s="11" t="s">
        <v>0</v>
      </c>
      <c r="Z179" s="11"/>
      <c r="AA179" s="11"/>
      <c r="AB179" s="61">
        <f>(C51+1)*2+12</f>
        <v>28</v>
      </c>
      <c r="AC179" s="61"/>
      <c r="AD179" s="11" t="s">
        <v>499</v>
      </c>
      <c r="AE179" s="11"/>
      <c r="AF179" s="11"/>
      <c r="AG179" s="11"/>
      <c r="AH179" s="11"/>
      <c r="AI179" s="11"/>
      <c r="AJ179" s="11"/>
      <c r="AK179" s="11"/>
      <c r="AL179" s="11"/>
      <c r="AM179" s="11"/>
      <c r="AN179" s="11"/>
      <c r="AO179" s="11"/>
      <c r="AP179" s="11"/>
      <c r="AQ179" s="11"/>
      <c r="AR179" s="11"/>
      <c r="AS179" s="11"/>
      <c r="AT179" s="11"/>
      <c r="AU179" s="11"/>
      <c r="AV179" s="11"/>
      <c r="AW179" s="11"/>
      <c r="AX179" s="11"/>
      <c r="AY179" s="11"/>
      <c r="AZ179" s="11"/>
      <c r="BA179" s="12"/>
      <c r="BB179" s="62">
        <f>ROUND(PI()*Q179^2/4*7.85/1000,3)</f>
        <v>4.1680000000000001</v>
      </c>
      <c r="BC179" s="62"/>
      <c r="BD179" s="62"/>
      <c r="BE179" s="63">
        <f>O179*AB179</f>
        <v>448</v>
      </c>
      <c r="BF179" s="63"/>
      <c r="BG179" s="63"/>
      <c r="BH179" s="83">
        <f>+W179</f>
        <v>1.3</v>
      </c>
      <c r="BI179" s="83"/>
      <c r="BJ179" s="83"/>
      <c r="BK179" s="134">
        <f t="shared" ref="BK179:BK181" si="21">+BE179*BH179</f>
        <v>582.4</v>
      </c>
      <c r="BL179" s="135"/>
      <c r="BM179" s="136"/>
      <c r="BN179" s="83">
        <f t="shared" ref="BN179:BN181" si="22">BB179*(BE179*BH179)</f>
        <v>2427.4432000000002</v>
      </c>
      <c r="BO179" s="83"/>
      <c r="BP179" s="83"/>
      <c r="BQ179" s="83"/>
      <c r="BR179" s="96">
        <v>25</v>
      </c>
      <c r="BS179" s="96"/>
      <c r="BT179" s="96"/>
      <c r="BU179" s="96"/>
      <c r="BV179" s="96"/>
      <c r="BW179" s="96"/>
      <c r="BX179" s="65">
        <f t="shared" ref="BX179:BX183" si="23">BR179*BN179</f>
        <v>60686.080000000002</v>
      </c>
      <c r="BY179" s="65"/>
      <c r="BZ179" s="65"/>
      <c r="CA179" s="65"/>
      <c r="CB179" s="66"/>
    </row>
    <row r="180" spans="2:80" x14ac:dyDescent="0.2">
      <c r="B180" s="71" t="s">
        <v>500</v>
      </c>
      <c r="C180" s="72"/>
      <c r="D180" s="72"/>
      <c r="E180" s="72"/>
      <c r="F180" s="72"/>
      <c r="G180" s="72"/>
      <c r="H180" s="72"/>
      <c r="I180" s="72"/>
      <c r="J180" s="72"/>
      <c r="K180" s="72"/>
      <c r="L180" s="72"/>
      <c r="M180" s="72"/>
      <c r="N180" s="72"/>
      <c r="O180" s="196">
        <f>+Q101</f>
        <v>9</v>
      </c>
      <c r="P180" s="197"/>
      <c r="Q180" s="215">
        <f>+R101</f>
        <v>8</v>
      </c>
      <c r="R180" s="215"/>
      <c r="S180" s="208">
        <f>+T101</f>
        <v>100</v>
      </c>
      <c r="T180" s="208"/>
      <c r="U180" s="11" t="s">
        <v>272</v>
      </c>
      <c r="V180" s="11"/>
      <c r="W180" s="11"/>
      <c r="X180" s="11" t="s">
        <v>498</v>
      </c>
      <c r="Y180" s="61">
        <f>+R102</f>
        <v>3.3</v>
      </c>
      <c r="Z180" s="61"/>
      <c r="AA180" s="11" t="s">
        <v>0</v>
      </c>
      <c r="AB180" s="11"/>
      <c r="AC180" s="11" t="s">
        <v>498</v>
      </c>
      <c r="AD180" s="61">
        <f>+R103</f>
        <v>2.23</v>
      </c>
      <c r="AE180" s="61"/>
      <c r="AF180" s="11" t="s">
        <v>0</v>
      </c>
      <c r="AG180" s="11"/>
      <c r="AH180" s="11"/>
      <c r="AI180" s="11"/>
      <c r="AJ180" s="61">
        <f>+AB179</f>
        <v>28</v>
      </c>
      <c r="AK180" s="61"/>
      <c r="AL180" s="11" t="s">
        <v>499</v>
      </c>
      <c r="AM180" s="11"/>
      <c r="AN180" s="11"/>
      <c r="AO180" s="11"/>
      <c r="AP180" s="11"/>
      <c r="AQ180" s="11"/>
      <c r="AR180" s="11"/>
      <c r="AS180" s="11"/>
      <c r="AT180" s="11"/>
      <c r="AU180" s="11"/>
      <c r="AV180" s="11"/>
      <c r="AW180" s="11"/>
      <c r="AX180" s="11"/>
      <c r="AY180" s="11"/>
      <c r="AZ180" s="11"/>
      <c r="BA180" s="12"/>
      <c r="BB180" s="62">
        <f>ROUND(PI()*Q180^2/4*7.85/1000,3)</f>
        <v>0.39500000000000002</v>
      </c>
      <c r="BC180" s="62"/>
      <c r="BD180" s="62"/>
      <c r="BE180" s="63">
        <f>O180*AJ180</f>
        <v>252</v>
      </c>
      <c r="BF180" s="63"/>
      <c r="BG180" s="63"/>
      <c r="BH180" s="83">
        <f>+Y180+2*AD180</f>
        <v>7.76</v>
      </c>
      <c r="BI180" s="83"/>
      <c r="BJ180" s="83"/>
      <c r="BK180" s="134">
        <f t="shared" si="21"/>
        <v>1955.52</v>
      </c>
      <c r="BL180" s="135"/>
      <c r="BM180" s="136"/>
      <c r="BN180" s="83">
        <f t="shared" si="22"/>
        <v>772.43040000000008</v>
      </c>
      <c r="BO180" s="83"/>
      <c r="BP180" s="83"/>
      <c r="BQ180" s="83"/>
      <c r="BR180" s="96">
        <v>25</v>
      </c>
      <c r="BS180" s="96"/>
      <c r="BT180" s="96"/>
      <c r="BU180" s="96"/>
      <c r="BV180" s="96"/>
      <c r="BW180" s="96"/>
      <c r="BX180" s="65">
        <f t="shared" si="23"/>
        <v>19310.760000000002</v>
      </c>
      <c r="BY180" s="65"/>
      <c r="BZ180" s="65"/>
      <c r="CA180" s="65"/>
      <c r="CB180" s="66"/>
    </row>
    <row r="181" spans="2:80" x14ac:dyDescent="0.2">
      <c r="B181" s="71" t="s">
        <v>497</v>
      </c>
      <c r="C181" s="72"/>
      <c r="D181" s="72"/>
      <c r="E181" s="72"/>
      <c r="F181" s="72"/>
      <c r="G181" s="72"/>
      <c r="H181" s="72"/>
      <c r="I181" s="72"/>
      <c r="J181" s="72"/>
      <c r="K181" s="72"/>
      <c r="L181" s="72"/>
      <c r="M181" s="72"/>
      <c r="N181" s="72"/>
      <c r="O181" s="196">
        <f>+L105</f>
        <v>18</v>
      </c>
      <c r="P181" s="197"/>
      <c r="Q181" s="214">
        <f>+N105</f>
        <v>16</v>
      </c>
      <c r="R181" s="214"/>
      <c r="S181" s="107">
        <f>+P105</f>
        <v>250</v>
      </c>
      <c r="T181" s="107"/>
      <c r="U181" s="11" t="s">
        <v>272</v>
      </c>
      <c r="X181" s="11" t="s">
        <v>498</v>
      </c>
      <c r="Y181" s="61">
        <f>+M106</f>
        <v>2.5</v>
      </c>
      <c r="Z181" s="61"/>
      <c r="AA181" s="11" t="s">
        <v>0</v>
      </c>
      <c r="AB181" s="11"/>
      <c r="AC181" s="11"/>
      <c r="AD181" s="61">
        <f>+AB179</f>
        <v>28</v>
      </c>
      <c r="AE181" s="61"/>
      <c r="AF181" s="11" t="s">
        <v>499</v>
      </c>
      <c r="AG181" s="11"/>
      <c r="AH181" s="11"/>
      <c r="AI181" s="11"/>
      <c r="AJ181" s="11"/>
      <c r="AK181" s="11"/>
      <c r="AV181" s="11"/>
      <c r="AW181" s="11"/>
      <c r="AX181" s="11"/>
      <c r="AY181" s="11"/>
      <c r="AZ181" s="11"/>
      <c r="BA181" s="12"/>
      <c r="BB181" s="62">
        <f>ROUND(PI()*Q181^2/4*7.85/1000,3)</f>
        <v>1.5780000000000001</v>
      </c>
      <c r="BC181" s="62"/>
      <c r="BD181" s="62"/>
      <c r="BE181" s="63">
        <f>O181*AD181</f>
        <v>504</v>
      </c>
      <c r="BF181" s="63"/>
      <c r="BG181" s="63"/>
      <c r="BH181" s="83">
        <f>+Y181</f>
        <v>2.5</v>
      </c>
      <c r="BI181" s="83"/>
      <c r="BJ181" s="83"/>
      <c r="BK181" s="134">
        <f t="shared" si="21"/>
        <v>1260</v>
      </c>
      <c r="BL181" s="135"/>
      <c r="BM181" s="136"/>
      <c r="BN181" s="83">
        <f t="shared" si="22"/>
        <v>1988.2800000000002</v>
      </c>
      <c r="BO181" s="83"/>
      <c r="BP181" s="83"/>
      <c r="BQ181" s="83"/>
      <c r="BR181" s="96">
        <v>25</v>
      </c>
      <c r="BS181" s="96"/>
      <c r="BT181" s="96"/>
      <c r="BU181" s="96"/>
      <c r="BV181" s="96"/>
      <c r="BW181" s="96"/>
      <c r="BX181" s="65">
        <f t="shared" si="23"/>
        <v>49707.000000000007</v>
      </c>
      <c r="BY181" s="65"/>
      <c r="BZ181" s="65"/>
      <c r="CA181" s="65"/>
      <c r="CB181" s="66"/>
    </row>
    <row r="182" spans="2:80" x14ac:dyDescent="0.2">
      <c r="B182" s="41" t="s">
        <v>505</v>
      </c>
      <c r="C182" s="42"/>
      <c r="D182" s="42"/>
      <c r="E182" s="42"/>
      <c r="F182" s="42"/>
      <c r="G182" s="42"/>
      <c r="H182" s="218" t="s">
        <v>530</v>
      </c>
      <c r="I182" s="218"/>
      <c r="J182" s="218"/>
      <c r="K182" s="95" cm="1">
        <f t="array" ref="K182">INDEX(BQ104:BQ113,MATCH(H182,AZ104:AZ113,0),0)</f>
        <v>3.47</v>
      </c>
      <c r="L182" s="95"/>
      <c r="M182" s="42" t="s">
        <v>504</v>
      </c>
      <c r="N182" s="43"/>
      <c r="O182" s="13" t="s">
        <v>506</v>
      </c>
      <c r="P182" s="11"/>
      <c r="Q182" s="11"/>
      <c r="R182" s="11"/>
      <c r="S182" s="61">
        <f>+S24</f>
        <v>24</v>
      </c>
      <c r="T182" s="61"/>
      <c r="U182" s="61"/>
      <c r="V182" s="11" t="s">
        <v>0</v>
      </c>
      <c r="W182" s="19" t="s">
        <v>491</v>
      </c>
      <c r="X182" s="61">
        <f>+C41</f>
        <v>42</v>
      </c>
      <c r="Y182" s="61"/>
      <c r="Z182" s="61"/>
      <c r="AA182" s="11" t="s">
        <v>0</v>
      </c>
      <c r="AB182" s="48" t="s">
        <v>501</v>
      </c>
      <c r="AC182" s="73">
        <v>5</v>
      </c>
      <c r="AD182" s="73"/>
      <c r="AE182" s="11" t="s">
        <v>0</v>
      </c>
      <c r="AF182" s="19" t="s">
        <v>491</v>
      </c>
      <c r="AG182" s="73">
        <v>2.15</v>
      </c>
      <c r="AH182" s="73"/>
      <c r="AI182" s="11" t="s">
        <v>0</v>
      </c>
      <c r="AJ182" s="11" t="s">
        <v>502</v>
      </c>
      <c r="AK182" s="11" t="s">
        <v>503</v>
      </c>
      <c r="AL182" s="11"/>
      <c r="AM182" s="11"/>
      <c r="AN182" s="11"/>
      <c r="AO182" s="73">
        <v>0.3</v>
      </c>
      <c r="AP182" s="73"/>
      <c r="AQ182" s="11" t="s">
        <v>0</v>
      </c>
      <c r="AR182" s="11"/>
      <c r="AS182" s="11" t="s">
        <v>506</v>
      </c>
      <c r="AT182" s="11"/>
      <c r="AU182" s="11"/>
      <c r="AV182" s="11"/>
      <c r="AW182" s="61">
        <f>(INT((((S182-AC182)/(AC182-AO182))+1))*BA182*AC182*AG182)+(IF(S182-INT((((S182-AC182)/(AC182-AO182))+1))*(AC182-AO182)&lt;=AO182,0,+BA182)*IF(S182-INT((((S182-AC182)/(AC182-AO182))+1))*(AC182-AO182)&lt;=AO182,0,S182-INT((((S182-AC182)/(AC182-AO182))+1))*(AC182-AO182))*IF(S182-INT((((S182-AC182)/(AC182-AO182))+1))*(AC182-AO182)&lt;=AO182,0,+AG182))+((IF(X182-BA182*(AG182-AO182)&lt;=AO182,0,+INT((((S182-AC182)/(AC182-AO182))+1))))*(IF(X182-BA182*(AG182-AO182)&lt;=AO182,0,X182-BA182*(AG182-AO182)))*(IF(X182-BA182*(AG182-AO182)&lt;=AO182,0,+AC182)))+(IF(OR(IF(S182-INT((((S182-AC182)/(AC182-AO182))+1))*(AC182-AO182)&lt;=AO182,0,S182-INT((((S182-AC182)/(AC182-AO182))+1))*(AC182-AO182))=0,IF(X182-BA182*(AG182-AO182)&lt;=AO182,0,X182-BA182*(AG182-AO182))=0),0,IF(X182-BA182*(AG182-AO182)&lt;=AO182,0,X182-BA182*(AG182-AO182)))*IF(OR(IF(S182-INT((((S182-AC182)/(AC182-AO182))+1))*(AC182-AO182)&lt;=AO182,0,S182-INT((((S182-AC182)/(AC182-AO182))+1))*(AC182-AO182))=0,IF(X182-BA182*(AG182-AO182)&lt;=AO182,0,X182-BA182*(AG182-AO182))=0),0,IF(S182-INT((((S182-AC182)/(AC182-AO182))+1))*(AC182-AO182)&lt;=AO182,0,S182-INT((((S182-AC182)/(AC182-AO182))+1))*(AC182-AO182))))</f>
        <v>1239.3000000000002</v>
      </c>
      <c r="AX182" s="61"/>
      <c r="AY182" s="61"/>
      <c r="AZ182" s="11" t="s">
        <v>294</v>
      </c>
      <c r="BA182" s="49">
        <f>INT((((X182-AG182)/(AG182-AO182))+1))</f>
        <v>22</v>
      </c>
      <c r="BB182" s="63" t="s">
        <v>276</v>
      </c>
      <c r="BC182" s="63"/>
      <c r="BD182" s="63"/>
      <c r="BE182" s="63">
        <v>1</v>
      </c>
      <c r="BF182" s="63"/>
      <c r="BG182" s="63"/>
      <c r="BH182" s="62" t="s">
        <v>276</v>
      </c>
      <c r="BI182" s="62"/>
      <c r="BJ182" s="62"/>
      <c r="BK182" s="62" t="s">
        <v>276</v>
      </c>
      <c r="BL182" s="62"/>
      <c r="BM182" s="62"/>
      <c r="BN182" s="83">
        <f>+AW182*K182</f>
        <v>4300.371000000001</v>
      </c>
      <c r="BO182" s="83"/>
      <c r="BP182" s="83"/>
      <c r="BQ182" s="83"/>
      <c r="BR182" s="96">
        <v>25</v>
      </c>
      <c r="BS182" s="96"/>
      <c r="BT182" s="96"/>
      <c r="BU182" s="96"/>
      <c r="BV182" s="96"/>
      <c r="BW182" s="96"/>
      <c r="BX182" s="65">
        <f t="shared" si="23"/>
        <v>107509.27500000002</v>
      </c>
      <c r="BY182" s="65"/>
      <c r="BZ182" s="65"/>
      <c r="CA182" s="65"/>
      <c r="CB182" s="66"/>
    </row>
    <row r="183" spans="2:80" x14ac:dyDescent="0.2">
      <c r="B183" s="41" t="s">
        <v>540</v>
      </c>
      <c r="C183" s="42"/>
      <c r="D183" s="42"/>
      <c r="E183" s="42"/>
      <c r="F183" s="42"/>
      <c r="G183" s="42"/>
      <c r="H183" s="219" t="s">
        <v>521</v>
      </c>
      <c r="I183" s="219"/>
      <c r="J183" s="219"/>
      <c r="K183" s="95" cm="1">
        <f t="array" ref="K183">INDEX(BQ95:BQ103,MATCH(H183,AZ95:AZ103,0),0)</f>
        <v>2.35</v>
      </c>
      <c r="L183" s="95"/>
      <c r="M183" s="42" t="s">
        <v>504</v>
      </c>
      <c r="N183" s="43"/>
      <c r="O183" s="13" t="s">
        <v>506</v>
      </c>
      <c r="P183" s="11"/>
      <c r="Q183" s="11"/>
      <c r="R183" s="11"/>
      <c r="S183" s="61">
        <f>+W177</f>
        <v>106.80000000000001</v>
      </c>
      <c r="T183" s="61"/>
      <c r="U183" s="61"/>
      <c r="V183" s="11" t="s">
        <v>0</v>
      </c>
      <c r="W183" s="19" t="s">
        <v>491</v>
      </c>
      <c r="X183" s="61">
        <f>+Q95+Q91-0.1</f>
        <v>1.1000000000000001</v>
      </c>
      <c r="Y183" s="61"/>
      <c r="Z183" s="61"/>
      <c r="AA183" s="11" t="s">
        <v>0</v>
      </c>
      <c r="AB183" s="48" t="s">
        <v>501</v>
      </c>
      <c r="AC183" s="73">
        <v>5</v>
      </c>
      <c r="AD183" s="73"/>
      <c r="AE183" s="11" t="s">
        <v>0</v>
      </c>
      <c r="AF183" s="19" t="s">
        <v>491</v>
      </c>
      <c r="AG183" s="73">
        <v>2.15</v>
      </c>
      <c r="AH183" s="73"/>
      <c r="AI183" s="11" t="s">
        <v>0</v>
      </c>
      <c r="AJ183" s="11" t="s">
        <v>502</v>
      </c>
      <c r="AK183" s="11" t="s">
        <v>503</v>
      </c>
      <c r="AL183" s="11"/>
      <c r="AM183" s="11"/>
      <c r="AN183" s="11"/>
      <c r="AO183" s="73">
        <v>0.3</v>
      </c>
      <c r="AP183" s="73"/>
      <c r="AQ183" s="11" t="s">
        <v>0</v>
      </c>
      <c r="AR183" s="11"/>
      <c r="AS183" s="11" t="s">
        <v>506</v>
      </c>
      <c r="AT183" s="11"/>
      <c r="AU183" s="11"/>
      <c r="AV183" s="11"/>
      <c r="AW183" s="61">
        <f>(INT((((S183-AC183)/(AC183-AO183))+1))*BA183*AC183*AG183)+(IF(S183-INT((((S183-AC183)/(AC183-AO183))+1))*(AC183-AO183)&lt;=AO183,0,+BA183)*IF(S183-INT((((S183-AC183)/(AC183-AO183))+1))*(AC183-AO183)&lt;=AO183,0,S183-INT((((S183-AC183)/(AC183-AO183))+1))*(AC183-AO183))*IF(S183-INT((((S183-AC183)/(AC183-AO183))+1))*(AC183-AO183)&lt;=AO183,0,+AG183))+((IF(X183-BA183*(AG183-AO183)&lt;=AO183,0,+INT((((S183-AC183)/(AC183-AO183))+1))))*(IF(X183-BA183*(AG183-AO183)&lt;=AO183,0,X183-BA183*(AG183-AO183)))*(IF(X183-BA183*(AG183-AO183)&lt;=AO183,0,+AC183)))+(IF(OR(IF(S183-INT((((S183-AC183)/(AC183-AO183))+1))*(AC183-AO183)&lt;=AO183,0,S183-INT((((S183-AC183)/(AC183-AO183))+1))*(AC183-AO183))=0,IF(X183-BA183*(AG183-AO183)&lt;=AO183,0,X183-BA183*(AG183-AO183))=0),0,IF(X183-BA183*(AG183-AO183)&lt;=AO183,0,X183-BA183*(AG183-AO183)))*IF(OR(IF(S183-INT((((S183-AC183)/(AC183-AO183))+1))*(AC183-AO183)&lt;=AO183,0,S183-INT((((S183-AC183)/(AC183-AO183))+1))*(AC183-AO183))=0,IF(X183-BA183*(AG183-AO183)&lt;=AO183,0,X183-BA183*(AG183-AO183))=0),0,IF(S183-INT((((S183-AC183)/(AC183-AO183))+1))*(AC183-AO183)&lt;=AO183,0,S183-INT((((S183-AC183)/(AC183-AO183))+1))*(AC183-AO183))))</f>
        <v>124.74000000000002</v>
      </c>
      <c r="AX183" s="61"/>
      <c r="AY183" s="61"/>
      <c r="AZ183" s="11" t="s">
        <v>294</v>
      </c>
      <c r="BA183" s="49">
        <f>INT((((X183-AG183)/(AG183-AO183))+1))</f>
        <v>0</v>
      </c>
      <c r="BB183" s="63" t="s">
        <v>276</v>
      </c>
      <c r="BC183" s="63"/>
      <c r="BD183" s="63"/>
      <c r="BE183" s="63">
        <v>1</v>
      </c>
      <c r="BF183" s="63"/>
      <c r="BG183" s="63"/>
      <c r="BH183" s="62" t="s">
        <v>276</v>
      </c>
      <c r="BI183" s="62"/>
      <c r="BJ183" s="62"/>
      <c r="BK183" s="62" t="s">
        <v>276</v>
      </c>
      <c r="BL183" s="62"/>
      <c r="BM183" s="62"/>
      <c r="BN183" s="83">
        <f>+AW183*K183</f>
        <v>293.13900000000007</v>
      </c>
      <c r="BO183" s="83"/>
      <c r="BP183" s="83"/>
      <c r="BQ183" s="83"/>
      <c r="BR183" s="96">
        <v>25</v>
      </c>
      <c r="BS183" s="96"/>
      <c r="BT183" s="96"/>
      <c r="BU183" s="96"/>
      <c r="BV183" s="96"/>
      <c r="BW183" s="96"/>
      <c r="BX183" s="65">
        <f t="shared" si="23"/>
        <v>7328.4750000000013</v>
      </c>
      <c r="BY183" s="65"/>
      <c r="BZ183" s="65"/>
      <c r="CA183" s="65"/>
      <c r="CB183" s="66"/>
    </row>
    <row r="184" spans="2:80" x14ac:dyDescent="0.2">
      <c r="B184" s="14"/>
      <c r="AD184" s="1" t="s">
        <v>507</v>
      </c>
      <c r="BG184" s="206" t="s">
        <v>301</v>
      </c>
      <c r="BH184" s="206"/>
      <c r="BI184" s="206"/>
      <c r="BJ184" s="206"/>
      <c r="BK184" s="206"/>
      <c r="BL184" s="206"/>
      <c r="BM184" s="206"/>
      <c r="BN184" s="207">
        <f>SUM(BN175:BQ183)</f>
        <v>9781.6635999999999</v>
      </c>
      <c r="BO184" s="206"/>
      <c r="BP184" s="206"/>
      <c r="BQ184" s="206"/>
      <c r="BS184" s="206" t="s">
        <v>484</v>
      </c>
      <c r="BT184" s="206"/>
      <c r="BU184" s="206"/>
      <c r="BV184" s="206"/>
      <c r="BW184" s="206"/>
      <c r="BX184" s="203">
        <f>SUM(BX175:CB183)</f>
        <v>846493.59</v>
      </c>
      <c r="BY184" s="203"/>
      <c r="BZ184" s="203"/>
      <c r="CA184" s="203"/>
      <c r="CB184" s="204"/>
    </row>
    <row r="185" spans="2:80" x14ac:dyDescent="0.2">
      <c r="B185" s="14"/>
      <c r="BG185" s="133" t="s">
        <v>302</v>
      </c>
      <c r="BH185" s="133"/>
      <c r="BI185" s="133"/>
      <c r="BJ185" s="133"/>
      <c r="BK185" s="133"/>
      <c r="BL185" s="133"/>
      <c r="BM185" s="133"/>
      <c r="BN185" s="132">
        <f>+BN184/1000</f>
        <v>9.7816635999999999</v>
      </c>
      <c r="BO185" s="133"/>
      <c r="BP185" s="133"/>
      <c r="BQ185" s="133"/>
      <c r="BS185" s="133" t="s">
        <v>485</v>
      </c>
      <c r="BT185" s="133"/>
      <c r="BU185" s="133"/>
      <c r="BV185" s="133"/>
      <c r="BW185" s="133"/>
      <c r="BX185" s="138">
        <f>BX184*0.18</f>
        <v>152368.8462</v>
      </c>
      <c r="BY185" s="138"/>
      <c r="BZ185" s="138"/>
      <c r="CA185" s="138"/>
      <c r="CB185" s="139"/>
    </row>
    <row r="186" spans="2:80" x14ac:dyDescent="0.2">
      <c r="B186" s="14"/>
      <c r="BG186" s="133" t="s">
        <v>550</v>
      </c>
      <c r="BH186" s="133"/>
      <c r="BI186" s="133"/>
      <c r="BJ186" s="133"/>
      <c r="BK186" s="133"/>
      <c r="BL186" s="133"/>
      <c r="BM186" s="133"/>
      <c r="BN186" s="186">
        <f>+AF175+AF176+AS177+AA178</f>
        <v>231.52</v>
      </c>
      <c r="BO186" s="186"/>
      <c r="BP186" s="186"/>
      <c r="BQ186" s="186"/>
      <c r="BS186" s="133" t="s">
        <v>486</v>
      </c>
      <c r="BT186" s="133"/>
      <c r="BU186" s="133"/>
      <c r="BV186" s="133"/>
      <c r="BW186" s="133"/>
      <c r="BX186" s="140">
        <f>+BX185+BX184</f>
        <v>998862.4362</v>
      </c>
      <c r="BY186" s="140"/>
      <c r="BZ186" s="140"/>
      <c r="CA186" s="140"/>
      <c r="CB186" s="141"/>
    </row>
    <row r="187" spans="2:80" x14ac:dyDescent="0.2">
      <c r="B187" s="14"/>
      <c r="BG187" s="133" t="s">
        <v>551</v>
      </c>
      <c r="BH187" s="133"/>
      <c r="BI187" s="133"/>
      <c r="BJ187" s="133"/>
      <c r="BK187" s="133"/>
      <c r="BL187" s="133"/>
      <c r="BM187" s="133"/>
      <c r="BN187" s="137">
        <f>+BN184/BN186</f>
        <v>42.249756392536277</v>
      </c>
      <c r="BO187" s="137"/>
      <c r="BP187" s="137"/>
      <c r="BQ187" s="137"/>
      <c r="BR187" s="97" t="s">
        <v>544</v>
      </c>
      <c r="BS187" s="95"/>
      <c r="BT187" s="95"/>
      <c r="BU187" s="95"/>
      <c r="BV187" s="95"/>
      <c r="BW187" s="98"/>
      <c r="BX187" s="140">
        <f>+BX173+BX186</f>
        <v>5169638.9653187776</v>
      </c>
      <c r="BY187" s="140"/>
      <c r="BZ187" s="140"/>
      <c r="CA187" s="140"/>
      <c r="CB187" s="141"/>
    </row>
    <row r="188" spans="2:80" ht="12" thickBot="1" x14ac:dyDescent="0.25">
      <c r="B188" s="16"/>
      <c r="C188" s="17"/>
      <c r="D188" s="17"/>
      <c r="E188" s="17"/>
      <c r="F188" s="17"/>
      <c r="G188" s="17"/>
      <c r="H188" s="17"/>
      <c r="I188" s="17"/>
      <c r="J188" s="17"/>
      <c r="K188" s="17"/>
      <c r="L188" s="17"/>
      <c r="M188" s="17"/>
      <c r="N188" s="17"/>
      <c r="O188" s="17"/>
      <c r="P188" s="17"/>
      <c r="Q188" s="17"/>
      <c r="R188" s="17"/>
      <c r="S188" s="17"/>
      <c r="T188" s="17"/>
      <c r="U188" s="17"/>
      <c r="V188" s="17"/>
      <c r="W188" s="17"/>
      <c r="X188" s="17"/>
      <c r="Y188" s="17"/>
      <c r="Z188" s="17"/>
      <c r="AA188" s="17"/>
      <c r="AB188" s="17"/>
      <c r="AC188" s="17"/>
      <c r="AD188" s="17"/>
      <c r="AE188" s="17"/>
      <c r="AF188" s="17"/>
      <c r="AG188" s="17"/>
      <c r="AH188" s="17"/>
      <c r="AI188" s="17"/>
      <c r="AJ188" s="17"/>
      <c r="AK188" s="17"/>
      <c r="AL188" s="17"/>
      <c r="AM188" s="17"/>
      <c r="AN188" s="17"/>
      <c r="AO188" s="17"/>
      <c r="AP188" s="17"/>
      <c r="AQ188" s="17"/>
      <c r="AR188" s="17"/>
      <c r="AS188" s="17"/>
      <c r="AT188" s="17"/>
      <c r="AU188" s="17"/>
      <c r="AV188" s="17"/>
      <c r="AW188" s="17"/>
      <c r="AX188" s="17"/>
      <c r="AY188" s="17"/>
      <c r="AZ188" s="17"/>
      <c r="BA188" s="17"/>
      <c r="BB188" s="17"/>
      <c r="BC188" s="17"/>
      <c r="BD188" s="17"/>
      <c r="BE188" s="17"/>
      <c r="BF188" s="17"/>
      <c r="BG188" s="17"/>
      <c r="BH188" s="17"/>
      <c r="BI188" s="17"/>
      <c r="BJ188" s="17"/>
      <c r="BK188" s="17"/>
      <c r="BL188" s="17"/>
      <c r="BM188" s="17"/>
      <c r="BN188" s="17"/>
      <c r="BO188" s="17"/>
      <c r="BP188" s="17"/>
      <c r="BQ188" s="17"/>
      <c r="BR188" s="17"/>
      <c r="BS188" s="17"/>
      <c r="BT188" s="17"/>
      <c r="BU188" s="17"/>
      <c r="BV188" s="17"/>
      <c r="BW188" s="17"/>
      <c r="BX188" s="17"/>
      <c r="BY188" s="17"/>
      <c r="BZ188" s="17"/>
      <c r="CA188" s="17"/>
      <c r="CB188" s="18"/>
    </row>
    <row r="189" spans="2:80" ht="12" thickBot="1" x14ac:dyDescent="0.25"/>
    <row r="190" spans="2:80" ht="47.25" customHeight="1" x14ac:dyDescent="0.2">
      <c r="B190" s="187" t="s">
        <v>468</v>
      </c>
      <c r="C190" s="188"/>
      <c r="D190" s="188"/>
      <c r="E190" s="188"/>
      <c r="F190" s="188"/>
      <c r="G190" s="188"/>
      <c r="H190" s="188"/>
      <c r="I190" s="188"/>
      <c r="J190" s="188"/>
      <c r="K190" s="188"/>
      <c r="L190" s="188"/>
      <c r="M190" s="188"/>
      <c r="N190" s="188"/>
      <c r="O190" s="188"/>
      <c r="P190" s="188"/>
      <c r="Q190" s="188"/>
      <c r="R190" s="188"/>
      <c r="S190" s="188"/>
      <c r="T190" s="188"/>
      <c r="U190" s="188"/>
      <c r="V190" s="188"/>
      <c r="W190" s="188"/>
      <c r="X190" s="188"/>
      <c r="Y190" s="188"/>
      <c r="Z190" s="188"/>
      <c r="AA190" s="188"/>
      <c r="AB190" s="188"/>
      <c r="AC190" s="188"/>
      <c r="AD190" s="188"/>
      <c r="AE190" s="188"/>
      <c r="AF190" s="188"/>
      <c r="AG190" s="188"/>
      <c r="AH190" s="188"/>
      <c r="AI190" s="188"/>
      <c r="AJ190" s="188"/>
      <c r="AK190" s="188"/>
      <c r="AL190" s="188"/>
      <c r="AM190" s="188"/>
      <c r="AN190" s="188"/>
      <c r="AO190" s="188"/>
      <c r="AP190" s="188"/>
      <c r="AQ190" s="188"/>
      <c r="AR190" s="188"/>
      <c r="AS190" s="188"/>
      <c r="AT190" s="188"/>
      <c r="AU190" s="188"/>
      <c r="AV190" s="188"/>
      <c r="AW190" s="188"/>
      <c r="AX190" s="188"/>
      <c r="AY190" s="188"/>
      <c r="AZ190" s="188"/>
      <c r="BA190" s="188"/>
      <c r="BB190" s="188"/>
      <c r="BC190" s="188"/>
      <c r="BD190" s="188"/>
      <c r="BE190" s="188"/>
      <c r="BF190" s="188"/>
      <c r="BG190" s="188"/>
      <c r="BH190" s="188"/>
      <c r="BI190" s="188"/>
      <c r="BJ190" s="188"/>
      <c r="BK190" s="188"/>
      <c r="BL190" s="188"/>
      <c r="BM190" s="188"/>
      <c r="BN190" s="188"/>
      <c r="BO190" s="188"/>
      <c r="BP190" s="188"/>
      <c r="BQ190" s="188"/>
      <c r="BR190" s="188"/>
      <c r="BS190" s="188"/>
      <c r="BT190" s="188"/>
      <c r="BU190" s="188"/>
      <c r="BV190" s="188"/>
      <c r="BW190" s="188"/>
      <c r="BX190" s="188"/>
      <c r="BY190" s="188"/>
      <c r="BZ190" s="188"/>
      <c r="CA190" s="188"/>
      <c r="CB190" s="189"/>
    </row>
    <row r="191" spans="2:80" ht="11.25" customHeight="1" x14ac:dyDescent="0.2">
      <c r="B191" s="14"/>
      <c r="D191" s="31" t="s">
        <v>280</v>
      </c>
      <c r="AB191" s="32"/>
      <c r="AC191" s="5"/>
      <c r="AD191" s="5"/>
      <c r="AE191" s="5"/>
      <c r="AF191" s="5"/>
      <c r="AG191" s="5"/>
      <c r="AH191" s="33"/>
      <c r="AI191" s="34"/>
      <c r="AJ191" s="34"/>
      <c r="AK191" s="34"/>
      <c r="AL191" s="34"/>
      <c r="AM191" s="34"/>
      <c r="AN191" s="34"/>
      <c r="AO191" s="5"/>
      <c r="AP191" s="5"/>
      <c r="AQ191" s="5"/>
      <c r="AR191" s="5"/>
      <c r="AS191" s="5"/>
      <c r="CB191" s="15"/>
    </row>
    <row r="192" spans="2:80" ht="11.25" customHeight="1" x14ac:dyDescent="0.2">
      <c r="B192" s="14"/>
      <c r="Q192" s="35" t="s">
        <v>5</v>
      </c>
      <c r="R192" s="35"/>
      <c r="AX192" s="35" t="s">
        <v>290</v>
      </c>
      <c r="BI192" s="1" t="s">
        <v>561</v>
      </c>
      <c r="CB192" s="15"/>
    </row>
    <row r="193" spans="2:80" ht="11.25" customHeight="1" x14ac:dyDescent="0.2">
      <c r="B193" s="14"/>
      <c r="CB193" s="15"/>
    </row>
    <row r="194" spans="2:80" ht="11.25" customHeight="1" x14ac:dyDescent="0.2">
      <c r="B194" s="14"/>
      <c r="E194" s="36" t="s">
        <v>0</v>
      </c>
      <c r="X194" s="1" t="s">
        <v>12</v>
      </c>
      <c r="CB194" s="15"/>
    </row>
    <row r="195" spans="2:80" ht="11.25" customHeight="1" x14ac:dyDescent="0.2">
      <c r="B195" s="14"/>
      <c r="E195" s="122">
        <v>1.2</v>
      </c>
      <c r="AH195" s="60">
        <f>+E195</f>
        <v>1.2</v>
      </c>
      <c r="AI195" s="60"/>
      <c r="AJ195" s="1" t="s">
        <v>0</v>
      </c>
      <c r="BO195" s="1" t="s">
        <v>466</v>
      </c>
      <c r="CB195" s="15"/>
    </row>
    <row r="196" spans="2:80" ht="11.25" customHeight="1" x14ac:dyDescent="0.2">
      <c r="B196" s="14"/>
      <c r="E196" s="122"/>
      <c r="CB196" s="15"/>
    </row>
    <row r="197" spans="2:80" x14ac:dyDescent="0.2">
      <c r="B197" s="14"/>
      <c r="E197" s="122"/>
      <c r="CB197" s="15"/>
    </row>
    <row r="198" spans="2:80" x14ac:dyDescent="0.2">
      <c r="B198" s="14"/>
      <c r="C198" s="36" t="s">
        <v>0</v>
      </c>
      <c r="N198" s="60">
        <f>SQRT(E195^2+N207^2)</f>
        <v>12.059850745345068</v>
      </c>
      <c r="O198" s="60"/>
      <c r="P198" s="1" t="s">
        <v>0</v>
      </c>
      <c r="AB198" s="60">
        <f>ATAN(E195/N207)*180/PI()</f>
        <v>5.7105931374996421</v>
      </c>
      <c r="AC198" s="60"/>
      <c r="AD198" s="37" t="s">
        <v>6</v>
      </c>
      <c r="AH198" s="91">
        <v>0.6</v>
      </c>
      <c r="AI198" s="91"/>
      <c r="AJ198" s="1" t="s">
        <v>0</v>
      </c>
      <c r="CB198" s="15"/>
    </row>
    <row r="199" spans="2:80" x14ac:dyDescent="0.2">
      <c r="B199" s="14"/>
      <c r="C199" s="121">
        <f>+E195+E201</f>
        <v>9.1999999999999993</v>
      </c>
      <c r="AH199" s="60">
        <f>(E201-AH198)/3</f>
        <v>2.4666666666666668</v>
      </c>
      <c r="AI199" s="60"/>
      <c r="AJ199" s="183" t="s">
        <v>0</v>
      </c>
      <c r="CB199" s="15"/>
    </row>
    <row r="200" spans="2:80" x14ac:dyDescent="0.2">
      <c r="B200" s="14"/>
      <c r="C200" s="121"/>
      <c r="E200" s="36" t="s">
        <v>0</v>
      </c>
      <c r="AH200" s="60"/>
      <c r="AI200" s="60"/>
      <c r="AJ200" s="183"/>
      <c r="CB200" s="15"/>
    </row>
    <row r="201" spans="2:80" x14ac:dyDescent="0.2">
      <c r="B201" s="14"/>
      <c r="C201" s="121"/>
      <c r="E201" s="122">
        <v>8</v>
      </c>
      <c r="BO201" s="1" t="s">
        <v>7</v>
      </c>
      <c r="CB201" s="15"/>
    </row>
    <row r="202" spans="2:80" x14ac:dyDescent="0.2">
      <c r="B202" s="14"/>
      <c r="E202" s="122"/>
      <c r="AD202" s="1" t="s">
        <v>13</v>
      </c>
      <c r="AH202" s="60">
        <f>+AH199</f>
        <v>2.4666666666666668</v>
      </c>
      <c r="AI202" s="60"/>
      <c r="AJ202" s="1" t="s">
        <v>0</v>
      </c>
      <c r="CB202" s="15"/>
    </row>
    <row r="203" spans="2:80" x14ac:dyDescent="0.2">
      <c r="B203" s="14"/>
      <c r="E203" s="122"/>
      <c r="CB203" s="15"/>
    </row>
    <row r="204" spans="2:80" x14ac:dyDescent="0.2">
      <c r="B204" s="14"/>
      <c r="AH204" s="60">
        <f>+AH202</f>
        <v>2.4666666666666668</v>
      </c>
      <c r="AI204" s="60"/>
      <c r="AJ204" s="183" t="s">
        <v>0</v>
      </c>
      <c r="CB204" s="15"/>
    </row>
    <row r="205" spans="2:80" x14ac:dyDescent="0.2">
      <c r="B205" s="14"/>
      <c r="AH205" s="60"/>
      <c r="AI205" s="60"/>
      <c r="AJ205" s="183"/>
      <c r="CB205" s="15"/>
    </row>
    <row r="206" spans="2:80" x14ac:dyDescent="0.2">
      <c r="B206" s="14"/>
      <c r="CB206" s="15"/>
    </row>
    <row r="207" spans="2:80" x14ac:dyDescent="0.2">
      <c r="B207" s="14"/>
      <c r="N207" s="60">
        <f>+S209/2</f>
        <v>12</v>
      </c>
      <c r="O207" s="60"/>
      <c r="P207" s="1" t="s">
        <v>0</v>
      </c>
      <c r="Y207" s="60">
        <f>+S209/2</f>
        <v>12</v>
      </c>
      <c r="Z207" s="60"/>
      <c r="AA207" s="1" t="s">
        <v>0</v>
      </c>
      <c r="AM207" s="60">
        <f>+E218</f>
        <v>6</v>
      </c>
      <c r="AN207" s="60"/>
      <c r="AO207" s="1" t="s">
        <v>0</v>
      </c>
      <c r="AQ207" s="60">
        <f>+AM207</f>
        <v>6</v>
      </c>
      <c r="AR207" s="60"/>
      <c r="AS207" s="1" t="s">
        <v>0</v>
      </c>
      <c r="AU207" s="60">
        <f>+AQ207</f>
        <v>6</v>
      </c>
      <c r="AV207" s="60"/>
      <c r="AW207" s="1" t="s">
        <v>0</v>
      </c>
      <c r="AY207" s="60">
        <f>+AU207</f>
        <v>6</v>
      </c>
      <c r="AZ207" s="60"/>
      <c r="BC207" s="60">
        <f>+AY207</f>
        <v>6</v>
      </c>
      <c r="BD207" s="60"/>
      <c r="BG207" s="60">
        <f>+BC207</f>
        <v>6</v>
      </c>
      <c r="BH207" s="60"/>
      <c r="BK207" s="60">
        <f>+BG207</f>
        <v>6</v>
      </c>
      <c r="BL207" s="60"/>
      <c r="BT207" s="60"/>
      <c r="BU207" s="60"/>
      <c r="CB207" s="15"/>
    </row>
    <row r="208" spans="2:80" x14ac:dyDescent="0.2">
      <c r="B208" s="14"/>
      <c r="CB208" s="15"/>
    </row>
    <row r="209" spans="2:80" x14ac:dyDescent="0.2">
      <c r="B209" s="14"/>
      <c r="S209" s="91">
        <v>24</v>
      </c>
      <c r="T209" s="91"/>
      <c r="U209" s="1" t="s">
        <v>0</v>
      </c>
      <c r="AY209" s="60">
        <f>+C229</f>
        <v>42</v>
      </c>
      <c r="AZ209" s="60"/>
      <c r="BA209" s="60"/>
      <c r="BB209" s="1" t="s">
        <v>0</v>
      </c>
      <c r="CB209" s="15"/>
    </row>
    <row r="210" spans="2:80" x14ac:dyDescent="0.2">
      <c r="B210" s="14"/>
      <c r="CB210" s="15"/>
    </row>
    <row r="211" spans="2:80" x14ac:dyDescent="0.2">
      <c r="B211" s="14"/>
      <c r="S211" s="35" t="s">
        <v>3</v>
      </c>
      <c r="AO211" s="40" t="s">
        <v>471</v>
      </c>
      <c r="AP211" s="40"/>
      <c r="AQ211" s="40"/>
      <c r="AR211" s="40"/>
      <c r="AS211" s="40"/>
      <c r="AT211" s="40"/>
      <c r="AU211" s="40"/>
      <c r="AV211" s="40"/>
      <c r="AW211" s="40"/>
      <c r="AX211" s="40"/>
      <c r="AY211" s="40"/>
      <c r="AZ211" s="40"/>
      <c r="BA211" s="40"/>
      <c r="BB211" s="40"/>
      <c r="BC211" s="40"/>
      <c r="BD211" s="40"/>
      <c r="BE211" s="40"/>
      <c r="BF211" s="40"/>
      <c r="BG211" s="40" t="s">
        <v>9</v>
      </c>
      <c r="BH211" s="40"/>
      <c r="BI211" s="40"/>
      <c r="BJ211" s="40"/>
      <c r="BK211" s="40"/>
      <c r="BL211" s="40"/>
      <c r="BM211" s="40"/>
      <c r="BN211" s="40"/>
      <c r="BO211" s="40"/>
      <c r="BP211" s="40"/>
      <c r="BQ211" s="40"/>
      <c r="BR211" s="40"/>
      <c r="BS211" s="40"/>
      <c r="BT211" s="40"/>
      <c r="BU211" s="40"/>
      <c r="BV211" s="40"/>
      <c r="BW211" s="40"/>
      <c r="BX211" s="40"/>
      <c r="BY211" s="40"/>
      <c r="BZ211" s="40"/>
      <c r="CA211" s="40"/>
      <c r="CB211" s="56"/>
    </row>
    <row r="212" spans="2:80" x14ac:dyDescent="0.2">
      <c r="B212" s="14"/>
      <c r="R212" s="25"/>
      <c r="S212" s="60">
        <f>+S209</f>
        <v>24</v>
      </c>
      <c r="T212" s="60"/>
      <c r="U212" s="1" t="s">
        <v>0</v>
      </c>
      <c r="V212" s="25"/>
      <c r="AO212" s="40"/>
      <c r="AP212" s="40"/>
      <c r="AQ212" s="40"/>
      <c r="AR212" s="40"/>
      <c r="AS212" s="40"/>
      <c r="AT212" s="40"/>
      <c r="AU212" s="40"/>
      <c r="AV212" s="40"/>
      <c r="AW212" s="40"/>
      <c r="AX212" s="40"/>
      <c r="AY212" s="40"/>
      <c r="AZ212" s="40"/>
      <c r="BA212" s="40"/>
      <c r="BB212" s="40"/>
      <c r="BC212" s="40"/>
      <c r="BD212" s="40"/>
      <c r="BE212" s="40"/>
      <c r="BF212" s="40"/>
      <c r="BG212" s="40"/>
      <c r="BH212" s="40"/>
      <c r="BI212" s="40"/>
      <c r="BJ212" s="40"/>
      <c r="BK212" s="40"/>
      <c r="BL212" s="40"/>
      <c r="BM212" s="185" t="s">
        <v>427</v>
      </c>
      <c r="BN212" s="185" t="s">
        <v>425</v>
      </c>
      <c r="BO212" s="185" t="s">
        <v>426</v>
      </c>
      <c r="BP212" s="40"/>
      <c r="BQ212" s="40"/>
      <c r="BR212" s="40"/>
      <c r="BS212" s="40"/>
      <c r="BT212" s="40"/>
      <c r="BU212" s="40"/>
      <c r="BV212" s="40"/>
      <c r="BW212" s="40"/>
      <c r="BX212" s="40"/>
      <c r="BY212" s="40"/>
      <c r="BZ212" s="40"/>
      <c r="CA212" s="40"/>
      <c r="CB212" s="56"/>
    </row>
    <row r="213" spans="2:80" x14ac:dyDescent="0.2">
      <c r="B213" s="14"/>
      <c r="S213" s="35"/>
      <c r="AH213" s="1" t="s">
        <v>385</v>
      </c>
      <c r="AO213" s="40"/>
      <c r="AP213" s="40"/>
      <c r="AQ213" s="40"/>
      <c r="AR213" s="40"/>
      <c r="AS213" s="40"/>
      <c r="AT213" s="40"/>
      <c r="AU213" s="40"/>
      <c r="AV213" s="40"/>
      <c r="AW213" s="40"/>
      <c r="AX213" s="40"/>
      <c r="AY213" s="40"/>
      <c r="AZ213" s="40"/>
      <c r="BA213" s="40"/>
      <c r="BB213" s="40"/>
      <c r="BC213" s="40"/>
      <c r="BD213" s="40"/>
      <c r="BE213" s="40"/>
      <c r="BF213" s="40"/>
      <c r="BG213" s="40"/>
      <c r="BH213" s="40"/>
      <c r="BI213" s="40"/>
      <c r="BJ213" s="40"/>
      <c r="BK213" s="40"/>
      <c r="BL213" s="40"/>
      <c r="BM213" s="185"/>
      <c r="BN213" s="185"/>
      <c r="BO213" s="185"/>
      <c r="BP213" s="40"/>
      <c r="BQ213" s="40"/>
      <c r="BR213" s="40"/>
      <c r="BS213" s="40"/>
      <c r="BT213" s="40"/>
      <c r="BU213" s="40"/>
      <c r="BV213" s="40"/>
      <c r="BW213" s="40"/>
      <c r="BX213" s="40"/>
      <c r="BY213" s="40"/>
      <c r="BZ213" s="40"/>
      <c r="CA213" s="40"/>
      <c r="CB213" s="56"/>
    </row>
    <row r="214" spans="2:80" x14ac:dyDescent="0.2">
      <c r="B214" s="14"/>
      <c r="H214" s="60">
        <f>+S212/(AL221-2)</f>
        <v>3</v>
      </c>
      <c r="I214" s="60"/>
      <c r="J214" s="1" t="s">
        <v>0</v>
      </c>
      <c r="K214" s="60">
        <f>+H214</f>
        <v>3</v>
      </c>
      <c r="L214" s="60"/>
      <c r="M214" s="1" t="s">
        <v>0</v>
      </c>
      <c r="N214" s="60">
        <f>+K214</f>
        <v>3</v>
      </c>
      <c r="O214" s="60"/>
      <c r="P214" s="1" t="s">
        <v>0</v>
      </c>
      <c r="Q214" s="60">
        <f>+N214</f>
        <v>3</v>
      </c>
      <c r="R214" s="60"/>
      <c r="S214" s="1" t="s">
        <v>0</v>
      </c>
      <c r="T214" s="60">
        <f>+Q214</f>
        <v>3</v>
      </c>
      <c r="U214" s="60"/>
      <c r="V214" s="1" t="s">
        <v>0</v>
      </c>
      <c r="W214" s="60">
        <f>+T214</f>
        <v>3</v>
      </c>
      <c r="X214" s="60"/>
      <c r="Y214" s="1" t="s">
        <v>0</v>
      </c>
      <c r="Z214" s="60">
        <f>+W214</f>
        <v>3</v>
      </c>
      <c r="AA214" s="60"/>
      <c r="AB214" s="1" t="s">
        <v>0</v>
      </c>
      <c r="AC214" s="60">
        <f>+Z214</f>
        <v>3</v>
      </c>
      <c r="AD214" s="60"/>
      <c r="AE214" s="1" t="s">
        <v>0</v>
      </c>
      <c r="AO214" s="40" t="s">
        <v>483</v>
      </c>
      <c r="AP214" s="40"/>
      <c r="AQ214" s="40"/>
      <c r="AR214" s="40"/>
      <c r="AS214" s="40"/>
      <c r="AT214" s="40"/>
      <c r="AU214" s="40"/>
      <c r="AV214" s="40"/>
      <c r="AW214" s="40"/>
      <c r="AX214" s="40"/>
      <c r="AY214" s="40"/>
      <c r="AZ214" s="40"/>
      <c r="BA214" s="40"/>
      <c r="BB214" s="40"/>
      <c r="BC214" s="40"/>
      <c r="BD214" s="40"/>
      <c r="BE214" s="40"/>
      <c r="BF214" s="40"/>
      <c r="BG214" s="40"/>
      <c r="BH214" s="40"/>
      <c r="BI214" s="40"/>
      <c r="BJ214" s="40"/>
      <c r="BK214" s="40"/>
      <c r="BL214" s="40"/>
      <c r="BM214" s="185"/>
      <c r="BN214" s="185"/>
      <c r="BO214" s="185"/>
      <c r="BP214" s="40"/>
      <c r="BQ214" s="40"/>
      <c r="BR214" s="40"/>
      <c r="BS214" s="40"/>
      <c r="BT214" s="40"/>
      <c r="BU214" s="40"/>
      <c r="BV214" s="40"/>
      <c r="BW214" s="40"/>
      <c r="BX214" s="40"/>
      <c r="BY214" s="40"/>
      <c r="BZ214" s="40"/>
      <c r="CA214" s="40"/>
      <c r="CB214" s="56"/>
    </row>
    <row r="215" spans="2:80" x14ac:dyDescent="0.2">
      <c r="B215" s="14"/>
      <c r="AO215" s="40"/>
      <c r="AP215" s="40"/>
      <c r="AQ215" s="40"/>
      <c r="AR215" s="40"/>
      <c r="AS215" s="40"/>
      <c r="AT215" s="40"/>
      <c r="AU215" s="40"/>
      <c r="AV215" s="40"/>
      <c r="AW215" s="40"/>
      <c r="AX215" s="40"/>
      <c r="AY215" s="40"/>
      <c r="AZ215" s="40"/>
      <c r="BA215" s="40"/>
      <c r="BB215" s="40"/>
      <c r="BC215" s="40"/>
      <c r="BD215" s="40"/>
      <c r="BE215" s="40"/>
      <c r="BF215" s="40"/>
      <c r="BG215" s="40"/>
      <c r="BH215" s="40"/>
      <c r="BI215" s="40"/>
      <c r="BJ215" s="40"/>
      <c r="BK215" s="40"/>
      <c r="BL215" s="40"/>
      <c r="BM215" s="185"/>
      <c r="BN215" s="185"/>
      <c r="BO215" s="185"/>
      <c r="BP215" s="40"/>
      <c r="BQ215" s="40"/>
      <c r="BR215" s="40"/>
      <c r="BS215" s="40"/>
      <c r="BT215" s="40"/>
      <c r="BU215" s="40"/>
      <c r="BV215" s="40"/>
      <c r="BW215" s="40"/>
      <c r="BX215" s="40"/>
      <c r="BY215" s="40"/>
      <c r="BZ215" s="40"/>
      <c r="CA215" s="40"/>
      <c r="CB215" s="56"/>
    </row>
    <row r="216" spans="2:80" x14ac:dyDescent="0.2">
      <c r="B216" s="14"/>
      <c r="AO216" s="40"/>
      <c r="AP216" s="40"/>
      <c r="AQ216" s="40"/>
      <c r="AR216" s="40"/>
      <c r="AS216" s="40"/>
      <c r="AT216" s="40"/>
      <c r="AU216" s="40"/>
      <c r="AV216" s="40"/>
      <c r="AW216" s="40"/>
      <c r="AX216" s="40"/>
      <c r="AY216" s="40"/>
      <c r="AZ216" s="40"/>
      <c r="BB216" s="40"/>
      <c r="BC216" s="40"/>
      <c r="BD216" s="40"/>
      <c r="BE216" s="40"/>
      <c r="BF216" s="40"/>
      <c r="BG216" s="40"/>
      <c r="BH216" s="40"/>
      <c r="BI216" s="40"/>
      <c r="BJ216" s="40"/>
      <c r="BK216" s="40"/>
      <c r="BL216" s="40"/>
      <c r="BM216" s="185"/>
      <c r="BN216" s="185"/>
      <c r="BO216" s="185"/>
      <c r="BP216" s="40"/>
      <c r="BQ216" s="40"/>
      <c r="BR216" s="40"/>
      <c r="BS216" s="40"/>
      <c r="BT216" s="40"/>
      <c r="BU216" s="40"/>
      <c r="BV216" s="40"/>
      <c r="BW216" s="40"/>
      <c r="BX216" s="40"/>
      <c r="BY216" s="40"/>
      <c r="BZ216" s="40"/>
      <c r="CA216" s="40"/>
      <c r="CB216" s="56"/>
    </row>
    <row r="217" spans="2:80" x14ac:dyDescent="0.2">
      <c r="B217" s="14"/>
      <c r="E217" s="36" t="s">
        <v>0</v>
      </c>
      <c r="AO217" s="40"/>
      <c r="AP217" s="40"/>
      <c r="AQ217" s="40"/>
      <c r="AR217" s="40"/>
      <c r="AS217" s="40"/>
      <c r="AT217" s="40"/>
      <c r="AU217" s="40"/>
      <c r="AY217" s="44" t="s">
        <v>561</v>
      </c>
      <c r="BL217" s="40"/>
      <c r="BM217" s="185"/>
      <c r="BN217" s="185"/>
      <c r="BO217" s="185"/>
      <c r="BP217" s="40"/>
      <c r="BQ217" s="40"/>
      <c r="BR217" s="40"/>
      <c r="BS217" s="40"/>
      <c r="BT217" s="40"/>
      <c r="BU217" s="40"/>
      <c r="BV217" s="40"/>
      <c r="BW217" s="40"/>
      <c r="BX217" s="40"/>
      <c r="BY217" s="40"/>
      <c r="BZ217" s="40"/>
      <c r="CA217" s="40"/>
      <c r="CB217" s="56"/>
    </row>
    <row r="218" spans="2:80" x14ac:dyDescent="0.2">
      <c r="B218" s="14"/>
      <c r="E218" s="122">
        <v>6</v>
      </c>
      <c r="AO218" s="40"/>
      <c r="AP218" s="40"/>
      <c r="AQ218" s="40"/>
      <c r="AR218" s="40"/>
      <c r="AS218" s="40"/>
      <c r="AT218" s="40"/>
      <c r="AU218" s="40"/>
      <c r="BA218" s="57" t="s">
        <v>562</v>
      </c>
      <c r="BL218" s="40"/>
      <c r="BM218" s="39">
        <v>4</v>
      </c>
      <c r="BN218" s="39">
        <v>2</v>
      </c>
      <c r="BO218" s="39">
        <v>2</v>
      </c>
      <c r="BP218" s="40"/>
      <c r="BQ218" s="40"/>
      <c r="BR218" s="40"/>
      <c r="BS218" s="40"/>
      <c r="BT218" s="40"/>
      <c r="BU218" s="40"/>
      <c r="BV218" s="40"/>
      <c r="BW218" s="40"/>
      <c r="BX218" s="40"/>
      <c r="BY218" s="40"/>
      <c r="BZ218" s="40"/>
      <c r="CA218" s="40"/>
      <c r="CB218" s="56"/>
    </row>
    <row r="219" spans="2:80" x14ac:dyDescent="0.2">
      <c r="B219" s="14"/>
      <c r="E219" s="122"/>
      <c r="AO219" s="40"/>
      <c r="AP219" s="40"/>
      <c r="AQ219" s="40"/>
      <c r="AR219" s="40"/>
      <c r="AS219" s="40"/>
      <c r="AT219" s="40"/>
      <c r="AU219" s="40"/>
      <c r="BB219" s="60">
        <f>+AU207</f>
        <v>6</v>
      </c>
      <c r="BC219" s="60"/>
      <c r="BD219" s="1" t="s">
        <v>0</v>
      </c>
      <c r="BL219" s="40"/>
      <c r="BM219" s="39">
        <v>7</v>
      </c>
      <c r="BN219" s="39">
        <v>3</v>
      </c>
      <c r="BO219" s="39">
        <v>4</v>
      </c>
      <c r="BP219" s="40"/>
      <c r="BQ219" s="40"/>
      <c r="BR219" s="40"/>
      <c r="BS219" s="40"/>
      <c r="BT219" s="40"/>
      <c r="BU219" s="40"/>
      <c r="BV219" s="40"/>
      <c r="BW219" s="40"/>
      <c r="BX219" s="40"/>
      <c r="BY219" s="40"/>
      <c r="BZ219" s="40"/>
      <c r="CA219" s="40"/>
      <c r="CB219" s="56"/>
    </row>
    <row r="220" spans="2:80" x14ac:dyDescent="0.2">
      <c r="B220" s="14"/>
      <c r="E220" s="122"/>
      <c r="AO220" s="40"/>
      <c r="AP220" s="40"/>
      <c r="AQ220" s="40"/>
      <c r="AR220" s="40"/>
      <c r="AS220" s="40"/>
      <c r="AT220" s="40"/>
      <c r="AU220" s="40"/>
      <c r="BL220" s="40"/>
      <c r="BM220" s="39">
        <v>10</v>
      </c>
      <c r="BN220" s="39">
        <v>4</v>
      </c>
      <c r="BO220" s="39">
        <v>6</v>
      </c>
      <c r="BP220" s="40"/>
      <c r="BQ220" s="40"/>
      <c r="BR220" s="40"/>
      <c r="BS220" s="40"/>
      <c r="BT220" s="40"/>
      <c r="BU220" s="40"/>
      <c r="BV220" s="40"/>
      <c r="BW220" s="40"/>
      <c r="BX220" s="40"/>
      <c r="BY220" s="40"/>
      <c r="BZ220" s="40"/>
      <c r="CA220" s="40"/>
      <c r="CB220" s="56"/>
    </row>
    <row r="221" spans="2:80" x14ac:dyDescent="0.2">
      <c r="B221" s="14"/>
      <c r="AH221" s="1" t="s">
        <v>307</v>
      </c>
      <c r="AL221" s="91">
        <v>10</v>
      </c>
      <c r="AM221" s="91"/>
      <c r="AN221" s="1" t="s">
        <v>265</v>
      </c>
      <c r="AO221" s="40"/>
      <c r="AP221" s="40"/>
      <c r="AQ221" s="40"/>
      <c r="AR221" s="40"/>
      <c r="AS221" s="40"/>
      <c r="AT221" s="40"/>
      <c r="AU221" s="40"/>
      <c r="AW221" s="60">
        <f>+BB219/BE230</f>
        <v>1.5</v>
      </c>
      <c r="AX221" s="60"/>
      <c r="AY221" s="1" t="s">
        <v>0</v>
      </c>
      <c r="AZ221" s="60">
        <f>+AW221</f>
        <v>1.5</v>
      </c>
      <c r="BA221" s="60"/>
      <c r="BB221" s="1" t="s">
        <v>0</v>
      </c>
      <c r="BC221" s="60">
        <f>+AZ221</f>
        <v>1.5</v>
      </c>
      <c r="BD221" s="60"/>
      <c r="BE221" s="1" t="s">
        <v>0</v>
      </c>
      <c r="BF221" s="60">
        <f>+BC221</f>
        <v>1.5</v>
      </c>
      <c r="BG221" s="60"/>
      <c r="BH221" s="1" t="s">
        <v>0</v>
      </c>
      <c r="BM221" s="39">
        <v>13</v>
      </c>
      <c r="BN221" s="39">
        <v>5</v>
      </c>
      <c r="BO221" s="39">
        <v>8</v>
      </c>
      <c r="BP221" s="40"/>
      <c r="BQ221" s="40"/>
      <c r="BR221" s="40"/>
      <c r="BS221" s="40"/>
      <c r="BT221" s="40"/>
      <c r="BU221" s="40"/>
      <c r="BV221" s="40"/>
      <c r="BW221" s="40"/>
      <c r="BX221" s="40"/>
      <c r="BY221" s="40"/>
      <c r="BZ221" s="40"/>
      <c r="CA221" s="40"/>
      <c r="CB221" s="56"/>
    </row>
    <row r="222" spans="2:80" x14ac:dyDescent="0.2">
      <c r="B222" s="14"/>
      <c r="E222" s="36" t="s">
        <v>0</v>
      </c>
      <c r="G222" s="1" t="s">
        <v>4</v>
      </c>
      <c r="AF222" s="38" t="s">
        <v>4</v>
      </c>
      <c r="AO222" s="40"/>
      <c r="AP222" s="40"/>
      <c r="AQ222" s="40"/>
      <c r="AR222" s="40"/>
      <c r="AS222" s="40"/>
      <c r="AT222" s="40"/>
      <c r="AU222" s="40"/>
      <c r="BM222" s="39">
        <v>16</v>
      </c>
      <c r="BN222" s="39">
        <v>6</v>
      </c>
      <c r="BO222" s="39">
        <v>10</v>
      </c>
      <c r="BP222" s="40"/>
      <c r="BQ222" s="40"/>
      <c r="BR222" s="40"/>
      <c r="BS222" s="40"/>
      <c r="BT222" s="40"/>
      <c r="BU222" s="40"/>
      <c r="BV222" s="40"/>
      <c r="BW222" s="40"/>
      <c r="BX222" s="40"/>
      <c r="BY222" s="40"/>
      <c r="BZ222" s="40"/>
      <c r="CA222" s="40"/>
      <c r="CB222" s="56"/>
    </row>
    <row r="223" spans="2:80" x14ac:dyDescent="0.2">
      <c r="B223" s="14"/>
      <c r="E223" s="121">
        <f>+E218</f>
        <v>6</v>
      </c>
      <c r="AO223" s="40"/>
      <c r="AP223" s="40"/>
      <c r="AQ223" s="40"/>
      <c r="AR223" s="40"/>
      <c r="AU223" s="40"/>
      <c r="AV223" s="40"/>
      <c r="AW223" s="40"/>
      <c r="AX223" s="40"/>
      <c r="AY223" s="40"/>
      <c r="AZ223" s="40"/>
      <c r="BA223" s="40"/>
      <c r="BB223" s="40"/>
      <c r="BC223" s="40"/>
      <c r="BD223" s="40" t="s">
        <v>430</v>
      </c>
      <c r="BE223" s="40"/>
      <c r="BF223" s="40"/>
      <c r="BG223" s="40"/>
      <c r="BH223" s="40"/>
      <c r="BI223" s="40"/>
      <c r="BJ223" s="40"/>
      <c r="BM223" s="39">
        <v>19</v>
      </c>
      <c r="BN223" s="39">
        <v>7</v>
      </c>
      <c r="BO223" s="39">
        <v>12</v>
      </c>
      <c r="BP223" s="40"/>
      <c r="BQ223" s="40"/>
      <c r="BR223" s="40"/>
      <c r="BS223" s="40"/>
      <c r="BT223" s="40"/>
      <c r="BU223" s="40"/>
      <c r="BV223" s="40"/>
      <c r="BW223" s="40"/>
      <c r="BX223" s="40"/>
      <c r="BY223" s="40"/>
      <c r="BZ223" s="40"/>
      <c r="CA223" s="40"/>
      <c r="CB223" s="56"/>
    </row>
    <row r="224" spans="2:80" x14ac:dyDescent="0.2">
      <c r="B224" s="14"/>
      <c r="E224" s="121"/>
      <c r="AO224" s="40"/>
      <c r="AP224" s="40"/>
      <c r="AQ224" s="40"/>
      <c r="AR224" s="40"/>
      <c r="AS224" s="36" t="s">
        <v>0</v>
      </c>
      <c r="AU224" s="40"/>
      <c r="AV224" s="40"/>
      <c r="AW224" s="40"/>
      <c r="AX224" s="40"/>
      <c r="AY224" s="40"/>
      <c r="AZ224" s="40"/>
      <c r="BA224" s="40"/>
      <c r="BB224" s="40"/>
      <c r="BC224" s="40"/>
      <c r="BD224" s="40"/>
      <c r="BE224" s="40"/>
      <c r="BF224" s="40"/>
      <c r="BG224" s="40"/>
      <c r="BH224" s="40"/>
      <c r="BI224" s="40"/>
      <c r="BJ224" s="40"/>
      <c r="BK224" s="40"/>
      <c r="BL224" s="40"/>
      <c r="BM224" s="39">
        <v>22</v>
      </c>
      <c r="BN224" s="39">
        <v>8</v>
      </c>
      <c r="BO224" s="39">
        <v>14</v>
      </c>
      <c r="BP224" s="40"/>
      <c r="BQ224" s="40"/>
      <c r="BR224" s="40"/>
      <c r="BS224" s="40"/>
      <c r="BT224" s="40"/>
      <c r="BU224" s="40"/>
      <c r="BV224" s="40"/>
      <c r="BW224" s="40"/>
      <c r="BX224" s="40"/>
      <c r="BY224" s="40"/>
      <c r="BZ224" s="40"/>
      <c r="CA224" s="40"/>
      <c r="CB224" s="56"/>
    </row>
    <row r="225" spans="2:80" x14ac:dyDescent="0.2">
      <c r="B225" s="14"/>
      <c r="E225" s="121"/>
      <c r="AO225" s="40"/>
      <c r="AP225" s="40"/>
      <c r="AQ225" s="40"/>
      <c r="AR225" s="40"/>
      <c r="AS225" s="222">
        <f>+AH198</f>
        <v>0.6</v>
      </c>
      <c r="AT225" s="40"/>
      <c r="AU225" s="40"/>
      <c r="AV225" s="40"/>
      <c r="AW225" s="40"/>
      <c r="AX225" s="40"/>
      <c r="AY225" s="40"/>
      <c r="AZ225" s="40"/>
      <c r="BA225" s="40"/>
      <c r="BB225" s="40"/>
      <c r="BC225" s="40"/>
      <c r="BD225" s="40" t="s">
        <v>422</v>
      </c>
      <c r="BE225" s="40"/>
      <c r="BF225" s="40"/>
      <c r="BG225" s="40"/>
      <c r="BH225" s="40"/>
      <c r="BI225" s="40"/>
      <c r="BJ225" s="40"/>
      <c r="BK225" s="40"/>
      <c r="BL225" s="40"/>
      <c r="BM225" s="39">
        <v>25</v>
      </c>
      <c r="BN225" s="39">
        <v>9</v>
      </c>
      <c r="BO225" s="39">
        <v>16</v>
      </c>
      <c r="BP225" s="40"/>
      <c r="BQ225" s="40"/>
      <c r="BR225" s="40"/>
      <c r="BS225" s="40"/>
      <c r="BT225" s="40"/>
      <c r="BU225" s="40"/>
      <c r="BV225" s="40"/>
      <c r="BW225" s="40"/>
      <c r="BX225" s="40"/>
      <c r="BY225" s="40"/>
      <c r="BZ225" s="40"/>
      <c r="CA225" s="40"/>
      <c r="CB225" s="56"/>
    </row>
    <row r="226" spans="2:80" x14ac:dyDescent="0.2">
      <c r="B226" s="14"/>
      <c r="AH226" s="1" t="s">
        <v>15</v>
      </c>
      <c r="AO226" s="40"/>
      <c r="AP226" s="40"/>
      <c r="AQ226" s="40"/>
      <c r="AR226" s="40"/>
      <c r="AS226" s="222"/>
      <c r="AT226" s="40"/>
      <c r="AU226" s="40"/>
      <c r="AV226" s="40"/>
      <c r="AW226" s="40"/>
      <c r="AX226" s="40"/>
      <c r="AY226" s="40"/>
      <c r="AZ226" s="40"/>
      <c r="BA226" s="40"/>
      <c r="BB226" s="58" t="s">
        <v>431</v>
      </c>
      <c r="BC226" s="40"/>
      <c r="BD226" s="40"/>
      <c r="BE226" s="40"/>
      <c r="BF226" s="40"/>
      <c r="BG226" s="40"/>
      <c r="BH226" s="40"/>
      <c r="BI226" s="40"/>
      <c r="BJ226" s="40"/>
      <c r="BK226" s="40"/>
      <c r="BL226" s="40"/>
      <c r="BM226" s="39">
        <v>28</v>
      </c>
      <c r="BN226" s="39">
        <v>10</v>
      </c>
      <c r="BO226" s="39">
        <v>18</v>
      </c>
      <c r="BP226" s="40"/>
      <c r="BQ226" s="40"/>
      <c r="BR226" s="40"/>
      <c r="BS226" s="40"/>
      <c r="BT226" s="40"/>
      <c r="BU226" s="40"/>
      <c r="BV226" s="40"/>
      <c r="BW226" s="40"/>
      <c r="BX226" s="40"/>
      <c r="BY226" s="40"/>
      <c r="BZ226" s="40"/>
      <c r="CA226" s="40"/>
      <c r="CB226" s="56"/>
    </row>
    <row r="227" spans="2:80" x14ac:dyDescent="0.2">
      <c r="B227" s="14"/>
      <c r="E227" s="36" t="s">
        <v>0</v>
      </c>
      <c r="AO227" s="40"/>
      <c r="AP227" s="40"/>
      <c r="AQ227" s="40"/>
      <c r="AR227" s="40"/>
      <c r="AS227" s="222"/>
      <c r="AT227" s="40"/>
      <c r="AU227" s="40"/>
      <c r="AV227" s="40"/>
      <c r="AW227" s="40"/>
      <c r="AX227" s="40"/>
      <c r="AY227" s="40"/>
      <c r="AZ227" s="40"/>
      <c r="BA227" s="40"/>
      <c r="BB227" s="40"/>
      <c r="BC227" s="40"/>
      <c r="BD227" s="40" t="s">
        <v>237</v>
      </c>
      <c r="BE227" s="40"/>
      <c r="BF227" s="40"/>
      <c r="BG227" s="40"/>
      <c r="BH227" s="40"/>
      <c r="BI227" s="40"/>
      <c r="BJ227" s="40"/>
      <c r="BK227" s="40"/>
      <c r="BL227" s="40"/>
      <c r="BM227" s="39">
        <v>31</v>
      </c>
      <c r="BN227" s="39">
        <v>11</v>
      </c>
      <c r="BO227" s="39">
        <v>20</v>
      </c>
      <c r="BP227" s="40"/>
      <c r="BQ227" s="40"/>
      <c r="BR227" s="40"/>
      <c r="BS227" s="40"/>
      <c r="BT227" s="40"/>
      <c r="BU227" s="40"/>
      <c r="BV227" s="40"/>
      <c r="BW227" s="40"/>
      <c r="BX227" s="40"/>
      <c r="BY227" s="40"/>
      <c r="BZ227" s="40"/>
      <c r="CA227" s="40"/>
      <c r="CB227" s="56"/>
    </row>
    <row r="228" spans="2:80" x14ac:dyDescent="0.2">
      <c r="B228" s="14"/>
      <c r="C228" s="36" t="s">
        <v>0</v>
      </c>
      <c r="E228" s="121">
        <f>+E223</f>
        <v>6</v>
      </c>
      <c r="AO228" s="40"/>
      <c r="AP228" s="40"/>
      <c r="AQ228" s="40"/>
      <c r="AR228" s="40"/>
      <c r="AS228" s="40"/>
      <c r="AT228" s="40"/>
      <c r="AU228" s="40"/>
      <c r="AV228" s="40"/>
      <c r="AW228" s="40"/>
      <c r="AX228" s="40"/>
      <c r="AY228" s="40"/>
      <c r="AZ228" s="40"/>
      <c r="BA228" s="40"/>
      <c r="BB228" s="40"/>
      <c r="BC228" s="40"/>
      <c r="BD228" s="40"/>
      <c r="BE228" s="40"/>
      <c r="BF228" s="40"/>
      <c r="BG228" s="40"/>
      <c r="BH228" s="40"/>
      <c r="BI228" s="40"/>
      <c r="BJ228" s="40"/>
      <c r="BK228" s="40"/>
      <c r="BL228" s="40"/>
      <c r="BM228" s="39">
        <v>34</v>
      </c>
      <c r="BN228" s="39">
        <v>12</v>
      </c>
      <c r="BO228" s="39">
        <v>22</v>
      </c>
      <c r="BP228" s="40"/>
      <c r="BQ228" s="40"/>
      <c r="BR228" s="40"/>
      <c r="BS228" s="40"/>
      <c r="BT228" s="40"/>
      <c r="BU228" s="40"/>
      <c r="BV228" s="40"/>
      <c r="BW228" s="40"/>
      <c r="BX228" s="40"/>
      <c r="BY228" s="40"/>
      <c r="BZ228" s="40"/>
      <c r="CA228" s="40"/>
      <c r="CB228" s="56"/>
    </row>
    <row r="229" spans="2:80" x14ac:dyDescent="0.2">
      <c r="B229" s="14"/>
      <c r="C229" s="121">
        <f>+C239*C234</f>
        <v>42</v>
      </c>
      <c r="E229" s="121"/>
      <c r="AO229" s="40"/>
      <c r="AP229" s="40"/>
      <c r="AQ229" s="40"/>
      <c r="AR229" s="40"/>
      <c r="AS229" s="40"/>
      <c r="AT229" s="40"/>
      <c r="AU229" s="40"/>
      <c r="AV229" s="40"/>
      <c r="AW229" s="40"/>
      <c r="AX229" s="40"/>
      <c r="AY229" s="40"/>
      <c r="AZ229" s="40"/>
      <c r="BA229" s="40"/>
      <c r="BB229" s="40"/>
      <c r="BC229" s="40"/>
      <c r="BD229" s="40"/>
      <c r="BE229" s="40"/>
      <c r="BF229" s="40"/>
      <c r="BG229" s="40"/>
      <c r="BH229" s="40"/>
      <c r="BI229" s="40"/>
      <c r="BJ229" s="40"/>
      <c r="BK229" s="40"/>
      <c r="BL229" s="40"/>
      <c r="BM229" s="40"/>
      <c r="BN229" s="40"/>
      <c r="BO229" s="40"/>
      <c r="BP229" s="40"/>
      <c r="BQ229" s="40"/>
      <c r="BR229" s="40"/>
      <c r="BS229" s="40"/>
      <c r="BT229" s="40"/>
      <c r="BU229" s="40"/>
      <c r="BV229" s="40"/>
      <c r="BW229" s="40"/>
      <c r="BX229" s="40"/>
      <c r="BY229" s="40"/>
      <c r="BZ229" s="40"/>
      <c r="CA229" s="40"/>
      <c r="CB229" s="56"/>
    </row>
    <row r="230" spans="2:80" x14ac:dyDescent="0.2">
      <c r="B230" s="14"/>
      <c r="C230" s="121"/>
      <c r="E230" s="121"/>
      <c r="AO230" s="40"/>
      <c r="AP230" s="40"/>
      <c r="AQ230" s="40"/>
      <c r="AR230" s="40"/>
      <c r="AS230" s="40"/>
      <c r="AT230" s="40"/>
      <c r="AU230" s="40"/>
      <c r="AV230" s="40"/>
      <c r="AW230" s="40" t="s">
        <v>565</v>
      </c>
      <c r="AY230" s="40"/>
      <c r="AZ230" s="40"/>
      <c r="BB230" s="40"/>
      <c r="BC230" s="40"/>
      <c r="BD230" s="40"/>
      <c r="BE230" s="221">
        <v>4</v>
      </c>
      <c r="BF230" s="221"/>
      <c r="BG230" s="40" t="s">
        <v>433</v>
      </c>
      <c r="BH230" s="40"/>
      <c r="BI230" s="40"/>
      <c r="BJ230" s="40"/>
      <c r="BK230" s="40"/>
      <c r="BL230" s="40"/>
      <c r="BM230" s="40"/>
      <c r="BN230" s="40"/>
      <c r="BO230" s="40"/>
      <c r="BP230" s="40"/>
      <c r="BQ230" s="40"/>
      <c r="BR230" s="40"/>
      <c r="BS230" s="40"/>
      <c r="BT230" s="40"/>
      <c r="BU230" s="40"/>
      <c r="BV230" s="40"/>
      <c r="BW230" s="40"/>
      <c r="BX230" s="40"/>
      <c r="BY230" s="40"/>
      <c r="BZ230" s="40"/>
      <c r="CA230" s="40"/>
      <c r="CB230" s="56"/>
    </row>
    <row r="231" spans="2:80" x14ac:dyDescent="0.2">
      <c r="B231" s="14"/>
      <c r="C231" s="121"/>
      <c r="AO231" s="40"/>
      <c r="AP231" s="40"/>
      <c r="AQ231" s="40"/>
      <c r="AR231" s="40"/>
      <c r="AS231" s="40"/>
      <c r="AT231" s="40"/>
      <c r="AU231" s="40"/>
      <c r="AV231" s="40"/>
      <c r="AW231" s="40"/>
      <c r="AX231" s="40"/>
      <c r="AY231" s="40"/>
      <c r="AZ231" s="40"/>
      <c r="BA231" s="40"/>
      <c r="BB231" s="40"/>
      <c r="BC231" s="40"/>
      <c r="BD231" s="40"/>
      <c r="BE231" s="40"/>
      <c r="BF231" s="40"/>
      <c r="BG231" s="40"/>
      <c r="BH231" s="40"/>
      <c r="BI231" s="40"/>
      <c r="BJ231" s="40"/>
      <c r="BK231" s="40"/>
      <c r="BL231" s="40"/>
      <c r="BM231" s="40"/>
      <c r="BN231" s="40"/>
      <c r="BO231" s="40"/>
      <c r="BP231" s="40"/>
      <c r="BQ231" s="40"/>
      <c r="BR231" s="40"/>
      <c r="BS231" s="40"/>
      <c r="BT231" s="40"/>
      <c r="BU231" s="40"/>
      <c r="BV231" s="40"/>
      <c r="BW231" s="40"/>
      <c r="BX231" s="40"/>
      <c r="BY231" s="40"/>
      <c r="BZ231" s="40"/>
      <c r="CA231" s="40"/>
      <c r="CB231" s="56"/>
    </row>
    <row r="232" spans="2:80" x14ac:dyDescent="0.2">
      <c r="B232" s="14"/>
      <c r="C232" s="36" t="s">
        <v>2</v>
      </c>
      <c r="E232" s="36" t="s">
        <v>0</v>
      </c>
      <c r="AH232" s="1" t="s">
        <v>466</v>
      </c>
      <c r="AO232" s="40"/>
      <c r="AP232" s="40"/>
      <c r="AQ232" s="40"/>
      <c r="AR232" s="40"/>
      <c r="AS232" s="40"/>
      <c r="AT232" s="40"/>
      <c r="AU232" s="40"/>
      <c r="AV232" s="40"/>
      <c r="AW232" s="40"/>
      <c r="AX232" s="40"/>
      <c r="AY232" s="40"/>
      <c r="AZ232" s="40"/>
      <c r="BA232" s="40"/>
      <c r="BB232" s="40"/>
      <c r="BC232" s="40"/>
      <c r="BD232" s="40"/>
      <c r="BE232" s="40"/>
      <c r="BF232" s="40"/>
      <c r="BG232" s="40"/>
      <c r="BH232" s="40"/>
      <c r="BI232" s="40"/>
      <c r="BJ232" s="40"/>
      <c r="BL232" s="40"/>
      <c r="BM232" s="40"/>
      <c r="BN232" s="40"/>
      <c r="BO232" s="40"/>
      <c r="BP232" s="40"/>
      <c r="BQ232" s="40"/>
      <c r="BR232" s="40"/>
      <c r="BS232" s="40"/>
      <c r="BT232" s="40"/>
      <c r="BU232" s="40"/>
      <c r="BV232" s="40"/>
      <c r="BW232" s="40"/>
      <c r="BX232" s="40"/>
      <c r="BY232" s="40"/>
      <c r="BZ232" s="40"/>
      <c r="CA232" s="40"/>
      <c r="CB232" s="56"/>
    </row>
    <row r="233" spans="2:80" x14ac:dyDescent="0.2">
      <c r="B233" s="14"/>
      <c r="C233" s="36" t="s">
        <v>0</v>
      </c>
      <c r="E233" s="121">
        <f>+E228</f>
        <v>6</v>
      </c>
      <c r="AO233" s="40"/>
      <c r="AP233" s="40"/>
      <c r="AQ233" s="40"/>
      <c r="AR233" s="40"/>
      <c r="AS233" s="40"/>
      <c r="AT233" s="40"/>
      <c r="AU233" s="40"/>
      <c r="AV233" s="40"/>
      <c r="AW233" s="40"/>
      <c r="AX233" s="40"/>
      <c r="AY233" s="40"/>
      <c r="AZ233" s="40"/>
      <c r="BA233" s="40"/>
      <c r="BB233" s="40" t="s">
        <v>563</v>
      </c>
      <c r="BC233" s="40"/>
      <c r="BD233" s="40"/>
      <c r="BE233" s="40"/>
      <c r="BF233" s="40"/>
      <c r="BG233" s="40"/>
      <c r="BH233" s="40"/>
      <c r="BI233" s="40"/>
      <c r="BJ233" s="40"/>
      <c r="BK233" s="40"/>
      <c r="BL233" s="40"/>
      <c r="BM233" s="40"/>
      <c r="BN233" s="40"/>
      <c r="BO233" s="40"/>
      <c r="BP233" s="40"/>
      <c r="BQ233" s="40"/>
      <c r="BR233" s="40"/>
      <c r="BS233" s="40"/>
      <c r="BT233" s="40"/>
      <c r="BU233" s="40"/>
      <c r="BV233" s="40"/>
      <c r="BW233" s="40"/>
      <c r="BX233" s="40"/>
      <c r="BY233" s="40"/>
      <c r="BZ233" s="40"/>
      <c r="CA233" s="40"/>
      <c r="CB233" s="56"/>
    </row>
    <row r="234" spans="2:80" x14ac:dyDescent="0.2">
      <c r="B234" s="14"/>
      <c r="C234" s="121">
        <f>+E218</f>
        <v>6</v>
      </c>
      <c r="E234" s="121"/>
      <c r="AO234" s="40"/>
      <c r="AP234" s="40"/>
      <c r="AQ234" s="40"/>
      <c r="AR234" s="40"/>
      <c r="AS234" s="40"/>
      <c r="AT234" s="40"/>
      <c r="AU234" s="40"/>
      <c r="BK234" s="40"/>
      <c r="BL234" s="40"/>
      <c r="BM234" s="40"/>
      <c r="BN234" s="40"/>
      <c r="BO234" s="40"/>
      <c r="BP234" s="40"/>
      <c r="BQ234" s="40"/>
      <c r="BR234" s="40"/>
      <c r="BS234" s="40"/>
      <c r="BT234" s="40"/>
      <c r="BU234" s="40"/>
      <c r="BV234" s="40"/>
      <c r="BW234" s="40"/>
      <c r="BX234" s="40"/>
      <c r="BY234" s="40"/>
      <c r="BZ234" s="40"/>
      <c r="CA234" s="40"/>
      <c r="CB234" s="56"/>
    </row>
    <row r="235" spans="2:80" x14ac:dyDescent="0.2">
      <c r="B235" s="14"/>
      <c r="C235" s="121"/>
      <c r="E235" s="121"/>
      <c r="AO235" s="40"/>
      <c r="AP235" s="40"/>
      <c r="AQ235" s="40"/>
      <c r="AR235" s="40"/>
      <c r="AS235" s="40"/>
      <c r="AT235" s="40"/>
      <c r="AU235" s="40"/>
      <c r="AV235" s="40"/>
      <c r="AW235" s="40"/>
      <c r="AX235" s="40"/>
      <c r="AY235" s="40"/>
      <c r="AZ235" s="40"/>
      <c r="BA235" s="40"/>
      <c r="BB235" s="40"/>
      <c r="BC235" s="40"/>
      <c r="BD235" s="40"/>
      <c r="BE235" s="40"/>
      <c r="BF235" s="40"/>
      <c r="BG235" s="40"/>
      <c r="BH235" s="40"/>
      <c r="BI235" s="40"/>
      <c r="BJ235" s="40"/>
      <c r="BK235" s="40"/>
      <c r="BL235" s="40"/>
      <c r="BM235" s="40"/>
      <c r="BN235" s="40"/>
      <c r="BO235" s="40"/>
      <c r="BP235" s="40"/>
      <c r="BQ235" s="40"/>
      <c r="BR235" s="40"/>
      <c r="BS235" s="40"/>
      <c r="BT235" s="40"/>
      <c r="BU235" s="40"/>
      <c r="BV235" s="40"/>
      <c r="BW235" s="40"/>
      <c r="BX235" s="40"/>
      <c r="BY235" s="40"/>
      <c r="BZ235" s="40"/>
      <c r="CA235" s="40"/>
      <c r="CB235" s="56"/>
    </row>
    <row r="236" spans="2:80" x14ac:dyDescent="0.2">
      <c r="B236" s="14"/>
      <c r="C236" s="121"/>
      <c r="AO236" s="40"/>
      <c r="AP236" s="40"/>
      <c r="AQ236" s="40"/>
      <c r="AR236" s="40"/>
      <c r="AS236" s="40"/>
      <c r="AT236" s="40"/>
      <c r="AU236" s="40"/>
      <c r="AV236" s="40"/>
      <c r="AW236" s="40"/>
      <c r="AX236" s="40"/>
      <c r="AY236" s="40"/>
      <c r="AZ236" s="40"/>
      <c r="BA236" s="40"/>
      <c r="BB236" s="40"/>
      <c r="BC236" s="40"/>
      <c r="BD236" s="40"/>
      <c r="BE236" s="40"/>
      <c r="BF236" s="40"/>
      <c r="BG236" s="40"/>
      <c r="BH236" s="40"/>
      <c r="BI236" s="40"/>
      <c r="BJ236" s="40"/>
      <c r="BK236" s="40"/>
      <c r="BL236" s="40"/>
      <c r="BM236" s="40"/>
      <c r="BN236" s="40"/>
      <c r="BO236" s="40"/>
      <c r="BP236" s="40"/>
      <c r="BQ236" s="40"/>
      <c r="BR236" s="40"/>
      <c r="BS236" s="40"/>
      <c r="BT236" s="40"/>
      <c r="BU236" s="40"/>
      <c r="BV236" s="40"/>
      <c r="BW236" s="40"/>
      <c r="BX236" s="40"/>
      <c r="BY236" s="40"/>
      <c r="BZ236" s="40"/>
      <c r="CA236" s="40"/>
      <c r="CB236" s="56"/>
    </row>
    <row r="237" spans="2:80" x14ac:dyDescent="0.2">
      <c r="B237" s="14"/>
      <c r="C237" s="121" t="s">
        <v>1</v>
      </c>
      <c r="E237" s="36" t="s">
        <v>0</v>
      </c>
      <c r="AH237" s="1" t="s">
        <v>7</v>
      </c>
      <c r="AO237" s="40"/>
      <c r="AP237" s="40"/>
      <c r="AQ237" s="40"/>
      <c r="AR237" s="40"/>
      <c r="AS237" s="40"/>
      <c r="AT237" s="40"/>
      <c r="AU237" s="40"/>
      <c r="AV237" s="40"/>
      <c r="AW237" s="40"/>
      <c r="AX237" s="40"/>
      <c r="AY237" s="40"/>
      <c r="AZ237" s="40"/>
      <c r="BA237" s="40"/>
      <c r="BB237" s="40"/>
      <c r="BC237" s="40"/>
      <c r="BD237" s="40"/>
      <c r="BE237" s="40"/>
      <c r="BF237" s="40"/>
      <c r="BG237" s="40"/>
      <c r="BH237" s="40"/>
      <c r="BI237" s="40"/>
      <c r="BJ237" s="40"/>
      <c r="BK237" s="40"/>
      <c r="BL237" s="40"/>
      <c r="BM237" s="40"/>
      <c r="BN237" s="40"/>
      <c r="BO237" s="40"/>
      <c r="BP237" s="40"/>
      <c r="BQ237" s="40"/>
      <c r="BR237" s="40"/>
      <c r="BS237" s="40"/>
      <c r="BT237" s="40"/>
      <c r="BU237" s="40"/>
      <c r="BV237" s="40"/>
      <c r="BW237" s="40"/>
      <c r="BX237" s="40"/>
      <c r="BY237" s="40"/>
      <c r="BZ237" s="40"/>
      <c r="CA237" s="40"/>
      <c r="CB237" s="56"/>
    </row>
    <row r="238" spans="2:80" x14ac:dyDescent="0.2">
      <c r="B238" s="14"/>
      <c r="C238" s="121"/>
      <c r="E238" s="121">
        <f>+E233</f>
        <v>6</v>
      </c>
      <c r="AO238" s="40"/>
      <c r="AP238" s="40"/>
      <c r="AQ238" s="40"/>
      <c r="AR238" s="40"/>
      <c r="AS238" s="40"/>
      <c r="AT238" s="40"/>
      <c r="AU238" s="40"/>
      <c r="AV238" s="40"/>
      <c r="AW238" s="40"/>
      <c r="AX238" s="40"/>
      <c r="AY238" s="40"/>
      <c r="AZ238" s="40"/>
      <c r="BA238" s="40"/>
      <c r="BB238" s="40"/>
      <c r="BC238" s="40"/>
      <c r="BD238" s="40"/>
      <c r="BE238" s="40"/>
      <c r="BF238" s="40"/>
      <c r="BG238" s="40"/>
      <c r="BH238" s="40"/>
      <c r="BI238" s="40"/>
      <c r="BJ238" s="40"/>
      <c r="BK238" s="40"/>
      <c r="BL238" s="40"/>
      <c r="BM238" s="40"/>
      <c r="BN238" s="40"/>
      <c r="BO238" s="40"/>
      <c r="BP238" s="40"/>
      <c r="BQ238" s="40"/>
      <c r="BR238" s="40"/>
      <c r="BS238" s="40"/>
      <c r="BT238" s="40"/>
      <c r="BU238" s="40"/>
      <c r="BV238" s="40"/>
      <c r="BW238" s="40"/>
      <c r="BX238" s="40"/>
      <c r="BY238" s="40"/>
      <c r="BZ238" s="40"/>
      <c r="CA238" s="40"/>
      <c r="CB238" s="56"/>
    </row>
    <row r="239" spans="2:80" x14ac:dyDescent="0.2">
      <c r="B239" s="14"/>
      <c r="C239" s="122">
        <v>7</v>
      </c>
      <c r="E239" s="121"/>
      <c r="AO239" s="40"/>
      <c r="AP239" s="40"/>
      <c r="AQ239" s="40"/>
      <c r="AR239" s="40"/>
      <c r="AS239" s="40"/>
      <c r="AT239" s="40"/>
      <c r="AU239" s="40"/>
      <c r="AV239" s="40"/>
      <c r="AW239" s="40"/>
      <c r="AX239" s="40"/>
      <c r="AY239" s="40"/>
      <c r="AZ239" s="40"/>
      <c r="BA239" s="40"/>
      <c r="BB239" s="40"/>
      <c r="BC239" s="40"/>
      <c r="BD239" s="40"/>
      <c r="BE239" s="40"/>
      <c r="BF239" s="40"/>
      <c r="BG239" s="40"/>
      <c r="BH239" s="40"/>
      <c r="BI239" s="40"/>
      <c r="BJ239" s="40"/>
      <c r="BK239" s="40"/>
      <c r="BL239" s="40"/>
      <c r="BM239" s="40"/>
      <c r="BN239" s="40"/>
      <c r="BO239" s="40"/>
      <c r="BP239" s="40"/>
      <c r="BQ239" s="40"/>
      <c r="BR239" s="40"/>
      <c r="BS239" s="40"/>
      <c r="BT239" s="40"/>
      <c r="BU239" s="40"/>
      <c r="BV239" s="40"/>
      <c r="BW239" s="40"/>
      <c r="BX239" s="40"/>
      <c r="BY239" s="40"/>
      <c r="BZ239" s="40"/>
      <c r="CA239" s="40"/>
      <c r="CB239" s="56"/>
    </row>
    <row r="240" spans="2:80" x14ac:dyDescent="0.2">
      <c r="B240" s="14"/>
      <c r="C240" s="122"/>
      <c r="E240" s="121"/>
      <c r="AO240" s="40"/>
      <c r="AP240" s="40"/>
      <c r="AQ240" s="40"/>
      <c r="AR240" s="40"/>
      <c r="AS240" s="40"/>
      <c r="AT240" s="40"/>
      <c r="AU240" s="40"/>
      <c r="AV240" s="40"/>
      <c r="BF240" s="40"/>
      <c r="BG240" s="40"/>
      <c r="BP240" s="40"/>
      <c r="BQ240" s="40"/>
      <c r="BR240" s="40"/>
      <c r="BS240" s="40"/>
      <c r="BT240" s="40"/>
      <c r="BU240" s="40"/>
      <c r="BV240" s="40"/>
      <c r="BW240" s="40"/>
      <c r="BX240" s="40"/>
      <c r="BY240" s="40"/>
      <c r="BZ240" s="40"/>
      <c r="CA240" s="40"/>
      <c r="CB240" s="56"/>
    </row>
    <row r="241" spans="2:80" x14ac:dyDescent="0.2">
      <c r="B241" s="14"/>
      <c r="AO241" s="40"/>
      <c r="AP241" s="40"/>
      <c r="AQ241" s="40"/>
      <c r="AR241" s="40"/>
      <c r="AS241" s="40"/>
      <c r="AT241" s="40"/>
      <c r="AU241" s="40"/>
      <c r="AV241" s="40"/>
      <c r="BF241" s="40"/>
      <c r="BG241" s="40"/>
      <c r="BP241" s="40"/>
      <c r="BQ241" s="40"/>
      <c r="BR241" s="40"/>
      <c r="BS241" s="40"/>
      <c r="BT241" s="40"/>
      <c r="BU241" s="40"/>
      <c r="BV241" s="40"/>
      <c r="BW241" s="40"/>
      <c r="BX241" s="40"/>
      <c r="BY241" s="40"/>
      <c r="BZ241" s="40"/>
      <c r="CA241" s="40"/>
      <c r="CB241" s="56"/>
    </row>
    <row r="242" spans="2:80" x14ac:dyDescent="0.2">
      <c r="B242" s="14"/>
      <c r="E242" s="36" t="s">
        <v>0</v>
      </c>
      <c r="AO242" s="40"/>
      <c r="AP242" s="40"/>
      <c r="AQ242" s="40"/>
      <c r="AR242" s="40"/>
      <c r="AS242" s="40"/>
      <c r="AT242" s="40"/>
      <c r="AU242" s="40"/>
      <c r="AV242" s="40"/>
      <c r="BF242" s="40"/>
      <c r="BG242" s="40"/>
      <c r="BP242" s="40"/>
      <c r="BQ242" s="40"/>
      <c r="BR242" s="40"/>
      <c r="BS242" s="40"/>
      <c r="BT242" s="40"/>
      <c r="BU242" s="40"/>
      <c r="BV242" s="40"/>
      <c r="BW242" s="40"/>
      <c r="BX242" s="40"/>
      <c r="BY242" s="40"/>
      <c r="BZ242" s="40"/>
      <c r="CA242" s="40"/>
      <c r="CB242" s="56"/>
    </row>
    <row r="243" spans="2:80" x14ac:dyDescent="0.2">
      <c r="B243" s="14"/>
      <c r="E243" s="121">
        <f>+E238</f>
        <v>6</v>
      </c>
      <c r="AO243" s="40"/>
      <c r="AP243" s="40"/>
      <c r="AQ243" s="40"/>
      <c r="AR243" s="40"/>
      <c r="AS243" s="40"/>
      <c r="AT243" s="40"/>
      <c r="AU243" s="40"/>
      <c r="AV243" s="40"/>
      <c r="BF243" s="40"/>
      <c r="BG243" s="40"/>
      <c r="BP243" s="40"/>
      <c r="BQ243" s="40"/>
      <c r="BR243" s="40"/>
      <c r="BS243" s="40"/>
      <c r="BT243" s="40"/>
      <c r="BU243" s="40"/>
      <c r="BV243" s="40"/>
      <c r="BW243" s="40"/>
      <c r="BX243" s="40"/>
      <c r="BY243" s="40"/>
      <c r="BZ243" s="40"/>
      <c r="CA243" s="40"/>
      <c r="CB243" s="56"/>
    </row>
    <row r="244" spans="2:80" x14ac:dyDescent="0.2">
      <c r="B244" s="14"/>
      <c r="E244" s="121"/>
      <c r="AO244" s="40"/>
      <c r="AP244" s="40"/>
      <c r="AQ244" s="40"/>
      <c r="AR244" s="40"/>
      <c r="AS244" s="40"/>
      <c r="AT244" s="40"/>
      <c r="AU244" s="40"/>
      <c r="AV244" s="40"/>
      <c r="BF244" s="40"/>
      <c r="BG244" s="40"/>
      <c r="BP244" s="40"/>
      <c r="BQ244" s="40"/>
      <c r="BR244" s="40"/>
      <c r="BS244" s="40"/>
      <c r="BT244" s="40"/>
      <c r="BU244" s="40"/>
      <c r="BV244" s="40"/>
      <c r="BW244" s="40"/>
      <c r="BX244" s="40"/>
      <c r="BY244" s="40"/>
      <c r="BZ244" s="40"/>
      <c r="CA244" s="40"/>
      <c r="CB244" s="56"/>
    </row>
    <row r="245" spans="2:80" x14ac:dyDescent="0.2">
      <c r="B245" s="14"/>
      <c r="E245" s="121"/>
      <c r="AO245" s="40"/>
      <c r="AP245" s="40"/>
      <c r="AQ245" s="40"/>
      <c r="AR245" s="40"/>
      <c r="AS245" s="40"/>
      <c r="AT245" s="40"/>
      <c r="AU245" s="40"/>
      <c r="AV245" s="40"/>
      <c r="BF245" s="40"/>
      <c r="BG245" s="40"/>
      <c r="BP245" s="40"/>
      <c r="BQ245" s="40"/>
      <c r="BR245" s="40"/>
      <c r="BS245" s="40"/>
      <c r="BT245" s="40"/>
      <c r="BU245" s="40"/>
      <c r="BV245" s="40"/>
      <c r="BW245" s="40"/>
      <c r="BX245" s="40"/>
      <c r="BY245" s="40"/>
      <c r="BZ245" s="40"/>
      <c r="CA245" s="40"/>
      <c r="CB245" s="56"/>
    </row>
    <row r="246" spans="2:80" x14ac:dyDescent="0.2">
      <c r="B246" s="14"/>
      <c r="AO246" s="40"/>
      <c r="AP246" s="40"/>
      <c r="AQ246" s="40"/>
      <c r="AR246" s="40"/>
      <c r="AS246" s="40"/>
      <c r="AT246" s="40"/>
      <c r="AU246" s="40"/>
      <c r="AV246" s="40"/>
      <c r="BF246" s="40"/>
      <c r="BG246" s="40"/>
      <c r="BP246" s="40"/>
      <c r="BQ246" s="40"/>
      <c r="BR246" s="40"/>
      <c r="BS246" s="40"/>
      <c r="BT246" s="40"/>
      <c r="BU246" s="40"/>
      <c r="BV246" s="40"/>
      <c r="BW246" s="40"/>
      <c r="BX246" s="40"/>
      <c r="BY246" s="40"/>
      <c r="BZ246" s="40"/>
      <c r="CA246" s="40"/>
      <c r="CB246" s="56"/>
    </row>
    <row r="247" spans="2:80" x14ac:dyDescent="0.2">
      <c r="B247" s="14"/>
      <c r="E247" s="36" t="s">
        <v>0</v>
      </c>
      <c r="AO247" s="40"/>
      <c r="AP247" s="40"/>
      <c r="AQ247" s="40"/>
      <c r="AR247" s="40"/>
      <c r="AS247" s="40"/>
      <c r="AT247" s="40"/>
      <c r="AU247" s="40"/>
      <c r="AV247" s="40"/>
      <c r="BF247" s="40"/>
      <c r="BG247" s="40"/>
      <c r="BP247" s="40"/>
      <c r="BQ247" s="40"/>
      <c r="BR247" s="40"/>
      <c r="BS247" s="40"/>
      <c r="BT247" s="40"/>
      <c r="BU247" s="40"/>
      <c r="BV247" s="40"/>
      <c r="BW247" s="40"/>
      <c r="BX247" s="40"/>
      <c r="BY247" s="40"/>
      <c r="BZ247" s="40"/>
      <c r="CA247" s="40"/>
      <c r="CB247" s="56"/>
    </row>
    <row r="248" spans="2:80" x14ac:dyDescent="0.2">
      <c r="B248" s="14"/>
      <c r="E248" s="121">
        <f>+E243</f>
        <v>6</v>
      </c>
      <c r="AO248" s="40"/>
      <c r="AP248" s="40"/>
      <c r="AQ248" s="40"/>
      <c r="AR248" s="40"/>
      <c r="AS248" s="40"/>
      <c r="AT248" s="40"/>
      <c r="AU248" s="40"/>
      <c r="AV248" s="40"/>
      <c r="BF248" s="40"/>
      <c r="BG248" s="40"/>
      <c r="BH248" s="40"/>
      <c r="BI248" s="40"/>
      <c r="BJ248" s="40"/>
      <c r="BK248" s="40"/>
      <c r="BL248" s="40"/>
      <c r="BM248" s="40"/>
      <c r="BN248" s="40"/>
      <c r="BO248" s="40"/>
      <c r="BP248" s="40"/>
      <c r="BQ248" s="40"/>
      <c r="BR248" s="40"/>
      <c r="BS248" s="40"/>
      <c r="BT248" s="40"/>
      <c r="BU248" s="40"/>
      <c r="BV248" s="40"/>
      <c r="BW248" s="40"/>
      <c r="BX248" s="40"/>
      <c r="BY248" s="40"/>
      <c r="BZ248" s="40"/>
      <c r="CA248" s="40"/>
      <c r="CB248" s="56"/>
    </row>
    <row r="249" spans="2:80" x14ac:dyDescent="0.2">
      <c r="B249" s="14"/>
      <c r="E249" s="121"/>
      <c r="AO249" s="40"/>
      <c r="AP249" s="40"/>
      <c r="AQ249" s="40"/>
      <c r="AR249" s="40"/>
      <c r="AS249" s="40"/>
      <c r="AT249" s="40"/>
      <c r="AU249" s="40"/>
      <c r="AV249" s="40"/>
      <c r="BF249" s="40"/>
      <c r="BG249" s="40"/>
      <c r="BH249" s="40"/>
      <c r="BI249" s="40"/>
      <c r="BJ249" s="40"/>
      <c r="BK249" s="40"/>
      <c r="BL249" s="40"/>
      <c r="BM249" s="40"/>
      <c r="BN249" s="40"/>
      <c r="BO249" s="40"/>
      <c r="BP249" s="40"/>
      <c r="BQ249" s="40"/>
      <c r="BR249" s="40"/>
      <c r="BS249" s="40"/>
      <c r="BT249" s="40"/>
      <c r="BU249" s="40"/>
      <c r="BV249" s="40"/>
      <c r="BW249" s="40"/>
      <c r="BX249" s="40"/>
      <c r="BY249" s="40"/>
      <c r="BZ249" s="40"/>
      <c r="CA249" s="40"/>
      <c r="CB249" s="56"/>
    </row>
    <row r="250" spans="2:80" x14ac:dyDescent="0.2">
      <c r="B250" s="14"/>
      <c r="E250" s="121"/>
      <c r="AO250" s="40"/>
      <c r="AP250" s="40"/>
      <c r="AQ250" s="40"/>
      <c r="AR250" s="40"/>
      <c r="AS250" s="40"/>
      <c r="AT250" s="40"/>
      <c r="AU250" s="40"/>
      <c r="AV250" s="40"/>
      <c r="AW250" s="40"/>
      <c r="AX250" s="40"/>
      <c r="AY250" s="40"/>
      <c r="AZ250" s="40"/>
      <c r="BA250" s="40"/>
      <c r="BB250" s="40"/>
      <c r="BC250" s="40"/>
      <c r="BD250" s="40"/>
      <c r="BE250" s="40"/>
      <c r="BF250" s="40"/>
      <c r="BG250" s="40"/>
      <c r="BH250" s="40"/>
      <c r="BI250" s="40"/>
      <c r="BJ250" s="40"/>
      <c r="BK250" s="40"/>
      <c r="BL250" s="40"/>
      <c r="BM250" s="40"/>
      <c r="BN250" s="40"/>
      <c r="BO250" s="40"/>
      <c r="BP250" s="40"/>
      <c r="BQ250" s="40"/>
      <c r="BR250" s="40"/>
      <c r="BS250" s="40"/>
      <c r="BT250" s="40"/>
      <c r="BU250" s="40"/>
      <c r="BV250" s="40"/>
      <c r="BW250" s="40"/>
      <c r="BX250" s="40"/>
      <c r="BY250" s="40"/>
      <c r="BZ250" s="40"/>
      <c r="CA250" s="40"/>
      <c r="CB250" s="56"/>
    </row>
    <row r="251" spans="2:80" x14ac:dyDescent="0.2">
      <c r="B251" s="14"/>
      <c r="AO251" s="40"/>
      <c r="AP251" s="40"/>
      <c r="AQ251" s="40"/>
      <c r="AR251" s="40"/>
      <c r="AS251" s="40"/>
      <c r="AT251" s="40"/>
      <c r="AU251" s="40"/>
      <c r="AV251" s="40"/>
      <c r="AW251" s="40"/>
      <c r="AX251" s="40"/>
      <c r="AY251" s="40"/>
      <c r="AZ251" s="40"/>
      <c r="BA251" s="40"/>
      <c r="BB251" s="40"/>
      <c r="BC251" s="40"/>
      <c r="BD251" s="40"/>
      <c r="BE251" s="40"/>
      <c r="BF251" s="40"/>
      <c r="BG251" s="40"/>
      <c r="BH251" s="40"/>
      <c r="BI251" s="40"/>
      <c r="BJ251" s="40"/>
      <c r="BK251" s="40"/>
      <c r="BL251" s="40"/>
      <c r="BM251" s="40"/>
      <c r="BN251" s="40"/>
      <c r="BR251" s="40"/>
      <c r="BS251" s="40"/>
      <c r="BT251" s="40"/>
      <c r="BU251" s="40"/>
      <c r="BV251" s="40"/>
      <c r="BW251" s="40"/>
      <c r="BX251" s="40"/>
      <c r="BY251" s="40"/>
      <c r="BZ251" s="40"/>
      <c r="CA251" s="40"/>
      <c r="CB251" s="56"/>
    </row>
    <row r="252" spans="2:80" x14ac:dyDescent="0.2">
      <c r="B252" s="14"/>
      <c r="AO252" s="40"/>
      <c r="AP252" s="40"/>
      <c r="AQ252" s="40"/>
      <c r="AR252" s="40"/>
      <c r="AS252" s="40"/>
      <c r="AT252" s="40"/>
      <c r="AU252" s="40"/>
      <c r="AV252" s="40"/>
      <c r="AW252" s="40"/>
      <c r="AX252" s="40"/>
      <c r="AY252" s="40"/>
      <c r="AZ252" s="40"/>
      <c r="BA252" s="40"/>
      <c r="BB252" s="40"/>
      <c r="BC252" s="40"/>
      <c r="BD252" s="40"/>
      <c r="BE252" s="40"/>
      <c r="BF252" s="40"/>
      <c r="BG252" s="40"/>
      <c r="BH252" s="40"/>
      <c r="BI252" s="40"/>
      <c r="BJ252" s="40"/>
      <c r="BK252" s="40"/>
      <c r="BL252" s="40"/>
      <c r="BM252" s="40"/>
      <c r="BN252" s="40"/>
      <c r="BR252" s="40"/>
      <c r="BS252" s="40"/>
      <c r="BT252" s="40"/>
      <c r="BU252" s="40"/>
      <c r="BV252" s="40"/>
      <c r="BW252" s="40"/>
      <c r="BX252" s="40"/>
      <c r="BY252" s="40"/>
      <c r="BZ252" s="40"/>
      <c r="CA252" s="40"/>
      <c r="CB252" s="56"/>
    </row>
    <row r="253" spans="2:80" x14ac:dyDescent="0.2">
      <c r="B253" s="14"/>
      <c r="J253" s="1" t="s">
        <v>269</v>
      </c>
      <c r="P253" s="35" t="s">
        <v>291</v>
      </c>
      <c r="AO253" s="40"/>
      <c r="AP253" s="40"/>
      <c r="AQ253" s="40"/>
      <c r="AR253" s="40"/>
      <c r="AS253" s="40"/>
      <c r="AT253" s="40"/>
      <c r="AU253" s="40"/>
      <c r="AV253" s="40"/>
      <c r="AW253" s="40"/>
      <c r="AX253" s="40"/>
      <c r="AY253" s="40"/>
      <c r="AZ253" s="40"/>
      <c r="BA253" s="40"/>
      <c r="BB253" s="40"/>
      <c r="BC253" s="40"/>
      <c r="BD253" s="40"/>
      <c r="BE253" s="40"/>
      <c r="BF253" s="40"/>
      <c r="BG253" s="40"/>
      <c r="BH253" s="40"/>
      <c r="BI253" s="40"/>
      <c r="BJ253" s="40"/>
      <c r="BK253" s="40"/>
      <c r="BL253" s="40"/>
      <c r="BM253" s="40"/>
      <c r="BN253" s="40"/>
      <c r="BR253" s="40"/>
      <c r="BS253" s="40"/>
      <c r="BT253" s="40"/>
      <c r="BU253" s="40"/>
      <c r="BV253" s="40"/>
      <c r="BW253" s="40"/>
      <c r="BX253" s="40"/>
      <c r="BY253" s="40"/>
      <c r="BZ253" s="40"/>
      <c r="CA253" s="40"/>
      <c r="CB253" s="56"/>
    </row>
    <row r="254" spans="2:80" x14ac:dyDescent="0.2">
      <c r="B254" s="14"/>
      <c r="I254" s="1" t="s">
        <v>11</v>
      </c>
      <c r="Y254" s="1" t="s">
        <v>270</v>
      </c>
      <c r="AH254" s="1" t="s">
        <v>386</v>
      </c>
      <c r="AO254" s="40"/>
      <c r="AP254" s="40"/>
      <c r="AQ254" s="40"/>
      <c r="AR254" s="40"/>
      <c r="AS254" s="40"/>
      <c r="AT254" s="40"/>
      <c r="AU254" s="40"/>
      <c r="AV254" s="40"/>
      <c r="AW254" s="40"/>
      <c r="AX254" s="40"/>
      <c r="AY254" s="40"/>
      <c r="AZ254" s="40"/>
      <c r="BA254" s="40"/>
      <c r="BB254" s="40"/>
      <c r="BC254" s="40"/>
      <c r="BD254" s="40"/>
      <c r="BE254" s="40"/>
      <c r="BF254" s="40"/>
      <c r="BG254" s="40"/>
      <c r="BH254" s="40"/>
      <c r="BI254" s="40"/>
      <c r="BJ254" s="40"/>
      <c r="BK254" s="40"/>
      <c r="BL254" s="40"/>
      <c r="BM254" s="40"/>
      <c r="BN254" s="40"/>
      <c r="BR254" s="40"/>
      <c r="BS254" s="40"/>
      <c r="BT254" s="40"/>
      <c r="BU254" s="40"/>
      <c r="BV254" s="40"/>
      <c r="BW254" s="40"/>
      <c r="BX254" s="40"/>
      <c r="BY254" s="40"/>
      <c r="BZ254" s="40"/>
      <c r="CA254" s="40"/>
      <c r="CB254" s="56"/>
    </row>
    <row r="255" spans="2:80" x14ac:dyDescent="0.2">
      <c r="B255" s="14"/>
      <c r="AA255" s="1" t="s">
        <v>10</v>
      </c>
      <c r="AO255" s="40"/>
      <c r="AP255" s="40"/>
      <c r="AQ255" s="40"/>
      <c r="AR255" s="40"/>
      <c r="AS255" s="40"/>
      <c r="AT255" s="40"/>
      <c r="AU255" s="40"/>
      <c r="AV255" s="40"/>
      <c r="AW255" s="40"/>
      <c r="AX255" s="40"/>
      <c r="AY255" s="40"/>
      <c r="BL255" s="40"/>
      <c r="BM255" s="40"/>
      <c r="BN255" s="40"/>
      <c r="BR255" s="40"/>
      <c r="BS255" s="40"/>
      <c r="BT255" s="40"/>
      <c r="BU255" s="40"/>
      <c r="BV255" s="40"/>
      <c r="BW255" s="40"/>
      <c r="BX255" s="40"/>
      <c r="BY255" s="40"/>
      <c r="BZ255" s="40"/>
      <c r="CA255" s="40"/>
      <c r="CB255" s="56"/>
    </row>
    <row r="256" spans="2:80" x14ac:dyDescent="0.2">
      <c r="B256" s="14"/>
      <c r="E256" s="36" t="s">
        <v>0</v>
      </c>
      <c r="AO256" s="40"/>
      <c r="AP256" s="40"/>
      <c r="AQ256" s="40"/>
      <c r="AR256" s="40"/>
      <c r="AS256" s="40"/>
      <c r="AT256" s="40"/>
      <c r="AU256" s="40"/>
      <c r="AV256" s="40"/>
      <c r="AW256" s="40"/>
      <c r="AX256" s="40"/>
      <c r="AY256" s="40"/>
      <c r="BL256" s="40"/>
      <c r="BM256" s="40"/>
      <c r="BN256" s="40"/>
      <c r="BR256" s="40"/>
      <c r="BS256" s="40"/>
      <c r="BT256" s="40"/>
      <c r="BU256" s="40"/>
      <c r="BV256" s="40"/>
      <c r="BW256" s="40"/>
      <c r="BX256" s="40"/>
      <c r="BY256" s="40"/>
      <c r="BZ256" s="40"/>
      <c r="CA256" s="40"/>
      <c r="CB256" s="56"/>
    </row>
    <row r="257" spans="2:80" x14ac:dyDescent="0.2">
      <c r="B257" s="14"/>
      <c r="E257" s="121">
        <f>+E195</f>
        <v>1.2</v>
      </c>
      <c r="AO257" s="40"/>
      <c r="AP257" s="40"/>
      <c r="AQ257" s="40"/>
      <c r="AR257" s="40"/>
      <c r="AS257" s="40"/>
      <c r="AT257" s="40"/>
      <c r="AU257" s="40"/>
      <c r="AV257" s="40"/>
      <c r="AW257" s="40"/>
      <c r="AX257" s="40"/>
      <c r="AY257" s="40"/>
      <c r="BL257" s="40"/>
      <c r="BM257" s="40"/>
      <c r="BN257" s="40"/>
      <c r="BR257" s="40"/>
      <c r="BS257" s="40"/>
      <c r="BT257" s="40"/>
      <c r="BU257" s="40"/>
      <c r="BV257" s="40"/>
      <c r="BW257" s="40"/>
      <c r="BX257" s="40"/>
      <c r="BY257" s="40"/>
      <c r="BZ257" s="40"/>
      <c r="CA257" s="40"/>
      <c r="CB257" s="56"/>
    </row>
    <row r="258" spans="2:80" x14ac:dyDescent="0.2">
      <c r="B258" s="14"/>
      <c r="E258" s="121"/>
      <c r="AO258" s="40"/>
      <c r="AP258" s="40"/>
      <c r="AQ258" s="40"/>
      <c r="AR258" s="40"/>
      <c r="AS258" s="40"/>
      <c r="AT258" s="40"/>
      <c r="AU258" s="40"/>
      <c r="AV258" s="40"/>
      <c r="AW258" s="40"/>
      <c r="AX258" s="40"/>
      <c r="AY258" s="40"/>
      <c r="BL258" s="40"/>
      <c r="BM258" s="40"/>
      <c r="BN258" s="40"/>
      <c r="BR258" s="40"/>
      <c r="BS258" s="40"/>
      <c r="BT258" s="40"/>
      <c r="BU258" s="40"/>
      <c r="BV258" s="40"/>
      <c r="BW258" s="40"/>
      <c r="BX258" s="40"/>
      <c r="BY258" s="40"/>
      <c r="BZ258" s="40"/>
      <c r="CA258" s="40"/>
      <c r="CB258" s="56"/>
    </row>
    <row r="259" spans="2:80" x14ac:dyDescent="0.2">
      <c r="B259" s="14"/>
      <c r="E259" s="121"/>
      <c r="AO259" s="40"/>
      <c r="AP259" s="40"/>
      <c r="AQ259" s="40"/>
      <c r="AR259" s="40"/>
      <c r="AS259" s="40"/>
      <c r="AT259" s="40"/>
      <c r="AU259" s="40"/>
      <c r="AV259" s="40"/>
      <c r="AW259" s="40"/>
      <c r="AX259" s="40"/>
      <c r="AY259" s="40"/>
      <c r="BL259" s="40"/>
      <c r="BM259" s="40"/>
      <c r="BN259" s="40"/>
      <c r="BP259" s="57" t="s">
        <v>444</v>
      </c>
      <c r="BQ259" s="40"/>
      <c r="BR259" s="40"/>
      <c r="BS259" s="40"/>
      <c r="BT259" s="40"/>
      <c r="BU259" s="40"/>
      <c r="BV259" s="40"/>
      <c r="BW259" s="40"/>
      <c r="BX259" s="40"/>
      <c r="BY259" s="40"/>
      <c r="BZ259" s="40"/>
      <c r="CA259" s="40"/>
      <c r="CB259" s="56"/>
    </row>
    <row r="260" spans="2:80" x14ac:dyDescent="0.2">
      <c r="B260" s="14"/>
      <c r="C260" s="36" t="s">
        <v>0</v>
      </c>
      <c r="AD260" s="37"/>
      <c r="AK260" s="78" t="s">
        <v>575</v>
      </c>
      <c r="AL260" s="78"/>
      <c r="AM260" s="78"/>
      <c r="AN260" s="78"/>
      <c r="AO260" s="78"/>
      <c r="AP260" s="78"/>
      <c r="AQ260" s="78"/>
      <c r="AR260" s="78"/>
      <c r="AS260" s="78"/>
      <c r="AT260" s="78"/>
      <c r="AU260" s="40"/>
      <c r="AV260" s="40"/>
      <c r="AW260" s="40"/>
      <c r="AX260" s="40"/>
      <c r="AY260" s="40"/>
      <c r="BL260" s="40"/>
      <c r="BM260" s="40"/>
      <c r="BN260" s="40"/>
      <c r="BP260" s="40"/>
      <c r="BQ260" s="40"/>
      <c r="BR260" s="40"/>
      <c r="BS260" s="40"/>
      <c r="BT260" s="40"/>
      <c r="BU260" s="40" t="s">
        <v>418</v>
      </c>
      <c r="BV260" s="40"/>
      <c r="BW260" s="40"/>
      <c r="BX260" s="40"/>
      <c r="BY260" s="40"/>
      <c r="BZ260" s="40"/>
      <c r="CA260" s="40"/>
      <c r="CB260" s="56"/>
    </row>
    <row r="261" spans="2:80" x14ac:dyDescent="0.2">
      <c r="B261" s="14"/>
      <c r="C261" s="121">
        <f>+C199</f>
        <v>9.1999999999999993</v>
      </c>
      <c r="D261" s="60">
        <f>+E201/3</f>
        <v>2.6666666666666665</v>
      </c>
      <c r="E261" s="60"/>
      <c r="F261" s="1" t="s">
        <v>0</v>
      </c>
      <c r="AK261" s="78"/>
      <c r="AL261" s="78"/>
      <c r="AM261" s="78"/>
      <c r="AN261" s="78"/>
      <c r="AO261" s="78"/>
      <c r="AP261" s="78"/>
      <c r="AQ261" s="78"/>
      <c r="AR261" s="78"/>
      <c r="AS261" s="78"/>
      <c r="AT261" s="78"/>
      <c r="AU261" s="40"/>
      <c r="AV261" s="40"/>
      <c r="AW261" s="40"/>
      <c r="AX261" s="40"/>
      <c r="AY261" s="40"/>
      <c r="BL261" s="40"/>
      <c r="BM261" s="40"/>
      <c r="BN261" s="40"/>
      <c r="BP261" s="40"/>
      <c r="BQ261" s="40"/>
      <c r="BR261" s="40"/>
      <c r="BS261" s="40"/>
      <c r="BT261" s="40"/>
      <c r="BU261" s="40"/>
      <c r="BV261" s="40"/>
      <c r="BW261" s="40"/>
      <c r="BX261" s="40"/>
      <c r="BY261" s="40"/>
      <c r="BZ261" s="40"/>
      <c r="CA261" s="40"/>
      <c r="CB261" s="56"/>
    </row>
    <row r="262" spans="2:80" x14ac:dyDescent="0.2">
      <c r="B262" s="14"/>
      <c r="C262" s="121"/>
      <c r="AK262" s="78"/>
      <c r="AL262" s="78"/>
      <c r="AM262" s="78"/>
      <c r="AN262" s="78"/>
      <c r="AO262" s="78"/>
      <c r="AP262" s="78"/>
      <c r="AQ262" s="78"/>
      <c r="AR262" s="78"/>
      <c r="AS262" s="78"/>
      <c r="AT262" s="78"/>
      <c r="AU262" s="40"/>
      <c r="AV262" s="40"/>
      <c r="AW262" s="40"/>
      <c r="AX262" s="40"/>
      <c r="AY262" s="40"/>
      <c r="BL262" s="40"/>
      <c r="BM262" s="40"/>
      <c r="BN262" s="40"/>
      <c r="BP262" s="40"/>
      <c r="BQ262" s="40"/>
      <c r="BR262" s="40"/>
      <c r="BS262" s="40"/>
      <c r="BT262" s="40"/>
      <c r="BU262" s="40"/>
      <c r="BV262" s="40"/>
      <c r="BW262" s="40"/>
      <c r="BX262" s="40"/>
      <c r="BY262" s="40"/>
      <c r="BZ262" s="40"/>
      <c r="CA262" s="40"/>
      <c r="CB262" s="56"/>
    </row>
    <row r="263" spans="2:80" x14ac:dyDescent="0.2">
      <c r="B263" s="14"/>
      <c r="C263" s="121"/>
      <c r="D263" s="60">
        <f>+D261</f>
        <v>2.6666666666666665</v>
      </c>
      <c r="E263" s="60"/>
      <c r="F263" s="183" t="s">
        <v>0</v>
      </c>
      <c r="AH263" s="36" t="s">
        <v>0</v>
      </c>
      <c r="AK263" s="78"/>
      <c r="AL263" s="78"/>
      <c r="AM263" s="78"/>
      <c r="AN263" s="78"/>
      <c r="AO263" s="78"/>
      <c r="AP263" s="78"/>
      <c r="AQ263" s="78"/>
      <c r="AR263" s="78"/>
      <c r="AS263" s="78"/>
      <c r="AT263" s="78"/>
      <c r="AU263" s="40"/>
      <c r="AV263" s="40"/>
      <c r="AW263" s="40"/>
      <c r="AX263" s="40"/>
      <c r="AY263" s="40"/>
      <c r="AZ263" s="57" t="s">
        <v>416</v>
      </c>
      <c r="BA263" s="40"/>
      <c r="BB263" s="40"/>
      <c r="BC263" s="40"/>
      <c r="BD263" s="40"/>
      <c r="BE263" s="40"/>
      <c r="BG263" s="40"/>
      <c r="BH263" s="40"/>
      <c r="BI263" s="57" t="s">
        <v>414</v>
      </c>
      <c r="BJ263" s="40"/>
      <c r="BK263" s="40"/>
      <c r="BL263" s="40"/>
      <c r="BM263" s="40"/>
      <c r="BN263" s="40"/>
      <c r="BP263" s="40"/>
      <c r="BQ263" s="40"/>
      <c r="BR263" s="40"/>
      <c r="BS263" s="40"/>
      <c r="BT263" s="40"/>
      <c r="BU263" s="40"/>
      <c r="BV263" s="40"/>
      <c r="BW263" s="40"/>
      <c r="BX263" s="220" t="s">
        <v>424</v>
      </c>
      <c r="BY263" s="40"/>
      <c r="BZ263" s="40"/>
      <c r="CA263" s="40"/>
      <c r="CB263" s="56"/>
    </row>
    <row r="264" spans="2:80" x14ac:dyDescent="0.2">
      <c r="B264" s="14"/>
      <c r="D264" s="60"/>
      <c r="E264" s="60"/>
      <c r="F264" s="183"/>
      <c r="AH264" s="122">
        <v>4.5</v>
      </c>
      <c r="AK264" s="78"/>
      <c r="AL264" s="78"/>
      <c r="AM264" s="78"/>
      <c r="AN264" s="78"/>
      <c r="AO264" s="78"/>
      <c r="AP264" s="78"/>
      <c r="AQ264" s="78"/>
      <c r="AR264" s="78"/>
      <c r="AS264" s="78"/>
      <c r="AT264" s="78"/>
      <c r="AU264" s="40"/>
      <c r="AV264" s="40"/>
      <c r="AW264" s="40"/>
      <c r="AX264" s="40"/>
      <c r="AY264" s="40"/>
      <c r="AZ264" s="40"/>
      <c r="BA264" s="40"/>
      <c r="BB264" s="40"/>
      <c r="BC264" s="40"/>
      <c r="BD264" s="40"/>
      <c r="BE264" s="40"/>
      <c r="BG264" s="40"/>
      <c r="BH264" s="40"/>
      <c r="BI264" s="40"/>
      <c r="BJ264" s="40"/>
      <c r="BK264" s="40"/>
      <c r="BL264" s="40"/>
      <c r="BM264" s="40"/>
      <c r="BN264" s="40"/>
      <c r="BP264" s="40"/>
      <c r="BQ264" s="40"/>
      <c r="BR264" s="40"/>
      <c r="BS264" s="40"/>
      <c r="BT264" s="40"/>
      <c r="BU264" s="40"/>
      <c r="BV264" s="40"/>
      <c r="BW264" s="40"/>
      <c r="BX264" s="220"/>
      <c r="BY264" s="40"/>
      <c r="BZ264" s="40"/>
      <c r="CA264" s="40"/>
      <c r="CB264" s="56"/>
    </row>
    <row r="265" spans="2:80" x14ac:dyDescent="0.2">
      <c r="B265" s="14"/>
      <c r="AH265" s="122"/>
      <c r="AO265" s="40"/>
      <c r="AP265" s="40"/>
      <c r="AQ265" s="40"/>
      <c r="AR265" s="40"/>
      <c r="AS265" s="40"/>
      <c r="AT265" s="40"/>
      <c r="AU265" s="40"/>
      <c r="AV265" s="40"/>
      <c r="AW265" s="40"/>
      <c r="AX265" s="40"/>
      <c r="AY265" s="40"/>
      <c r="AZ265" s="40"/>
      <c r="BA265" s="40"/>
      <c r="BB265" s="40"/>
      <c r="BC265" s="40"/>
      <c r="BD265" s="40"/>
      <c r="BE265" s="40"/>
      <c r="BG265" s="40"/>
      <c r="BH265" s="40"/>
      <c r="BI265" s="40"/>
      <c r="BJ265" s="40"/>
      <c r="BK265" s="40"/>
      <c r="BL265" s="40"/>
      <c r="BM265" s="40"/>
      <c r="BN265" s="40"/>
      <c r="BP265" s="40"/>
      <c r="BQ265" s="40"/>
      <c r="BR265" s="40"/>
      <c r="BS265" s="40"/>
      <c r="BT265" s="40"/>
      <c r="BU265" s="40"/>
      <c r="BV265" s="40"/>
      <c r="BW265" s="40"/>
      <c r="BX265" s="40"/>
      <c r="BY265" s="40"/>
      <c r="BZ265" s="40"/>
      <c r="CA265" s="40"/>
      <c r="CB265" s="56"/>
    </row>
    <row r="266" spans="2:80" x14ac:dyDescent="0.2">
      <c r="B266" s="14"/>
      <c r="D266" s="60">
        <f>+D263</f>
        <v>2.6666666666666665</v>
      </c>
      <c r="E266" s="60"/>
      <c r="F266" s="1" t="s">
        <v>0</v>
      </c>
      <c r="AH266" s="122"/>
      <c r="AO266" s="40"/>
      <c r="AP266" s="40"/>
      <c r="AQ266" s="40"/>
      <c r="AR266" s="40"/>
      <c r="AS266" s="40"/>
      <c r="AT266" s="40"/>
      <c r="AU266" s="40"/>
      <c r="AV266" s="40"/>
      <c r="AW266" s="40"/>
      <c r="AX266" s="40"/>
      <c r="AY266" s="40"/>
      <c r="AZ266" s="40"/>
      <c r="BA266" s="40"/>
      <c r="BB266" s="40"/>
      <c r="BC266" s="40"/>
      <c r="BD266" s="40"/>
      <c r="BE266" s="40"/>
      <c r="BG266" s="40"/>
      <c r="BH266" s="40"/>
      <c r="BI266" s="40"/>
      <c r="BJ266" s="40"/>
      <c r="BK266" s="40"/>
      <c r="BL266" s="40"/>
      <c r="BM266" s="40"/>
      <c r="BN266" s="40"/>
      <c r="BP266" s="40"/>
      <c r="BQ266" s="40"/>
      <c r="BR266" s="40"/>
      <c r="BS266" s="40" t="s">
        <v>421</v>
      </c>
      <c r="BT266" s="40"/>
      <c r="BU266" s="40"/>
      <c r="BV266" s="40"/>
      <c r="BW266" s="40"/>
      <c r="BX266" s="40"/>
      <c r="BY266" s="40"/>
      <c r="BZ266" s="40"/>
      <c r="CA266" s="40"/>
      <c r="CB266" s="56"/>
    </row>
    <row r="267" spans="2:80" x14ac:dyDescent="0.2">
      <c r="B267" s="14"/>
      <c r="AO267" s="40"/>
      <c r="AP267" s="40"/>
      <c r="AQ267" s="40"/>
      <c r="AR267" s="40"/>
      <c r="AS267" s="40"/>
      <c r="AT267" s="40"/>
      <c r="AU267" s="40"/>
      <c r="AV267" s="40"/>
      <c r="AW267" s="40" t="s">
        <v>420</v>
      </c>
      <c r="AX267" s="40"/>
      <c r="AY267" s="40"/>
      <c r="AZ267" s="40"/>
      <c r="BA267" s="40"/>
      <c r="BB267" s="40"/>
      <c r="BC267" s="40"/>
      <c r="BD267" s="58" t="s">
        <v>421</v>
      </c>
      <c r="BE267" s="40"/>
      <c r="BG267" s="40" t="s">
        <v>422</v>
      </c>
      <c r="BH267" s="40"/>
      <c r="BI267" s="40"/>
      <c r="BJ267" s="40"/>
      <c r="BK267" s="40"/>
      <c r="BL267" s="40"/>
      <c r="BM267" s="40"/>
      <c r="BN267" s="58" t="s">
        <v>421</v>
      </c>
      <c r="BP267" s="40"/>
      <c r="BQ267" s="40" t="s">
        <v>420</v>
      </c>
      <c r="BR267" s="40"/>
      <c r="BS267" s="40"/>
      <c r="BT267" s="40"/>
      <c r="BU267" s="40"/>
      <c r="BV267" s="40"/>
      <c r="BW267" s="40"/>
      <c r="BX267" s="40"/>
      <c r="BY267" s="40"/>
      <c r="BZ267" s="40"/>
      <c r="CA267" s="40"/>
      <c r="CB267" s="56"/>
    </row>
    <row r="268" spans="2:80" x14ac:dyDescent="0.2">
      <c r="B268" s="14"/>
      <c r="AO268" s="40"/>
      <c r="AP268" s="40"/>
      <c r="AQ268" s="40"/>
      <c r="AR268" s="40"/>
      <c r="AS268" s="40"/>
      <c r="AT268" s="40"/>
      <c r="AU268" s="40"/>
      <c r="AV268" s="40"/>
      <c r="AW268" s="40"/>
      <c r="AX268" s="40"/>
      <c r="AY268" s="40"/>
      <c r="AZ268" s="40"/>
      <c r="BA268" s="40"/>
      <c r="BB268" s="40"/>
      <c r="BC268" s="40"/>
      <c r="BD268" s="40"/>
      <c r="BE268" s="40"/>
      <c r="BG268" s="40"/>
      <c r="BH268" s="40"/>
      <c r="BI268" s="40"/>
      <c r="BJ268" s="40"/>
      <c r="BK268" s="40"/>
      <c r="BL268" s="40"/>
      <c r="BM268" s="40"/>
      <c r="BN268" s="40"/>
      <c r="BO268" s="40"/>
      <c r="BP268" s="40"/>
      <c r="BQ268" s="40"/>
      <c r="BR268" s="40"/>
      <c r="BS268" s="40"/>
      <c r="BT268" s="40"/>
      <c r="BU268" s="40"/>
      <c r="BV268" s="40"/>
      <c r="BW268" s="40"/>
      <c r="BX268" s="40"/>
      <c r="BY268" s="40"/>
      <c r="BZ268" s="40"/>
      <c r="CA268" s="40"/>
      <c r="CB268" s="56"/>
    </row>
    <row r="269" spans="2:80" x14ac:dyDescent="0.2">
      <c r="B269" s="14"/>
      <c r="H269" s="60">
        <f>+K269</f>
        <v>3.1666666666666665</v>
      </c>
      <c r="I269" s="60"/>
      <c r="J269" s="1" t="s">
        <v>0</v>
      </c>
      <c r="K269" s="60">
        <f>+N269</f>
        <v>3.1666666666666665</v>
      </c>
      <c r="L269" s="60"/>
      <c r="M269" s="1" t="s">
        <v>0</v>
      </c>
      <c r="N269" s="60">
        <f>(S271-S269)/2/3</f>
        <v>3.1666666666666665</v>
      </c>
      <c r="O269" s="60"/>
      <c r="P269" s="1" t="s">
        <v>0</v>
      </c>
      <c r="S269" s="91">
        <v>5</v>
      </c>
      <c r="T269" s="91"/>
      <c r="U269" s="1" t="s">
        <v>0</v>
      </c>
      <c r="X269" s="60">
        <f>+N269</f>
        <v>3.1666666666666665</v>
      </c>
      <c r="Y269" s="60"/>
      <c r="Z269" s="1" t="s">
        <v>0</v>
      </c>
      <c r="AA269" s="60">
        <f>+N269</f>
        <v>3.1666666666666665</v>
      </c>
      <c r="AB269" s="60"/>
      <c r="AC269" s="1" t="s">
        <v>0</v>
      </c>
      <c r="AD269" s="60">
        <f>+N269</f>
        <v>3.1666666666666665</v>
      </c>
      <c r="AE269" s="60"/>
      <c r="AF269" s="1" t="s">
        <v>0</v>
      </c>
      <c r="AO269" s="40"/>
      <c r="AP269" s="40"/>
      <c r="AQ269" s="40"/>
      <c r="AR269" s="40"/>
      <c r="AS269" s="40"/>
      <c r="AT269" s="40"/>
      <c r="AU269" s="40"/>
      <c r="AV269" s="40"/>
      <c r="AW269" s="40"/>
      <c r="AX269" s="40"/>
      <c r="AY269" s="40"/>
      <c r="AZ269" s="40"/>
      <c r="BA269" s="40"/>
      <c r="BB269" s="40"/>
      <c r="BC269" s="40"/>
      <c r="BD269" s="40"/>
      <c r="BE269" s="40"/>
      <c r="BF269" s="40"/>
      <c r="BG269" s="40"/>
      <c r="BH269" s="40"/>
      <c r="BI269" s="40"/>
      <c r="BJ269" s="40"/>
      <c r="BK269" s="40"/>
      <c r="BL269" s="40"/>
      <c r="BM269" s="40"/>
      <c r="BN269" s="40"/>
      <c r="BO269" s="40"/>
      <c r="BP269" s="40"/>
      <c r="BQ269" s="40"/>
      <c r="BR269" s="40"/>
      <c r="BS269" s="40"/>
      <c r="BT269" s="40"/>
      <c r="BU269" s="40"/>
      <c r="BV269" s="40"/>
      <c r="BW269" s="40"/>
      <c r="BX269" s="40"/>
      <c r="BY269" s="40"/>
      <c r="BZ269" s="40"/>
      <c r="CA269" s="40"/>
      <c r="CB269" s="56"/>
    </row>
    <row r="270" spans="2:80" x14ac:dyDescent="0.2">
      <c r="B270" s="14"/>
      <c r="AO270" s="40"/>
      <c r="AP270" s="40"/>
      <c r="AQ270" s="40"/>
      <c r="AR270" s="40"/>
      <c r="AS270" s="40"/>
      <c r="AT270" s="40"/>
      <c r="AU270" s="40"/>
      <c r="AV270" s="40"/>
      <c r="AW270" s="40"/>
      <c r="AX270" s="40"/>
      <c r="AY270" s="40"/>
      <c r="AZ270" s="40"/>
      <c r="BA270" s="40"/>
      <c r="BB270" s="40"/>
      <c r="BC270" s="40"/>
      <c r="BD270" s="40"/>
      <c r="BE270" s="40"/>
      <c r="BF270" s="40"/>
      <c r="BG270" s="40"/>
      <c r="BH270" s="40"/>
      <c r="BI270" s="40"/>
      <c r="BJ270" s="40"/>
      <c r="BK270" s="40"/>
      <c r="BL270" s="40"/>
      <c r="BM270" s="40"/>
      <c r="BN270" s="40"/>
      <c r="BO270" s="40"/>
      <c r="BP270" s="40"/>
      <c r="BQ270" s="40"/>
      <c r="BR270" s="40"/>
      <c r="BS270" s="40"/>
      <c r="BT270" s="40"/>
      <c r="BU270" s="40"/>
      <c r="BV270" s="40"/>
      <c r="BW270" s="40"/>
      <c r="BX270" s="40"/>
      <c r="BY270" s="40"/>
      <c r="BZ270" s="40"/>
      <c r="CA270" s="40"/>
      <c r="CB270" s="56"/>
    </row>
    <row r="271" spans="2:80" x14ac:dyDescent="0.2">
      <c r="B271" s="14"/>
      <c r="S271" s="60">
        <f>+S209</f>
        <v>24</v>
      </c>
      <c r="T271" s="60"/>
      <c r="U271" s="1" t="s">
        <v>0</v>
      </c>
      <c r="AO271" s="40"/>
      <c r="AP271" s="40"/>
      <c r="AQ271" s="40"/>
      <c r="AR271" s="40"/>
      <c r="AS271" s="40"/>
      <c r="AT271" s="40"/>
      <c r="AU271" s="40"/>
      <c r="AV271" s="40"/>
      <c r="AW271" s="40"/>
      <c r="AX271" s="40"/>
      <c r="AY271" s="40"/>
      <c r="AZ271" s="40"/>
      <c r="BA271" s="220" t="s">
        <v>418</v>
      </c>
      <c r="BB271" s="220"/>
      <c r="BC271" s="40"/>
      <c r="BD271" s="40"/>
      <c r="BE271" s="40"/>
      <c r="BF271" s="40"/>
      <c r="BG271" s="40"/>
      <c r="BH271" s="40"/>
      <c r="BI271" s="40"/>
      <c r="BJ271" s="40"/>
      <c r="BK271" s="40"/>
      <c r="BL271" s="40"/>
      <c r="BM271" s="40"/>
      <c r="BN271" s="40"/>
      <c r="BO271" s="40"/>
      <c r="BP271" s="40"/>
      <c r="BQ271" s="40"/>
      <c r="BR271" s="40"/>
      <c r="BS271" s="40"/>
      <c r="BT271" s="40"/>
      <c r="BU271" s="40"/>
      <c r="BV271" s="40"/>
      <c r="BW271" s="40"/>
      <c r="BX271" s="40"/>
      <c r="BY271" s="40"/>
      <c r="BZ271" s="40"/>
      <c r="CA271" s="40"/>
      <c r="CB271" s="56"/>
    </row>
    <row r="272" spans="2:80" x14ac:dyDescent="0.2">
      <c r="B272" s="14"/>
      <c r="AO272" s="40"/>
      <c r="AP272" s="40"/>
      <c r="AQ272" s="40"/>
      <c r="AR272" s="40"/>
      <c r="AS272" s="40"/>
      <c r="AT272" s="40"/>
      <c r="AU272" s="40"/>
      <c r="AV272" s="40"/>
      <c r="AW272" s="40"/>
      <c r="AX272" s="40"/>
      <c r="AY272" s="40"/>
      <c r="AZ272" s="40"/>
      <c r="BA272" s="40"/>
      <c r="BB272" s="40"/>
      <c r="BC272" s="40"/>
      <c r="BD272" s="40"/>
      <c r="BE272" s="40"/>
      <c r="BF272" s="40"/>
      <c r="BG272" s="40"/>
      <c r="BH272" s="40"/>
      <c r="BI272" s="40"/>
      <c r="BJ272" s="40"/>
      <c r="BK272" s="40"/>
      <c r="BL272" s="40"/>
      <c r="BM272" s="40"/>
      <c r="BN272" s="40"/>
      <c r="BO272" s="40"/>
      <c r="BP272" s="40"/>
      <c r="BQ272" s="40"/>
      <c r="BR272" s="40"/>
      <c r="BS272" s="40"/>
      <c r="BT272" s="40"/>
      <c r="BU272" s="40"/>
      <c r="BV272" s="40"/>
      <c r="BW272" s="40"/>
      <c r="BX272" s="40"/>
      <c r="BY272" s="40"/>
      <c r="BZ272" s="40"/>
      <c r="CA272" s="40"/>
      <c r="CB272" s="56"/>
    </row>
    <row r="273" spans="2:80" x14ac:dyDescent="0.2">
      <c r="B273" s="14"/>
      <c r="H273" s="35" t="s">
        <v>542</v>
      </c>
      <c r="Q273" s="1" t="s">
        <v>549</v>
      </c>
      <c r="AH273" s="35" t="s">
        <v>489</v>
      </c>
      <c r="AO273" s="40"/>
      <c r="AP273" s="40"/>
      <c r="AQ273" s="40"/>
      <c r="AR273" s="40"/>
      <c r="AS273" s="40"/>
      <c r="AT273" s="40"/>
      <c r="AU273" s="40"/>
      <c r="AV273" s="40"/>
      <c r="AW273" s="40"/>
      <c r="AX273" s="40"/>
      <c r="AY273" s="40"/>
      <c r="AZ273" s="40"/>
      <c r="BA273" s="40"/>
      <c r="BB273" s="40"/>
      <c r="BC273" s="40"/>
      <c r="BD273" s="40"/>
      <c r="BE273" s="40"/>
      <c r="BF273" s="40"/>
      <c r="BG273" s="40"/>
      <c r="BH273" s="40"/>
      <c r="BI273" s="40"/>
      <c r="BJ273" s="40"/>
      <c r="BK273" s="40"/>
      <c r="BL273" s="40"/>
      <c r="BM273" s="40"/>
      <c r="BN273" s="40"/>
      <c r="BO273" s="40"/>
      <c r="BP273" s="40"/>
      <c r="BQ273" s="40"/>
      <c r="BR273" s="40"/>
      <c r="BS273" s="40"/>
      <c r="BT273" s="40"/>
      <c r="BU273" s="40"/>
      <c r="BV273" s="40"/>
      <c r="BW273" s="40"/>
      <c r="BX273" s="40"/>
      <c r="BY273" s="40"/>
      <c r="BZ273" s="40"/>
      <c r="CA273" s="40"/>
      <c r="CB273" s="56"/>
    </row>
    <row r="274" spans="2:80" x14ac:dyDescent="0.2">
      <c r="B274" s="14"/>
      <c r="E274" s="1" t="s">
        <v>508</v>
      </c>
      <c r="P274" s="1" t="s">
        <v>487</v>
      </c>
      <c r="AO274" s="40"/>
      <c r="AP274" s="40"/>
      <c r="AQ274" s="40"/>
      <c r="AR274" s="40"/>
      <c r="AS274" s="40"/>
      <c r="AT274" s="40"/>
      <c r="AU274" s="40"/>
      <c r="AV274" s="40"/>
      <c r="AW274" s="40"/>
      <c r="AX274" s="40"/>
      <c r="AY274" s="40"/>
      <c r="AZ274" s="40"/>
      <c r="BA274" s="40"/>
      <c r="BB274" s="40"/>
      <c r="BC274" s="40"/>
      <c r="BD274" s="40"/>
      <c r="BE274" s="40"/>
      <c r="BF274" s="40"/>
      <c r="BG274" s="40"/>
      <c r="BH274" s="40"/>
      <c r="BI274" s="40"/>
      <c r="BJ274" s="40"/>
      <c r="BK274" s="40"/>
      <c r="BL274" s="40"/>
      <c r="BM274" s="40"/>
      <c r="BN274" s="40"/>
      <c r="BO274" s="40"/>
      <c r="BP274" s="40"/>
      <c r="BQ274" s="40"/>
      <c r="BR274" s="40"/>
      <c r="BS274" s="40"/>
      <c r="BT274" s="40"/>
      <c r="BU274" s="40"/>
      <c r="BV274" s="40"/>
      <c r="BW274" s="40"/>
      <c r="BX274" s="40"/>
      <c r="BY274" s="40"/>
      <c r="BZ274" s="40"/>
      <c r="CA274" s="40"/>
      <c r="CB274" s="56"/>
    </row>
    <row r="275" spans="2:80" x14ac:dyDescent="0.2">
      <c r="B275" s="14"/>
      <c r="G275" s="1" t="s">
        <v>546</v>
      </c>
      <c r="AO275" s="40"/>
      <c r="AP275" s="40"/>
      <c r="AQ275" s="40"/>
      <c r="AR275" s="40"/>
      <c r="AS275" s="40"/>
      <c r="AT275" s="40"/>
      <c r="AU275" s="40"/>
      <c r="AV275" s="40"/>
      <c r="AW275" s="40"/>
      <c r="AX275" s="40"/>
      <c r="AY275" s="40"/>
      <c r="AZ275" s="40"/>
      <c r="BA275" s="40"/>
      <c r="BB275" s="40"/>
      <c r="BC275" s="40"/>
      <c r="BD275" s="40"/>
      <c r="BE275" s="40"/>
      <c r="BF275" s="40"/>
      <c r="BG275" s="40"/>
      <c r="BH275" s="40"/>
      <c r="BI275" s="40"/>
      <c r="BJ275" s="40"/>
      <c r="BK275" s="40"/>
      <c r="BL275" s="40"/>
      <c r="BM275" s="40"/>
      <c r="BN275" s="40"/>
      <c r="BO275" s="40"/>
      <c r="BP275" s="40"/>
      <c r="BQ275" s="40"/>
      <c r="BR275" s="40"/>
      <c r="BS275" s="40"/>
      <c r="BT275" s="40"/>
      <c r="BU275" s="40"/>
      <c r="BV275" s="40"/>
      <c r="BW275" s="40"/>
      <c r="BX275" s="40"/>
      <c r="BY275" s="40"/>
      <c r="BZ275" s="40"/>
      <c r="CA275" s="40"/>
      <c r="CB275" s="56"/>
    </row>
    <row r="276" spans="2:80" x14ac:dyDescent="0.2">
      <c r="B276" s="14"/>
      <c r="D276" s="91">
        <v>0.15</v>
      </c>
      <c r="E276" s="91"/>
      <c r="F276" s="1" t="s">
        <v>0</v>
      </c>
      <c r="AO276" s="40"/>
      <c r="AP276" s="40"/>
      <c r="AQ276" s="40"/>
      <c r="AR276" s="40"/>
      <c r="AS276" s="40"/>
      <c r="AT276" s="40"/>
      <c r="AU276" s="40"/>
      <c r="AV276" s="40"/>
      <c r="AW276" s="40"/>
      <c r="AX276" s="40"/>
      <c r="AY276" s="40"/>
      <c r="AZ276" s="40"/>
      <c r="BA276" s="40"/>
      <c r="BB276" s="40"/>
      <c r="BC276" s="40"/>
      <c r="BD276" s="40"/>
      <c r="BE276" s="40"/>
      <c r="BF276" s="40"/>
      <c r="BG276" s="40"/>
      <c r="BH276" s="40"/>
      <c r="BI276" s="40"/>
      <c r="BJ276" s="40"/>
      <c r="BK276" s="40"/>
      <c r="BL276" s="40"/>
      <c r="BM276" s="40"/>
      <c r="BN276" s="40"/>
      <c r="BO276" s="40"/>
      <c r="BP276" s="40"/>
      <c r="BQ276" s="40"/>
      <c r="BR276" s="40"/>
      <c r="BS276" s="40"/>
      <c r="BT276" s="40"/>
      <c r="BU276" s="40"/>
      <c r="BV276" s="40"/>
      <c r="BW276" s="40"/>
      <c r="BX276" s="40"/>
      <c r="BY276" s="40"/>
      <c r="BZ276" s="40"/>
      <c r="CA276" s="40"/>
      <c r="CB276" s="56"/>
    </row>
    <row r="277" spans="2:80" x14ac:dyDescent="0.2">
      <c r="B277" s="14"/>
      <c r="AO277" s="40"/>
      <c r="AP277" s="40"/>
      <c r="AQ277" s="40"/>
      <c r="AR277" s="40"/>
      <c r="AS277" s="40"/>
      <c r="AT277" s="40"/>
      <c r="AU277" s="40"/>
      <c r="AV277" s="40"/>
      <c r="AW277" s="40"/>
      <c r="AX277" s="40"/>
      <c r="AY277" s="40"/>
      <c r="AZ277" s="40"/>
      <c r="BA277" s="40"/>
      <c r="BB277" s="40"/>
      <c r="BC277" s="40"/>
      <c r="BD277" s="40"/>
      <c r="BE277" s="40"/>
      <c r="BF277" s="40"/>
      <c r="BG277" s="40"/>
      <c r="BH277" s="40"/>
      <c r="BI277" s="40"/>
      <c r="BJ277" s="40"/>
      <c r="BK277" s="40"/>
      <c r="BL277" s="40"/>
      <c r="BM277" s="40"/>
      <c r="BN277" s="40"/>
      <c r="BO277" s="40"/>
      <c r="BP277" s="40"/>
      <c r="BQ277" s="40"/>
      <c r="BR277" s="40"/>
      <c r="BS277" s="40"/>
      <c r="BT277" s="40"/>
      <c r="BU277" s="40"/>
      <c r="BV277" s="40"/>
      <c r="BW277" s="40"/>
      <c r="BX277" s="40"/>
      <c r="BY277" s="40"/>
      <c r="BZ277" s="40"/>
      <c r="CA277" s="40"/>
      <c r="CB277" s="56"/>
    </row>
    <row r="278" spans="2:80" x14ac:dyDescent="0.2">
      <c r="B278" s="14"/>
      <c r="AO278" s="40"/>
      <c r="AP278" s="40"/>
      <c r="AQ278" s="40"/>
      <c r="AR278" s="40"/>
      <c r="AS278" s="40"/>
      <c r="AT278" s="40"/>
      <c r="AU278" s="40"/>
      <c r="AV278" s="40"/>
      <c r="AW278" s="40"/>
      <c r="AX278" s="40"/>
      <c r="AY278" s="40"/>
      <c r="AZ278" s="40"/>
      <c r="BA278" s="40"/>
      <c r="BB278" s="40"/>
      <c r="BC278" s="40"/>
      <c r="BD278" s="40"/>
      <c r="BE278" s="40"/>
      <c r="BF278" s="40"/>
      <c r="BG278" s="40"/>
      <c r="BH278" s="40"/>
      <c r="BI278" s="40"/>
      <c r="BJ278" s="40"/>
      <c r="BK278" s="40"/>
      <c r="BL278" s="40"/>
      <c r="BM278" s="40"/>
      <c r="BN278" s="40"/>
      <c r="BO278" s="40"/>
      <c r="BP278" s="40"/>
      <c r="BQ278" s="40"/>
      <c r="BR278" s="40"/>
      <c r="BS278" s="40"/>
      <c r="BT278" s="40"/>
      <c r="BU278" s="40"/>
      <c r="BV278" s="40"/>
      <c r="BW278" s="40"/>
      <c r="BX278" s="40"/>
      <c r="BY278" s="40"/>
      <c r="BZ278" s="40"/>
      <c r="CA278" s="40"/>
      <c r="CB278" s="56"/>
    </row>
    <row r="279" spans="2:80" x14ac:dyDescent="0.2">
      <c r="B279" s="14"/>
      <c r="Q279" s="91">
        <v>0.8</v>
      </c>
      <c r="R279" s="91"/>
      <c r="S279" s="1" t="s">
        <v>0</v>
      </c>
      <c r="AZ279" s="88" t="s">
        <v>539</v>
      </c>
      <c r="BA279" s="89"/>
      <c r="BB279" s="89"/>
      <c r="BC279" s="89"/>
      <c r="BD279" s="89"/>
      <c r="BE279" s="89"/>
      <c r="BF279" s="89"/>
      <c r="BG279" s="89"/>
      <c r="BH279" s="89"/>
      <c r="BI279" s="89"/>
      <c r="BJ279" s="89"/>
      <c r="BK279" s="89"/>
      <c r="BL279" s="89"/>
      <c r="BM279" s="89"/>
      <c r="BN279" s="89"/>
      <c r="BO279" s="89"/>
      <c r="BP279" s="89"/>
      <c r="BQ279" s="89"/>
      <c r="BR279" s="90"/>
      <c r="CB279" s="15"/>
    </row>
    <row r="280" spans="2:80" x14ac:dyDescent="0.2">
      <c r="B280" s="14"/>
      <c r="O280" s="1" t="s">
        <v>488</v>
      </c>
      <c r="AZ280" s="92" t="s">
        <v>509</v>
      </c>
      <c r="BA280" s="92"/>
      <c r="BB280" s="92"/>
      <c r="BC280" s="162" t="s">
        <v>510</v>
      </c>
      <c r="BD280" s="162"/>
      <c r="BE280" s="92" t="s">
        <v>511</v>
      </c>
      <c r="BF280" s="92"/>
      <c r="BG280" s="92"/>
      <c r="BH280" s="92"/>
      <c r="BI280" s="92" t="s">
        <v>512</v>
      </c>
      <c r="BJ280" s="92"/>
      <c r="BK280" s="92"/>
      <c r="BL280" s="92"/>
      <c r="BM280" s="92" t="s">
        <v>513</v>
      </c>
      <c r="BN280" s="92"/>
      <c r="BO280" s="92"/>
      <c r="BP280" s="92"/>
      <c r="BQ280" s="97" t="s">
        <v>538</v>
      </c>
      <c r="BR280" s="98"/>
      <c r="CB280" s="15"/>
    </row>
    <row r="281" spans="2:80" x14ac:dyDescent="0.2">
      <c r="B281" s="14"/>
      <c r="AZ281" s="92"/>
      <c r="BA281" s="92"/>
      <c r="BB281" s="92"/>
      <c r="BC281" s="162"/>
      <c r="BD281" s="162"/>
      <c r="BE281" s="92" t="s">
        <v>514</v>
      </c>
      <c r="BF281" s="92"/>
      <c r="BG281" s="92" t="s">
        <v>515</v>
      </c>
      <c r="BH281" s="92"/>
      <c r="BI281" s="92" t="s">
        <v>514</v>
      </c>
      <c r="BJ281" s="92"/>
      <c r="BK281" s="92" t="s">
        <v>515</v>
      </c>
      <c r="BL281" s="92"/>
      <c r="BM281" s="92" t="s">
        <v>514</v>
      </c>
      <c r="BN281" s="92"/>
      <c r="BO281" s="92" t="s">
        <v>515</v>
      </c>
      <c r="BP281" s="92"/>
      <c r="BQ281" s="97"/>
      <c r="BR281" s="98"/>
      <c r="BV281" s="1" t="s">
        <v>558</v>
      </c>
      <c r="CB281" s="15"/>
    </row>
    <row r="282" spans="2:80" ht="12" thickBot="1" x14ac:dyDescent="0.25">
      <c r="B282" s="14"/>
      <c r="AZ282" s="155"/>
      <c r="BA282" s="155"/>
      <c r="BB282" s="155"/>
      <c r="BC282" s="99" t="s">
        <v>516</v>
      </c>
      <c r="BD282" s="100"/>
      <c r="BE282" s="99" t="s">
        <v>419</v>
      </c>
      <c r="BF282" s="100"/>
      <c r="BG282" s="99" t="s">
        <v>419</v>
      </c>
      <c r="BH282" s="100"/>
      <c r="BI282" s="99" t="s">
        <v>419</v>
      </c>
      <c r="BJ282" s="100"/>
      <c r="BK282" s="99" t="s">
        <v>419</v>
      </c>
      <c r="BL282" s="100"/>
      <c r="BM282" s="99" t="s">
        <v>517</v>
      </c>
      <c r="BN282" s="100"/>
      <c r="BO282" s="99" t="s">
        <v>517</v>
      </c>
      <c r="BP282" s="100"/>
      <c r="BQ282" s="99" t="s">
        <v>412</v>
      </c>
      <c r="BR282" s="100"/>
      <c r="CB282" s="15"/>
    </row>
    <row r="283" spans="2:80" ht="12" thickTop="1" x14ac:dyDescent="0.2">
      <c r="B283" s="14"/>
      <c r="Q283" s="91">
        <v>0.4</v>
      </c>
      <c r="R283" s="91"/>
      <c r="S283" s="1" t="s">
        <v>0</v>
      </c>
      <c r="AZ283" s="108" t="s">
        <v>518</v>
      </c>
      <c r="BA283" s="108"/>
      <c r="BB283" s="108"/>
      <c r="BE283" s="109">
        <v>150</v>
      </c>
      <c r="BF283" s="109"/>
      <c r="BG283" s="109">
        <v>250</v>
      </c>
      <c r="BH283" s="109"/>
      <c r="BI283" s="109">
        <v>5</v>
      </c>
      <c r="BJ283" s="109"/>
      <c r="BK283" s="109">
        <v>5</v>
      </c>
      <c r="BL283" s="109"/>
      <c r="BM283" s="109">
        <v>131</v>
      </c>
      <c r="BN283" s="109"/>
      <c r="BO283" s="109">
        <v>78</v>
      </c>
      <c r="BP283" s="109"/>
      <c r="BQ283" s="101">
        <v>1.64</v>
      </c>
      <c r="BR283" s="102"/>
      <c r="CB283" s="15"/>
    </row>
    <row r="284" spans="2:80" x14ac:dyDescent="0.2">
      <c r="B284" s="14"/>
      <c r="AZ284" s="92" t="s">
        <v>519</v>
      </c>
      <c r="BA284" s="92"/>
      <c r="BB284" s="92"/>
      <c r="BE284" s="63">
        <v>150</v>
      </c>
      <c r="BF284" s="63"/>
      <c r="BG284" s="63">
        <v>250</v>
      </c>
      <c r="BH284" s="63"/>
      <c r="BI284" s="63">
        <v>5.5</v>
      </c>
      <c r="BJ284" s="63"/>
      <c r="BK284" s="63">
        <v>5.5</v>
      </c>
      <c r="BL284" s="63"/>
      <c r="BM284" s="63">
        <v>158</v>
      </c>
      <c r="BN284" s="63"/>
      <c r="BO284" s="63">
        <v>78</v>
      </c>
      <c r="BP284" s="63"/>
      <c r="BQ284" s="69">
        <v>1.86</v>
      </c>
      <c r="BR284" s="70"/>
      <c r="CB284" s="15"/>
    </row>
    <row r="285" spans="2:80" x14ac:dyDescent="0.2">
      <c r="B285" s="14"/>
      <c r="AZ285" s="92" t="s">
        <v>520</v>
      </c>
      <c r="BA285" s="92"/>
      <c r="BB285" s="92"/>
      <c r="BE285" s="63">
        <v>150</v>
      </c>
      <c r="BF285" s="63"/>
      <c r="BG285" s="63">
        <v>250</v>
      </c>
      <c r="BH285" s="63"/>
      <c r="BI285" s="63">
        <v>6</v>
      </c>
      <c r="BJ285" s="63"/>
      <c r="BK285" s="63">
        <v>5</v>
      </c>
      <c r="BL285" s="63"/>
      <c r="BM285" s="63">
        <v>188</v>
      </c>
      <c r="BN285" s="63"/>
      <c r="BO285" s="63">
        <v>78</v>
      </c>
      <c r="BP285" s="63"/>
      <c r="BQ285" s="69">
        <v>2.1</v>
      </c>
      <c r="BR285" s="70"/>
      <c r="BY285" s="1" t="s">
        <v>559</v>
      </c>
      <c r="CB285" s="15"/>
    </row>
    <row r="286" spans="2:80" x14ac:dyDescent="0.2">
      <c r="B286" s="14"/>
      <c r="K286" s="60">
        <f>+R301</f>
        <v>2</v>
      </c>
      <c r="L286" s="60"/>
      <c r="M286" s="1" t="s">
        <v>0</v>
      </c>
      <c r="AF286" s="78" t="s">
        <v>556</v>
      </c>
      <c r="AG286" s="78"/>
      <c r="AH286" s="78"/>
      <c r="AI286" s="78"/>
      <c r="AJ286" s="78"/>
      <c r="AK286" s="78"/>
      <c r="AL286" s="78"/>
      <c r="AM286" s="78"/>
      <c r="AZ286" s="92" t="s">
        <v>521</v>
      </c>
      <c r="BA286" s="92"/>
      <c r="BB286" s="92"/>
      <c r="BE286" s="63">
        <v>150</v>
      </c>
      <c r="BF286" s="63"/>
      <c r="BG286" s="63">
        <v>250</v>
      </c>
      <c r="BH286" s="63"/>
      <c r="BI286" s="63">
        <v>6.5</v>
      </c>
      <c r="BJ286" s="63"/>
      <c r="BK286" s="63">
        <v>5</v>
      </c>
      <c r="BL286" s="63"/>
      <c r="BM286" s="63">
        <v>221</v>
      </c>
      <c r="BN286" s="63"/>
      <c r="BO286" s="63">
        <v>78</v>
      </c>
      <c r="BP286" s="63"/>
      <c r="BQ286" s="69">
        <v>2.35</v>
      </c>
      <c r="BR286" s="70"/>
      <c r="CB286" s="15"/>
    </row>
    <row r="287" spans="2:80" x14ac:dyDescent="0.2">
      <c r="B287" s="14"/>
      <c r="AF287" s="78"/>
      <c r="AG287" s="78"/>
      <c r="AH287" s="78"/>
      <c r="AI287" s="78"/>
      <c r="AJ287" s="78"/>
      <c r="AK287" s="78"/>
      <c r="AL287" s="78"/>
      <c r="AM287" s="78"/>
      <c r="AZ287" s="92" t="s">
        <v>522</v>
      </c>
      <c r="BA287" s="92"/>
      <c r="BB287" s="92"/>
      <c r="BE287" s="63">
        <v>150</v>
      </c>
      <c r="BF287" s="63"/>
      <c r="BG287" s="63">
        <v>250</v>
      </c>
      <c r="BH287" s="63"/>
      <c r="BI287" s="63">
        <v>7</v>
      </c>
      <c r="BJ287" s="63"/>
      <c r="BK287" s="63">
        <v>5</v>
      </c>
      <c r="BL287" s="63"/>
      <c r="BM287" s="63">
        <v>257</v>
      </c>
      <c r="BN287" s="63"/>
      <c r="BO287" s="63">
        <v>78</v>
      </c>
      <c r="BP287" s="63"/>
      <c r="BQ287" s="69">
        <v>2.63</v>
      </c>
      <c r="BR287" s="70"/>
      <c r="CB287" s="15"/>
    </row>
    <row r="288" spans="2:80" x14ac:dyDescent="0.2">
      <c r="B288" s="14"/>
      <c r="Q288" s="1" t="s">
        <v>574</v>
      </c>
      <c r="AF288" s="78"/>
      <c r="AG288" s="78"/>
      <c r="AH288" s="78"/>
      <c r="AI288" s="78"/>
      <c r="AJ288" s="78"/>
      <c r="AK288" s="78"/>
      <c r="AL288" s="78"/>
      <c r="AM288" s="78"/>
      <c r="AZ288" s="92" t="s">
        <v>523</v>
      </c>
      <c r="BA288" s="92"/>
      <c r="BB288" s="92"/>
      <c r="BC288" s="127">
        <v>5</v>
      </c>
      <c r="BD288" s="127"/>
      <c r="BE288" s="63">
        <v>150</v>
      </c>
      <c r="BF288" s="63"/>
      <c r="BG288" s="63">
        <v>250</v>
      </c>
      <c r="BH288" s="63"/>
      <c r="BI288" s="63">
        <v>7.5</v>
      </c>
      <c r="BJ288" s="63"/>
      <c r="BK288" s="63">
        <v>5</v>
      </c>
      <c r="BL288" s="63"/>
      <c r="BM288" s="63">
        <v>295</v>
      </c>
      <c r="BN288" s="63"/>
      <c r="BO288" s="63">
        <v>78</v>
      </c>
      <c r="BP288" s="63"/>
      <c r="BQ288" s="69">
        <v>2.93</v>
      </c>
      <c r="BR288" s="70"/>
      <c r="CB288" s="15"/>
    </row>
    <row r="289" spans="2:80" x14ac:dyDescent="0.2">
      <c r="B289" s="14"/>
      <c r="F289" s="31" t="str">
        <f>IF((C301*1000*K311*1000*0.01)&gt;(F290*PI()*H290^2/4),"artır.","")</f>
        <v/>
      </c>
      <c r="Q289" s="38">
        <f>(ROUNDUP(Q279/(T289/1000),0)+1)</f>
        <v>9</v>
      </c>
      <c r="R289" s="118">
        <v>8</v>
      </c>
      <c r="S289" s="118"/>
      <c r="T289" s="110">
        <v>100</v>
      </c>
      <c r="U289" s="110"/>
      <c r="AF289" s="78"/>
      <c r="AG289" s="78"/>
      <c r="AH289" s="78"/>
      <c r="AI289" s="78"/>
      <c r="AJ289" s="78"/>
      <c r="AK289" s="78"/>
      <c r="AL289" s="78"/>
      <c r="AM289" s="78"/>
      <c r="AZ289" s="92" t="s">
        <v>524</v>
      </c>
      <c r="BA289" s="92"/>
      <c r="BB289" s="92"/>
      <c r="BC289" s="67">
        <v>2.15</v>
      </c>
      <c r="BD289" s="68"/>
      <c r="BE289" s="63">
        <v>150</v>
      </c>
      <c r="BF289" s="63"/>
      <c r="BG289" s="63">
        <v>250</v>
      </c>
      <c r="BH289" s="63"/>
      <c r="BI289" s="63">
        <v>7.8</v>
      </c>
      <c r="BJ289" s="63"/>
      <c r="BK289" s="63">
        <v>5</v>
      </c>
      <c r="BL289" s="63"/>
      <c r="BM289" s="63">
        <v>317</v>
      </c>
      <c r="BN289" s="63"/>
      <c r="BO289" s="63">
        <v>78</v>
      </c>
      <c r="BP289" s="63"/>
      <c r="BQ289" s="69">
        <v>3.12</v>
      </c>
      <c r="BR289" s="70"/>
      <c r="CB289" s="15"/>
    </row>
    <row r="290" spans="2:80" x14ac:dyDescent="0.2">
      <c r="B290" s="14"/>
      <c r="F290" s="119">
        <v>16</v>
      </c>
      <c r="G290" s="119"/>
      <c r="H290" s="116">
        <v>26</v>
      </c>
      <c r="I290" s="116"/>
      <c r="Q290" s="1" t="s">
        <v>498</v>
      </c>
      <c r="R290" s="60">
        <f>ROUNDUP(4*(C301-0.1)+2*MAX(6*R289,8)/1000,2)</f>
        <v>3.3</v>
      </c>
      <c r="S290" s="60"/>
      <c r="T290" s="1" t="s">
        <v>0</v>
      </c>
      <c r="AF290" s="78"/>
      <c r="AG290" s="78"/>
      <c r="AH290" s="78"/>
      <c r="AI290" s="78"/>
      <c r="AJ290" s="78"/>
      <c r="AK290" s="78"/>
      <c r="AL290" s="78"/>
      <c r="AM290" s="78"/>
      <c r="AZ290" s="92" t="s">
        <v>525</v>
      </c>
      <c r="BA290" s="92"/>
      <c r="BB290" s="92"/>
      <c r="BE290" s="63">
        <v>150</v>
      </c>
      <c r="BF290" s="63"/>
      <c r="BG290" s="63">
        <v>250</v>
      </c>
      <c r="BH290" s="63"/>
      <c r="BI290" s="63">
        <v>8</v>
      </c>
      <c r="BJ290" s="63"/>
      <c r="BK290" s="63">
        <v>5</v>
      </c>
      <c r="BL290" s="63"/>
      <c r="BM290" s="63">
        <v>335</v>
      </c>
      <c r="BN290" s="63"/>
      <c r="BO290" s="63">
        <v>78</v>
      </c>
      <c r="BP290" s="63"/>
      <c r="BQ290" s="69">
        <v>3.25</v>
      </c>
      <c r="BR290" s="70"/>
      <c r="CB290" s="15"/>
    </row>
    <row r="291" spans="2:80" x14ac:dyDescent="0.2">
      <c r="B291" s="14"/>
      <c r="F291" s="1" t="s">
        <v>498</v>
      </c>
      <c r="G291" s="60">
        <f>+Q283+Q279-0.1+0.2</f>
        <v>1.3</v>
      </c>
      <c r="H291" s="60"/>
      <c r="I291" s="1" t="s">
        <v>0</v>
      </c>
      <c r="Q291" s="1" t="s">
        <v>498</v>
      </c>
      <c r="R291" s="60">
        <f>ROUNDUP(((C301-0.1)*2)+((C301-0.1)/3*2)+2*MAX(6*R289,8)/1000,2)</f>
        <v>2.23</v>
      </c>
      <c r="S291" s="60"/>
      <c r="T291" s="1" t="s">
        <v>0</v>
      </c>
      <c r="AF291" s="78"/>
      <c r="AG291" s="78"/>
      <c r="AH291" s="78"/>
      <c r="AI291" s="78"/>
      <c r="AJ291" s="78"/>
      <c r="AK291" s="78"/>
      <c r="AL291" s="78"/>
      <c r="AM291" s="78"/>
      <c r="AZ291" s="92" t="s">
        <v>526</v>
      </c>
      <c r="BA291" s="92"/>
      <c r="BB291" s="92"/>
      <c r="BE291" s="63">
        <v>150</v>
      </c>
      <c r="BF291" s="63"/>
      <c r="BG291" s="63">
        <v>250</v>
      </c>
      <c r="BH291" s="63"/>
      <c r="BI291" s="63">
        <v>8.5</v>
      </c>
      <c r="BJ291" s="63"/>
      <c r="BK291" s="63">
        <v>5</v>
      </c>
      <c r="BL291" s="63"/>
      <c r="BM291" s="63">
        <v>377</v>
      </c>
      <c r="BN291" s="63"/>
      <c r="BO291" s="63">
        <v>78</v>
      </c>
      <c r="BP291" s="63"/>
      <c r="BQ291" s="69">
        <v>3.86</v>
      </c>
      <c r="BR291" s="70"/>
      <c r="CB291" s="15"/>
    </row>
    <row r="292" spans="2:80" x14ac:dyDescent="0.2">
      <c r="B292" s="14"/>
      <c r="AF292" s="78"/>
      <c r="AG292" s="78"/>
      <c r="AH292" s="78"/>
      <c r="AI292" s="78"/>
      <c r="AJ292" s="78"/>
      <c r="AK292" s="78"/>
      <c r="AL292" s="78"/>
      <c r="AM292" s="78"/>
      <c r="AZ292" s="92" t="s">
        <v>527</v>
      </c>
      <c r="BA292" s="92"/>
      <c r="BB292" s="92"/>
      <c r="BC292" s="50"/>
      <c r="BD292" s="47"/>
      <c r="BE292" s="63">
        <v>150</v>
      </c>
      <c r="BF292" s="63"/>
      <c r="BG292" s="63">
        <v>150</v>
      </c>
      <c r="BH292" s="63"/>
      <c r="BI292" s="63">
        <v>5</v>
      </c>
      <c r="BJ292" s="63"/>
      <c r="BK292" s="63">
        <v>5</v>
      </c>
      <c r="BL292" s="63"/>
      <c r="BM292" s="63">
        <v>131</v>
      </c>
      <c r="BN292" s="63"/>
      <c r="BO292" s="63">
        <v>131</v>
      </c>
      <c r="BP292" s="63"/>
      <c r="BQ292" s="69">
        <v>2.06</v>
      </c>
      <c r="BR292" s="70"/>
      <c r="CB292" s="15"/>
    </row>
    <row r="293" spans="2:80" x14ac:dyDescent="0.2">
      <c r="B293" s="14"/>
      <c r="L293" s="117">
        <f>MAX(2*ROUNDUP((0.002*R301*1000*(Q283*1000-50))/(PI()*N293^2/4),0),2*(ROUNDUP((R301-0.1)/(P293/1000),0)+1))</f>
        <v>18</v>
      </c>
      <c r="M293" s="117"/>
      <c r="N293" s="116">
        <v>16</v>
      </c>
      <c r="O293" s="116"/>
      <c r="P293" s="110">
        <v>250</v>
      </c>
      <c r="Q293" s="110"/>
      <c r="R293" s="1" t="s">
        <v>272</v>
      </c>
      <c r="AF293" s="78"/>
      <c r="AG293" s="78"/>
      <c r="AH293" s="78"/>
      <c r="AI293" s="78"/>
      <c r="AJ293" s="78"/>
      <c r="AK293" s="78"/>
      <c r="AL293" s="78"/>
      <c r="AM293" s="78"/>
      <c r="AZ293" s="92" t="s">
        <v>528</v>
      </c>
      <c r="BA293" s="92"/>
      <c r="BB293" s="92"/>
      <c r="BC293" s="51"/>
      <c r="BD293" s="52"/>
      <c r="BE293" s="63">
        <v>150</v>
      </c>
      <c r="BF293" s="63"/>
      <c r="BG293" s="63">
        <v>150</v>
      </c>
      <c r="BH293" s="63"/>
      <c r="BI293" s="63">
        <v>5.5</v>
      </c>
      <c r="BJ293" s="63"/>
      <c r="BK293" s="63">
        <v>5.5</v>
      </c>
      <c r="BL293" s="63"/>
      <c r="BM293" s="63">
        <v>158</v>
      </c>
      <c r="BN293" s="63"/>
      <c r="BO293" s="63">
        <v>158</v>
      </c>
      <c r="BP293" s="63"/>
      <c r="BQ293" s="69">
        <v>2.4900000000000002</v>
      </c>
      <c r="BR293" s="70"/>
      <c r="CB293" s="15"/>
    </row>
    <row r="294" spans="2:80" x14ac:dyDescent="0.2">
      <c r="B294" s="14"/>
      <c r="L294" s="1" t="s">
        <v>498</v>
      </c>
      <c r="M294" s="60">
        <f>K286-0.1+2*(Q283-0.1)</f>
        <v>2.5</v>
      </c>
      <c r="N294" s="60"/>
      <c r="O294" s="1" t="s">
        <v>0</v>
      </c>
      <c r="Q294" s="31" t="str">
        <f>IF(P293&gt;250,"aralık azalt.","")</f>
        <v/>
      </c>
      <c r="AF294" s="78"/>
      <c r="AG294" s="78"/>
      <c r="AH294" s="78"/>
      <c r="AI294" s="78"/>
      <c r="AJ294" s="78"/>
      <c r="AK294" s="78"/>
      <c r="AL294" s="78"/>
      <c r="AM294" s="78"/>
      <c r="AZ294" s="92" t="s">
        <v>529</v>
      </c>
      <c r="BA294" s="92"/>
      <c r="BB294" s="92"/>
      <c r="BC294" s="51"/>
      <c r="BD294" s="52"/>
      <c r="BE294" s="63">
        <v>150</v>
      </c>
      <c r="BF294" s="63"/>
      <c r="BG294" s="63">
        <v>150</v>
      </c>
      <c r="BH294" s="63"/>
      <c r="BI294" s="63">
        <v>6</v>
      </c>
      <c r="BJ294" s="63"/>
      <c r="BK294" s="63">
        <v>6</v>
      </c>
      <c r="BL294" s="63"/>
      <c r="BM294" s="63">
        <v>188</v>
      </c>
      <c r="BN294" s="63"/>
      <c r="BO294" s="63">
        <v>188</v>
      </c>
      <c r="BP294" s="63"/>
      <c r="BQ294" s="69">
        <v>2.96</v>
      </c>
      <c r="BR294" s="70"/>
      <c r="CB294" s="15"/>
    </row>
    <row r="295" spans="2:80" x14ac:dyDescent="0.2">
      <c r="B295" s="14"/>
      <c r="H295" s="35" t="s">
        <v>541</v>
      </c>
      <c r="AF295" s="78"/>
      <c r="AG295" s="78"/>
      <c r="AH295" s="78"/>
      <c r="AI295" s="78"/>
      <c r="AJ295" s="78"/>
      <c r="AK295" s="78"/>
      <c r="AL295" s="78"/>
      <c r="AM295" s="78"/>
      <c r="AZ295" s="92" t="s">
        <v>530</v>
      </c>
      <c r="BA295" s="92"/>
      <c r="BB295" s="92"/>
      <c r="BC295" s="51"/>
      <c r="BD295" s="52"/>
      <c r="BE295" s="63">
        <v>150</v>
      </c>
      <c r="BF295" s="63"/>
      <c r="BG295" s="63">
        <v>150</v>
      </c>
      <c r="BH295" s="63"/>
      <c r="BI295" s="63">
        <v>6.5</v>
      </c>
      <c r="BJ295" s="63"/>
      <c r="BK295" s="63">
        <v>6.5</v>
      </c>
      <c r="BL295" s="63"/>
      <c r="BM295" s="63">
        <v>221</v>
      </c>
      <c r="BN295" s="63"/>
      <c r="BO295" s="63">
        <v>221</v>
      </c>
      <c r="BP295" s="63"/>
      <c r="BQ295" s="69">
        <v>3.47</v>
      </c>
      <c r="BR295" s="70"/>
      <c r="CB295" s="15"/>
    </row>
    <row r="296" spans="2:80" x14ac:dyDescent="0.2">
      <c r="B296" s="14"/>
      <c r="AF296" s="78"/>
      <c r="AG296" s="78"/>
      <c r="AH296" s="78"/>
      <c r="AI296" s="78"/>
      <c r="AJ296" s="78"/>
      <c r="AK296" s="78"/>
      <c r="AL296" s="78"/>
      <c r="AM296" s="78"/>
      <c r="AZ296" s="92" t="s">
        <v>531</v>
      </c>
      <c r="BA296" s="92"/>
      <c r="BB296" s="92"/>
      <c r="BC296" s="51"/>
      <c r="BD296" s="52"/>
      <c r="BE296" s="63">
        <v>150</v>
      </c>
      <c r="BF296" s="63"/>
      <c r="BG296" s="63">
        <v>150</v>
      </c>
      <c r="BH296" s="63"/>
      <c r="BI296" s="63">
        <v>7</v>
      </c>
      <c r="BJ296" s="63"/>
      <c r="BK296" s="63">
        <v>7</v>
      </c>
      <c r="BL296" s="63"/>
      <c r="BM296" s="63">
        <v>257</v>
      </c>
      <c r="BN296" s="63"/>
      <c r="BO296" s="63">
        <v>257</v>
      </c>
      <c r="BP296" s="63"/>
      <c r="BQ296" s="69">
        <v>4.03</v>
      </c>
      <c r="BR296" s="70"/>
      <c r="CB296" s="15"/>
    </row>
    <row r="297" spans="2:80" x14ac:dyDescent="0.2">
      <c r="B297" s="14"/>
      <c r="AF297" s="78"/>
      <c r="AG297" s="78"/>
      <c r="AH297" s="78"/>
      <c r="AI297" s="78"/>
      <c r="AJ297" s="78"/>
      <c r="AK297" s="78"/>
      <c r="AL297" s="78"/>
      <c r="AM297" s="78"/>
      <c r="AZ297" s="92" t="s">
        <v>532</v>
      </c>
      <c r="BA297" s="92"/>
      <c r="BB297" s="92"/>
      <c r="BC297" s="93">
        <v>5</v>
      </c>
      <c r="BD297" s="94"/>
      <c r="BE297" s="63">
        <v>150</v>
      </c>
      <c r="BF297" s="63"/>
      <c r="BG297" s="63">
        <v>150</v>
      </c>
      <c r="BH297" s="63"/>
      <c r="BI297" s="63">
        <v>7.5</v>
      </c>
      <c r="BJ297" s="63"/>
      <c r="BK297" s="63">
        <v>7.5</v>
      </c>
      <c r="BL297" s="63"/>
      <c r="BM297" s="63">
        <v>295</v>
      </c>
      <c r="BN297" s="63"/>
      <c r="BO297" s="63">
        <v>295</v>
      </c>
      <c r="BP297" s="63"/>
      <c r="BQ297" s="69">
        <v>4.62</v>
      </c>
      <c r="BR297" s="70"/>
      <c r="CB297" s="15"/>
    </row>
    <row r="298" spans="2:80" x14ac:dyDescent="0.2">
      <c r="B298" s="14"/>
      <c r="AF298" s="78"/>
      <c r="AG298" s="78"/>
      <c r="AH298" s="78"/>
      <c r="AI298" s="78"/>
      <c r="AJ298" s="78"/>
      <c r="AK298" s="78"/>
      <c r="AL298" s="78"/>
      <c r="AM298" s="78"/>
      <c r="AZ298" s="92" t="s">
        <v>533</v>
      </c>
      <c r="BA298" s="92"/>
      <c r="BB298" s="92"/>
      <c r="BC298" s="67">
        <v>2.15</v>
      </c>
      <c r="BD298" s="68"/>
      <c r="BE298" s="63">
        <v>150</v>
      </c>
      <c r="BF298" s="63"/>
      <c r="BG298" s="63">
        <v>150</v>
      </c>
      <c r="BH298" s="63"/>
      <c r="BI298" s="63">
        <v>7.8</v>
      </c>
      <c r="BJ298" s="63"/>
      <c r="BK298" s="63">
        <v>6</v>
      </c>
      <c r="BL298" s="63"/>
      <c r="BM298" s="63">
        <v>317</v>
      </c>
      <c r="BN298" s="63"/>
      <c r="BO298" s="63">
        <v>188</v>
      </c>
      <c r="BP298" s="63"/>
      <c r="BQ298" s="69">
        <v>3.98</v>
      </c>
      <c r="BR298" s="70"/>
      <c r="CB298" s="15"/>
    </row>
    <row r="299" spans="2:80" x14ac:dyDescent="0.2">
      <c r="B299" s="14"/>
      <c r="AZ299" s="92" t="s">
        <v>534</v>
      </c>
      <c r="BA299" s="92"/>
      <c r="BB299" s="92"/>
      <c r="BC299" s="51"/>
      <c r="BD299" s="52"/>
      <c r="BE299" s="63">
        <v>150</v>
      </c>
      <c r="BF299" s="63"/>
      <c r="BG299" s="63">
        <v>150</v>
      </c>
      <c r="BH299" s="63"/>
      <c r="BI299" s="63">
        <v>8</v>
      </c>
      <c r="BJ299" s="63"/>
      <c r="BK299" s="63">
        <v>8</v>
      </c>
      <c r="BL299" s="63"/>
      <c r="BM299" s="63">
        <v>335</v>
      </c>
      <c r="BN299" s="63"/>
      <c r="BO299" s="63">
        <v>335</v>
      </c>
      <c r="BP299" s="63"/>
      <c r="BQ299" s="69">
        <v>5.26</v>
      </c>
      <c r="BR299" s="70"/>
      <c r="CB299" s="15"/>
    </row>
    <row r="300" spans="2:80" x14ac:dyDescent="0.2">
      <c r="B300" s="14"/>
      <c r="C300" s="36" t="s">
        <v>0</v>
      </c>
      <c r="R300" s="36" t="s">
        <v>0</v>
      </c>
      <c r="S300" s="201" t="str">
        <f>IF(R301&lt;E218,"","azalt.")</f>
        <v/>
      </c>
      <c r="AZ300" s="92" t="s">
        <v>535</v>
      </c>
      <c r="BA300" s="92"/>
      <c r="BB300" s="92"/>
      <c r="BC300" s="51"/>
      <c r="BD300" s="52"/>
      <c r="BE300" s="63">
        <v>150</v>
      </c>
      <c r="BF300" s="63"/>
      <c r="BG300" s="63">
        <v>150</v>
      </c>
      <c r="BH300" s="63"/>
      <c r="BI300" s="63">
        <v>8.5</v>
      </c>
      <c r="BJ300" s="63"/>
      <c r="BK300" s="63">
        <v>6</v>
      </c>
      <c r="BL300" s="63"/>
      <c r="BM300" s="63">
        <v>377</v>
      </c>
      <c r="BN300" s="63"/>
      <c r="BO300" s="63">
        <v>188</v>
      </c>
      <c r="BP300" s="63"/>
      <c r="BQ300" s="69">
        <v>4.45</v>
      </c>
      <c r="BR300" s="70"/>
      <c r="CB300" s="15"/>
    </row>
    <row r="301" spans="2:80" x14ac:dyDescent="0.2">
      <c r="B301" s="14"/>
      <c r="C301" s="121">
        <f>+K311</f>
        <v>0.9</v>
      </c>
      <c r="R301" s="122">
        <v>2</v>
      </c>
      <c r="S301" s="201"/>
      <c r="AZ301" s="92" t="s">
        <v>536</v>
      </c>
      <c r="BA301" s="92"/>
      <c r="BB301" s="92"/>
      <c r="BC301" s="51"/>
      <c r="BD301" s="52"/>
      <c r="BE301" s="63">
        <v>150</v>
      </c>
      <c r="BF301" s="63"/>
      <c r="BG301" s="63">
        <v>150</v>
      </c>
      <c r="BH301" s="63"/>
      <c r="BI301" s="63">
        <v>8.5</v>
      </c>
      <c r="BJ301" s="63"/>
      <c r="BK301" s="63">
        <v>8.5</v>
      </c>
      <c r="BL301" s="63"/>
      <c r="BM301" s="63">
        <v>377</v>
      </c>
      <c r="BN301" s="63"/>
      <c r="BO301" s="63">
        <v>377</v>
      </c>
      <c r="BP301" s="63"/>
      <c r="BQ301" s="69">
        <v>5.94</v>
      </c>
      <c r="BR301" s="70"/>
      <c r="CB301" s="15"/>
    </row>
    <row r="302" spans="2:80" x14ac:dyDescent="0.2">
      <c r="B302" s="14"/>
      <c r="C302" s="121"/>
      <c r="R302" s="122"/>
      <c r="S302" s="201"/>
      <c r="AZ302" s="103" t="s">
        <v>537</v>
      </c>
      <c r="BA302" s="104"/>
      <c r="BB302" s="104"/>
      <c r="BC302" s="104"/>
      <c r="BD302" s="104"/>
      <c r="BE302" s="104"/>
      <c r="BF302" s="104"/>
      <c r="BG302" s="104"/>
      <c r="BH302" s="104"/>
      <c r="BI302" s="104"/>
      <c r="BJ302" s="104"/>
      <c r="BK302" s="104"/>
      <c r="BL302" s="104"/>
      <c r="BM302" s="104"/>
      <c r="BN302" s="104"/>
      <c r="BO302" s="104"/>
      <c r="BP302" s="104"/>
      <c r="BQ302" s="104"/>
      <c r="BR302" s="105"/>
      <c r="CB302" s="15"/>
    </row>
    <row r="303" spans="2:80" x14ac:dyDescent="0.2">
      <c r="B303" s="14"/>
      <c r="C303" s="121"/>
      <c r="R303" s="122"/>
      <c r="S303" s="201"/>
      <c r="CB303" s="15"/>
    </row>
    <row r="304" spans="2:80" x14ac:dyDescent="0.2">
      <c r="B304" s="14"/>
      <c r="CB304" s="15"/>
    </row>
    <row r="305" spans="2:80" x14ac:dyDescent="0.2">
      <c r="B305" s="14"/>
      <c r="CB305" s="15"/>
    </row>
    <row r="306" spans="2:80" x14ac:dyDescent="0.2">
      <c r="B306" s="14"/>
      <c r="CB306" s="15"/>
    </row>
    <row r="307" spans="2:80" x14ac:dyDescent="0.2">
      <c r="B307" s="14"/>
      <c r="CB307" s="15"/>
    </row>
    <row r="308" spans="2:80" x14ac:dyDescent="0.2">
      <c r="B308" s="14"/>
      <c r="C308" s="78" t="s">
        <v>552</v>
      </c>
      <c r="D308" s="78"/>
      <c r="E308" s="78"/>
      <c r="F308" s="78"/>
      <c r="G308" s="78"/>
      <c r="H308" s="78"/>
      <c r="CB308" s="15"/>
    </row>
    <row r="309" spans="2:80" x14ac:dyDescent="0.2">
      <c r="B309" s="14"/>
      <c r="C309" s="78"/>
      <c r="D309" s="78"/>
      <c r="E309" s="78"/>
      <c r="F309" s="78"/>
      <c r="G309" s="78"/>
      <c r="H309" s="78"/>
      <c r="K309" s="123">
        <v>0.15</v>
      </c>
      <c r="L309" s="123"/>
      <c r="M309" s="1" t="s">
        <v>0</v>
      </c>
      <c r="CB309" s="15"/>
    </row>
    <row r="310" spans="2:80" x14ac:dyDescent="0.2">
      <c r="B310" s="14"/>
      <c r="C310" s="78"/>
      <c r="D310" s="78"/>
      <c r="E310" s="78"/>
      <c r="F310" s="78"/>
      <c r="G310" s="78"/>
      <c r="H310" s="78"/>
      <c r="CB310" s="15"/>
    </row>
    <row r="311" spans="2:80" x14ac:dyDescent="0.2">
      <c r="B311" s="14"/>
      <c r="C311" s="78"/>
      <c r="D311" s="78"/>
      <c r="E311" s="78"/>
      <c r="F311" s="78"/>
      <c r="G311" s="78"/>
      <c r="H311" s="78"/>
      <c r="K311" s="91">
        <v>0.9</v>
      </c>
      <c r="L311" s="91"/>
      <c r="M311" s="1" t="s">
        <v>0</v>
      </c>
      <c r="CB311" s="15"/>
    </row>
    <row r="312" spans="2:80" x14ac:dyDescent="0.2">
      <c r="B312" s="54"/>
      <c r="C312" s="81"/>
      <c r="D312" s="81"/>
      <c r="E312" s="81"/>
      <c r="F312" s="81"/>
      <c r="G312" s="81"/>
      <c r="H312" s="81"/>
      <c r="I312" s="30"/>
      <c r="J312" s="113" t="str">
        <f>IF(K311&gt;(MAX(P339,U339)/1000+0.04),"","artır.")</f>
        <v/>
      </c>
      <c r="K312" s="113"/>
      <c r="L312" s="113"/>
      <c r="M312" s="113"/>
      <c r="N312" s="30"/>
      <c r="O312" s="30"/>
      <c r="P312" s="30"/>
      <c r="Q312" s="30"/>
      <c r="R312" s="30"/>
      <c r="S312" s="30"/>
      <c r="T312" s="30"/>
      <c r="U312" s="30"/>
      <c r="V312" s="30"/>
      <c r="W312" s="30"/>
      <c r="X312" s="30"/>
      <c r="Y312" s="30"/>
      <c r="Z312" s="30"/>
      <c r="AA312" s="30"/>
      <c r="AB312" s="30"/>
      <c r="AC312" s="30"/>
      <c r="AD312" s="30"/>
      <c r="AE312" s="30"/>
      <c r="AF312" s="30"/>
      <c r="AG312" s="30"/>
      <c r="AH312" s="30"/>
      <c r="AI312" s="30"/>
      <c r="AJ312" s="30"/>
      <c r="AK312" s="30"/>
      <c r="AL312" s="30"/>
      <c r="AM312" s="30"/>
      <c r="AN312" s="30"/>
      <c r="AO312" s="30"/>
      <c r="AP312" s="30"/>
      <c r="AQ312" s="30"/>
      <c r="AR312" s="30"/>
      <c r="AS312" s="30"/>
      <c r="AT312" s="30"/>
      <c r="AU312" s="30"/>
      <c r="AV312" s="30"/>
      <c r="AW312" s="30"/>
      <c r="AX312" s="30"/>
      <c r="AY312" s="30"/>
      <c r="AZ312" s="30"/>
      <c r="BA312" s="30"/>
      <c r="BB312" s="30"/>
      <c r="BC312" s="30"/>
      <c r="BD312" s="30"/>
      <c r="BE312" s="30"/>
      <c r="BF312" s="30"/>
      <c r="BG312" s="30"/>
      <c r="BH312" s="30"/>
      <c r="BI312" s="30"/>
      <c r="BJ312" s="30"/>
      <c r="BK312" s="30"/>
      <c r="BL312" s="30"/>
      <c r="BM312" s="30"/>
      <c r="BN312" s="30"/>
      <c r="BO312" s="30"/>
      <c r="BP312" s="30"/>
      <c r="BQ312" s="30"/>
      <c r="BR312" s="30"/>
      <c r="BS312" s="30"/>
      <c r="BT312" s="30"/>
      <c r="BU312" s="30"/>
      <c r="BV312" s="30"/>
      <c r="BW312" s="30"/>
      <c r="BX312" s="30"/>
      <c r="BY312" s="30"/>
      <c r="BZ312" s="30"/>
      <c r="CA312" s="30"/>
      <c r="CB312" s="55"/>
    </row>
    <row r="313" spans="2:80" x14ac:dyDescent="0.2">
      <c r="B313" s="150" t="s">
        <v>305</v>
      </c>
      <c r="C313" s="151"/>
      <c r="D313" s="151"/>
      <c r="E313" s="151"/>
      <c r="F313" s="151"/>
      <c r="G313" s="151"/>
      <c r="H313" s="151"/>
      <c r="I313" s="151"/>
      <c r="J313" s="151"/>
      <c r="K313" s="151"/>
      <c r="L313" s="151"/>
      <c r="M313" s="151"/>
      <c r="N313" s="151"/>
      <c r="O313" s="151"/>
      <c r="P313" s="151"/>
      <c r="Q313" s="151"/>
      <c r="R313" s="151"/>
      <c r="S313" s="151"/>
      <c r="T313" s="151"/>
      <c r="U313" s="151"/>
      <c r="V313" s="151"/>
      <c r="W313" s="151"/>
      <c r="X313" s="151"/>
      <c r="Y313" s="151"/>
      <c r="Z313" s="151"/>
      <c r="AA313" s="151"/>
      <c r="AB313" s="151"/>
      <c r="AC313" s="151"/>
      <c r="AD313" s="151"/>
      <c r="AE313" s="151"/>
      <c r="AF313" s="151"/>
      <c r="AG313" s="151"/>
      <c r="AH313" s="151"/>
      <c r="AI313" s="151"/>
      <c r="AJ313" s="151"/>
      <c r="AK313" s="151"/>
      <c r="AL313" s="151"/>
      <c r="AM313" s="151"/>
      <c r="AN313" s="151"/>
      <c r="AO313" s="151"/>
      <c r="AP313" s="151"/>
      <c r="AQ313" s="151"/>
      <c r="AR313" s="151"/>
      <c r="AS313" s="151"/>
      <c r="AT313" s="151"/>
      <c r="AU313" s="151"/>
      <c r="AV313" s="151"/>
      <c r="AW313" s="151"/>
      <c r="AX313" s="151"/>
      <c r="AY313" s="151"/>
      <c r="AZ313" s="151"/>
      <c r="BA313" s="151"/>
      <c r="BB313" s="151"/>
      <c r="BC313" s="151"/>
      <c r="BD313" s="151"/>
      <c r="BE313" s="151"/>
      <c r="BF313" s="151"/>
      <c r="BG313" s="151"/>
      <c r="BH313" s="151"/>
      <c r="BI313" s="151"/>
      <c r="BJ313" s="151"/>
      <c r="BK313" s="151"/>
      <c r="BL313" s="151"/>
      <c r="BM313" s="151"/>
      <c r="BN313" s="151"/>
      <c r="BO313" s="151"/>
      <c r="BP313" s="151"/>
      <c r="BQ313" s="151"/>
      <c r="BR313" s="151"/>
      <c r="BS313" s="151"/>
      <c r="BT313" s="151"/>
      <c r="BU313" s="151"/>
      <c r="BV313" s="151"/>
      <c r="BW313" s="151"/>
      <c r="BX313" s="151"/>
      <c r="BY313" s="151"/>
      <c r="BZ313" s="151"/>
      <c r="CA313" s="151"/>
      <c r="CB313" s="152"/>
    </row>
    <row r="314" spans="2:80" x14ac:dyDescent="0.2">
      <c r="B314" s="150"/>
      <c r="C314" s="151"/>
      <c r="D314" s="151"/>
      <c r="E314" s="151"/>
      <c r="F314" s="151"/>
      <c r="G314" s="151"/>
      <c r="H314" s="151"/>
      <c r="I314" s="151"/>
      <c r="J314" s="151"/>
      <c r="K314" s="151"/>
      <c r="L314" s="151"/>
      <c r="M314" s="151"/>
      <c r="N314" s="151"/>
      <c r="O314" s="151"/>
      <c r="P314" s="151"/>
      <c r="Q314" s="151"/>
      <c r="R314" s="151"/>
      <c r="S314" s="151"/>
      <c r="T314" s="151"/>
      <c r="U314" s="151"/>
      <c r="V314" s="151"/>
      <c r="W314" s="151"/>
      <c r="X314" s="151"/>
      <c r="Y314" s="151"/>
      <c r="Z314" s="151"/>
      <c r="AA314" s="151"/>
      <c r="AB314" s="151"/>
      <c r="AC314" s="151"/>
      <c r="AD314" s="151"/>
      <c r="AE314" s="151"/>
      <c r="AF314" s="151"/>
      <c r="AG314" s="151"/>
      <c r="AH314" s="151"/>
      <c r="AI314" s="151"/>
      <c r="AJ314" s="151"/>
      <c r="AK314" s="151"/>
      <c r="AL314" s="151"/>
      <c r="AM314" s="151"/>
      <c r="AN314" s="151"/>
      <c r="AO314" s="151"/>
      <c r="AP314" s="151"/>
      <c r="AQ314" s="151"/>
      <c r="AR314" s="151"/>
      <c r="AS314" s="151"/>
      <c r="AT314" s="151"/>
      <c r="AU314" s="151"/>
      <c r="AV314" s="151"/>
      <c r="AW314" s="151"/>
      <c r="AX314" s="151"/>
      <c r="AY314" s="151"/>
      <c r="AZ314" s="151"/>
      <c r="BA314" s="151"/>
      <c r="BB314" s="151"/>
      <c r="BC314" s="151"/>
      <c r="BD314" s="151"/>
      <c r="BE314" s="151"/>
      <c r="BF314" s="151"/>
      <c r="BG314" s="151"/>
      <c r="BH314" s="151"/>
      <c r="BI314" s="151"/>
      <c r="BJ314" s="151"/>
      <c r="BK314" s="151"/>
      <c r="BL314" s="151"/>
      <c r="BM314" s="151"/>
      <c r="BN314" s="151"/>
      <c r="BO314" s="151"/>
      <c r="BP314" s="151"/>
      <c r="BQ314" s="151"/>
      <c r="BR314" s="151"/>
      <c r="BS314" s="151"/>
      <c r="BT314" s="151"/>
      <c r="BU314" s="151"/>
      <c r="BV314" s="151"/>
      <c r="BW314" s="151"/>
      <c r="BX314" s="151"/>
      <c r="BY314" s="151"/>
      <c r="BZ314" s="151"/>
      <c r="CA314" s="151"/>
      <c r="CB314" s="152"/>
    </row>
    <row r="315" spans="2:80" x14ac:dyDescent="0.2">
      <c r="B315" s="153" t="s">
        <v>264</v>
      </c>
      <c r="C315" s="92"/>
      <c r="D315" s="92"/>
      <c r="E315" s="92"/>
      <c r="F315" s="92"/>
      <c r="G315" s="92"/>
      <c r="H315" s="92"/>
      <c r="I315" s="92"/>
      <c r="J315" s="92"/>
      <c r="K315" s="92"/>
      <c r="L315" s="92"/>
      <c r="M315" s="92"/>
      <c r="N315" s="92"/>
      <c r="O315" s="92" t="s">
        <v>304</v>
      </c>
      <c r="P315" s="92"/>
      <c r="Q315" s="92"/>
      <c r="R315" s="92"/>
      <c r="S315" s="92"/>
      <c r="T315" s="92"/>
      <c r="U315" s="92"/>
      <c r="V315" s="92"/>
      <c r="W315" s="92"/>
      <c r="X315" s="92"/>
      <c r="Y315" s="92"/>
      <c r="Z315" s="92"/>
      <c r="AA315" s="92"/>
      <c r="AB315" s="92"/>
      <c r="AC315" s="92"/>
      <c r="AD315" s="92"/>
      <c r="AE315" s="92"/>
      <c r="AF315" s="92"/>
      <c r="AG315" s="92"/>
      <c r="AH315" s="92"/>
      <c r="AI315" s="92"/>
      <c r="AJ315" s="92"/>
      <c r="AK315" s="92"/>
      <c r="AL315" s="92"/>
      <c r="AM315" s="92"/>
      <c r="AN315" s="92"/>
      <c r="AO315" s="92"/>
      <c r="AP315" s="92"/>
      <c r="AQ315" s="92"/>
      <c r="AR315" s="92"/>
      <c r="AS315" s="92"/>
      <c r="AT315" s="92"/>
      <c r="AU315" s="92"/>
      <c r="AV315" s="92"/>
      <c r="AW315" s="92"/>
      <c r="AX315" s="92"/>
      <c r="AY315" s="92"/>
      <c r="AZ315" s="92"/>
      <c r="BA315" s="92"/>
      <c r="BB315" s="92" t="s">
        <v>262</v>
      </c>
      <c r="BC315" s="92"/>
      <c r="BD315" s="92"/>
      <c r="BE315" s="92" t="s">
        <v>266</v>
      </c>
      <c r="BF315" s="92"/>
      <c r="BG315" s="92"/>
      <c r="BH315" s="92" t="s">
        <v>263</v>
      </c>
      <c r="BI315" s="92"/>
      <c r="BJ315" s="92"/>
      <c r="BK315" s="156" t="s">
        <v>384</v>
      </c>
      <c r="BL315" s="157"/>
      <c r="BM315" s="157"/>
      <c r="BN315" s="162" t="s">
        <v>303</v>
      </c>
      <c r="BO315" s="92"/>
      <c r="BP315" s="92"/>
      <c r="BQ315" s="92"/>
      <c r="BR315" s="162" t="s">
        <v>298</v>
      </c>
      <c r="BS315" s="162"/>
      <c r="BT315" s="162"/>
      <c r="BU315" s="162"/>
      <c r="BV315" s="92"/>
      <c r="BW315" s="92"/>
      <c r="BX315" s="162" t="s">
        <v>279</v>
      </c>
      <c r="BY315" s="162"/>
      <c r="BZ315" s="162"/>
      <c r="CA315" s="162"/>
      <c r="CB315" s="163"/>
    </row>
    <row r="316" spans="2:80" x14ac:dyDescent="0.2">
      <c r="B316" s="153"/>
      <c r="C316" s="92"/>
      <c r="D316" s="92"/>
      <c r="E316" s="92"/>
      <c r="F316" s="92"/>
      <c r="G316" s="92"/>
      <c r="H316" s="92"/>
      <c r="I316" s="92"/>
      <c r="J316" s="92"/>
      <c r="K316" s="92"/>
      <c r="L316" s="92"/>
      <c r="M316" s="92"/>
      <c r="N316" s="92"/>
      <c r="O316" s="166" t="s">
        <v>17</v>
      </c>
      <c r="P316" s="167"/>
      <c r="Q316" s="167"/>
      <c r="R316" s="167"/>
      <c r="S316" s="168"/>
      <c r="T316" s="108" t="s">
        <v>417</v>
      </c>
      <c r="U316" s="108"/>
      <c r="V316" s="108"/>
      <c r="W316" s="108"/>
      <c r="X316" s="108"/>
      <c r="Y316" s="108"/>
      <c r="Z316" s="108"/>
      <c r="AA316" s="108"/>
      <c r="AB316" s="108" t="s">
        <v>414</v>
      </c>
      <c r="AC316" s="108"/>
      <c r="AD316" s="108"/>
      <c r="AE316" s="108"/>
      <c r="AF316" s="108"/>
      <c r="AG316" s="175" t="s">
        <v>429</v>
      </c>
      <c r="AH316" s="176"/>
      <c r="AI316" s="176"/>
      <c r="AJ316" s="176"/>
      <c r="AK316" s="177"/>
      <c r="AL316" s="178" t="s">
        <v>16</v>
      </c>
      <c r="AM316" s="178"/>
      <c r="AN316" s="178"/>
      <c r="AO316" s="178"/>
      <c r="AP316" s="178"/>
      <c r="AQ316" s="178"/>
      <c r="AR316" s="178" t="s">
        <v>267</v>
      </c>
      <c r="AS316" s="178"/>
      <c r="AT316" s="178"/>
      <c r="AU316" s="178"/>
      <c r="AV316" s="178"/>
      <c r="AW316" s="178" t="s">
        <v>423</v>
      </c>
      <c r="AX316" s="178"/>
      <c r="AY316" s="178"/>
      <c r="AZ316" s="178"/>
      <c r="BA316" s="178"/>
      <c r="BB316" s="92"/>
      <c r="BC316" s="92"/>
      <c r="BD316" s="92"/>
      <c r="BE316" s="92"/>
      <c r="BF316" s="92"/>
      <c r="BG316" s="92"/>
      <c r="BH316" s="92"/>
      <c r="BI316" s="92"/>
      <c r="BJ316" s="92"/>
      <c r="BK316" s="158"/>
      <c r="BL316" s="159"/>
      <c r="BM316" s="159"/>
      <c r="BN316" s="162"/>
      <c r="BO316" s="92"/>
      <c r="BP316" s="92"/>
      <c r="BQ316" s="92"/>
      <c r="BR316" s="162"/>
      <c r="BS316" s="162"/>
      <c r="BT316" s="162"/>
      <c r="BU316" s="162"/>
      <c r="BV316" s="92"/>
      <c r="BW316" s="92"/>
      <c r="BX316" s="162"/>
      <c r="BY316" s="162"/>
      <c r="BZ316" s="162"/>
      <c r="CA316" s="162"/>
      <c r="CB316" s="163"/>
    </row>
    <row r="317" spans="2:80" x14ac:dyDescent="0.2">
      <c r="B317" s="153"/>
      <c r="C317" s="92"/>
      <c r="D317" s="92"/>
      <c r="E317" s="92"/>
      <c r="F317" s="92"/>
      <c r="G317" s="92"/>
      <c r="H317" s="92"/>
      <c r="I317" s="92"/>
      <c r="J317" s="92"/>
      <c r="K317" s="92"/>
      <c r="L317" s="92"/>
      <c r="M317" s="92"/>
      <c r="N317" s="92"/>
      <c r="O317" s="169"/>
      <c r="P317" s="170"/>
      <c r="Q317" s="170"/>
      <c r="R317" s="170"/>
      <c r="S317" s="171"/>
      <c r="T317" s="97" t="s">
        <v>418</v>
      </c>
      <c r="U317" s="95"/>
      <c r="V317" s="29" t="s">
        <v>415</v>
      </c>
      <c r="W317" s="95" t="s">
        <v>420</v>
      </c>
      <c r="X317" s="95"/>
      <c r="Y317" s="29" t="s">
        <v>415</v>
      </c>
      <c r="Z317" s="95" t="s">
        <v>421</v>
      </c>
      <c r="AA317" s="98"/>
      <c r="AB317" s="97" t="s">
        <v>422</v>
      </c>
      <c r="AC317" s="95"/>
      <c r="AD317" s="29" t="s">
        <v>415</v>
      </c>
      <c r="AE317" s="95" t="s">
        <v>421</v>
      </c>
      <c r="AF317" s="98"/>
      <c r="AG317" s="97" t="s">
        <v>473</v>
      </c>
      <c r="AH317" s="95"/>
      <c r="AI317" s="95"/>
      <c r="AJ317" s="95"/>
      <c r="AK317" s="98"/>
      <c r="AL317" s="179"/>
      <c r="AM317" s="179"/>
      <c r="AN317" s="179"/>
      <c r="AO317" s="179"/>
      <c r="AP317" s="179"/>
      <c r="AQ317" s="179"/>
      <c r="AR317" s="179"/>
      <c r="AS317" s="179"/>
      <c r="AT317" s="179"/>
      <c r="AU317" s="179"/>
      <c r="AV317" s="179"/>
      <c r="AW317" s="179"/>
      <c r="AX317" s="179"/>
      <c r="AY317" s="179"/>
      <c r="AZ317" s="179"/>
      <c r="BA317" s="179"/>
      <c r="BB317" s="92"/>
      <c r="BC317" s="92"/>
      <c r="BD317" s="92"/>
      <c r="BE317" s="92"/>
      <c r="BF317" s="92"/>
      <c r="BG317" s="92"/>
      <c r="BH317" s="92"/>
      <c r="BI317" s="92"/>
      <c r="BJ317" s="92"/>
      <c r="BK317" s="158"/>
      <c r="BL317" s="159"/>
      <c r="BM317" s="159"/>
      <c r="BN317" s="92"/>
      <c r="BO317" s="92"/>
      <c r="BP317" s="92"/>
      <c r="BQ317" s="92"/>
      <c r="BR317" s="162"/>
      <c r="BS317" s="162"/>
      <c r="BT317" s="162"/>
      <c r="BU317" s="162"/>
      <c r="BV317" s="92"/>
      <c r="BW317" s="92"/>
      <c r="BX317" s="162"/>
      <c r="BY317" s="162"/>
      <c r="BZ317" s="162"/>
      <c r="CA317" s="162"/>
      <c r="CB317" s="163"/>
    </row>
    <row r="318" spans="2:80" ht="12" thickBot="1" x14ac:dyDescent="0.25">
      <c r="B318" s="154"/>
      <c r="C318" s="155"/>
      <c r="D318" s="155"/>
      <c r="E318" s="155"/>
      <c r="F318" s="155"/>
      <c r="G318" s="155"/>
      <c r="H318" s="155"/>
      <c r="I318" s="155"/>
      <c r="J318" s="155"/>
      <c r="K318" s="155"/>
      <c r="L318" s="155"/>
      <c r="M318" s="155"/>
      <c r="N318" s="155"/>
      <c r="O318" s="172"/>
      <c r="P318" s="173"/>
      <c r="Q318" s="173"/>
      <c r="R318" s="173"/>
      <c r="S318" s="174"/>
      <c r="T318" s="181" t="s">
        <v>419</v>
      </c>
      <c r="U318" s="182"/>
      <c r="V318" s="28" t="s">
        <v>415</v>
      </c>
      <c r="W318" s="182" t="s">
        <v>419</v>
      </c>
      <c r="X318" s="182"/>
      <c r="Y318" s="28" t="s">
        <v>415</v>
      </c>
      <c r="Z318" s="182" t="s">
        <v>419</v>
      </c>
      <c r="AA318" s="192"/>
      <c r="AB318" s="181" t="s">
        <v>419</v>
      </c>
      <c r="AC318" s="182"/>
      <c r="AD318" s="28" t="s">
        <v>415</v>
      </c>
      <c r="AE318" s="182" t="s">
        <v>419</v>
      </c>
      <c r="AF318" s="192"/>
      <c r="AG318" s="181" t="s">
        <v>419</v>
      </c>
      <c r="AH318" s="182"/>
      <c r="AI318" s="182"/>
      <c r="AJ318" s="182"/>
      <c r="AK318" s="192"/>
      <c r="AL318" s="180"/>
      <c r="AM318" s="180"/>
      <c r="AN318" s="180"/>
      <c r="AO318" s="180"/>
      <c r="AP318" s="180"/>
      <c r="AQ318" s="180"/>
      <c r="AR318" s="180"/>
      <c r="AS318" s="180"/>
      <c r="AT318" s="180"/>
      <c r="AU318" s="180"/>
      <c r="AV318" s="180"/>
      <c r="AW318" s="180"/>
      <c r="AX318" s="180"/>
      <c r="AY318" s="180"/>
      <c r="AZ318" s="180"/>
      <c r="BA318" s="180"/>
      <c r="BB318" s="155"/>
      <c r="BC318" s="155"/>
      <c r="BD318" s="155"/>
      <c r="BE318" s="155"/>
      <c r="BF318" s="155"/>
      <c r="BG318" s="155"/>
      <c r="BH318" s="155"/>
      <c r="BI318" s="155"/>
      <c r="BJ318" s="155"/>
      <c r="BK318" s="160"/>
      <c r="BL318" s="161"/>
      <c r="BM318" s="161"/>
      <c r="BN318" s="155"/>
      <c r="BO318" s="155"/>
      <c r="BP318" s="155"/>
      <c r="BQ318" s="155"/>
      <c r="BR318" s="155"/>
      <c r="BS318" s="155"/>
      <c r="BT318" s="155"/>
      <c r="BU318" s="155"/>
      <c r="BV318" s="155"/>
      <c r="BW318" s="155"/>
      <c r="BX318" s="164"/>
      <c r="BY318" s="164"/>
      <c r="BZ318" s="164"/>
      <c r="CA318" s="164"/>
      <c r="CB318" s="165"/>
    </row>
    <row r="319" spans="2:80" ht="12" thickTop="1" x14ac:dyDescent="0.2">
      <c r="B319" s="71" t="s">
        <v>268</v>
      </c>
      <c r="C319" s="72"/>
      <c r="D319" s="72"/>
      <c r="E319" s="72"/>
      <c r="F319" s="72"/>
      <c r="G319" s="72"/>
      <c r="H319" s="72"/>
      <c r="I319" s="72"/>
      <c r="J319" s="72"/>
      <c r="K319" s="72"/>
      <c r="L319" s="72"/>
      <c r="M319" s="72"/>
      <c r="N319" s="72"/>
      <c r="O319" s="193">
        <v>12</v>
      </c>
      <c r="P319" s="194"/>
      <c r="Q319" s="21" t="s">
        <v>272</v>
      </c>
      <c r="R319" s="21"/>
      <c r="S319" s="21"/>
      <c r="T319" s="27"/>
      <c r="U319" s="27"/>
      <c r="V319" s="27"/>
      <c r="W319" s="27"/>
      <c r="X319" s="27"/>
      <c r="Y319" s="27"/>
      <c r="Z319" s="27"/>
      <c r="AA319" s="27"/>
      <c r="AB319" s="27"/>
      <c r="AC319" s="27"/>
      <c r="AD319" s="27"/>
      <c r="AE319" s="27"/>
      <c r="AF319" s="27"/>
      <c r="AG319" s="27"/>
      <c r="AH319" s="21"/>
      <c r="AI319" s="21"/>
      <c r="AJ319" s="21"/>
      <c r="AK319" s="21"/>
      <c r="AL319" s="21"/>
      <c r="AM319" s="21"/>
      <c r="AN319" s="21"/>
      <c r="AO319" s="21"/>
      <c r="AP319" s="21"/>
      <c r="AQ319" s="21"/>
      <c r="AR319" s="21"/>
      <c r="AS319" s="21"/>
      <c r="AT319" s="21"/>
      <c r="AU319" s="21"/>
      <c r="AV319" s="21"/>
      <c r="AW319" s="21"/>
      <c r="AX319" s="21"/>
      <c r="AY319" s="21"/>
      <c r="AZ319" s="21"/>
      <c r="BA319" s="22"/>
      <c r="BB319" s="195">
        <f>ROUND(PI()*O319^2/4*7.85/1000,3)</f>
        <v>0.88800000000000001</v>
      </c>
      <c r="BC319" s="195"/>
      <c r="BD319" s="195"/>
      <c r="BE319" s="63">
        <f>C239*2</f>
        <v>14</v>
      </c>
      <c r="BF319" s="63"/>
      <c r="BG319" s="63"/>
      <c r="BH319" s="83">
        <f>2*SQRT((E233/2)^2+T214^2)+(AL221/2-2)*W214</f>
        <v>17.485281374238568</v>
      </c>
      <c r="BI319" s="83"/>
      <c r="BJ319" s="83"/>
      <c r="BK319" s="124">
        <f t="shared" ref="BK319:BK336" si="24">+BE319*BH319</f>
        <v>244.79393923933995</v>
      </c>
      <c r="BL319" s="125"/>
      <c r="BM319" s="126"/>
      <c r="BN319" s="83">
        <f t="shared" ref="BN319:BN336" si="25">BB319*(BE319*BH319)</f>
        <v>217.37701804453388</v>
      </c>
      <c r="BO319" s="83"/>
      <c r="BP319" s="83"/>
      <c r="BQ319" s="83"/>
      <c r="BR319" s="84">
        <v>25</v>
      </c>
      <c r="BS319" s="84"/>
      <c r="BT319" s="84"/>
      <c r="BU319" s="84"/>
      <c r="BV319" s="84"/>
      <c r="BW319" s="84"/>
      <c r="BX319" s="65">
        <f t="shared" ref="BX319" si="26">BR319*BN319</f>
        <v>5434.4254511133468</v>
      </c>
      <c r="BY319" s="65"/>
      <c r="BZ319" s="65"/>
      <c r="CA319" s="65"/>
      <c r="CB319" s="66"/>
    </row>
    <row r="320" spans="2:80" x14ac:dyDescent="0.2">
      <c r="B320" s="147" t="s">
        <v>14</v>
      </c>
      <c r="C320" s="148"/>
      <c r="D320" s="148"/>
      <c r="E320" s="148"/>
      <c r="F320" s="148"/>
      <c r="G320" s="148"/>
      <c r="H320" s="148"/>
      <c r="I320" s="148"/>
      <c r="J320" s="148"/>
      <c r="K320" s="148"/>
      <c r="L320" s="148"/>
      <c r="M320" s="148"/>
      <c r="N320" s="148"/>
      <c r="O320" s="120" t="s">
        <v>413</v>
      </c>
      <c r="P320" s="73"/>
      <c r="Q320" s="73"/>
      <c r="R320" s="73"/>
      <c r="S320" s="128"/>
      <c r="T320" s="129">
        <v>150</v>
      </c>
      <c r="U320" s="130"/>
      <c r="V320" s="26" t="s">
        <v>415</v>
      </c>
      <c r="W320" s="130">
        <v>150</v>
      </c>
      <c r="X320" s="130"/>
      <c r="Y320" s="26" t="s">
        <v>415</v>
      </c>
      <c r="Z320" s="130">
        <v>10</v>
      </c>
      <c r="AA320" s="131"/>
      <c r="AB320" s="129">
        <v>150</v>
      </c>
      <c r="AC320" s="130"/>
      <c r="AD320" s="26" t="s">
        <v>415</v>
      </c>
      <c r="AE320" s="130">
        <v>10</v>
      </c>
      <c r="AF320" s="131"/>
      <c r="AG320" s="129" t="s">
        <v>395</v>
      </c>
      <c r="AH320" s="130"/>
      <c r="AI320" s="130"/>
      <c r="AJ320" s="130"/>
      <c r="AK320" s="131"/>
      <c r="AL320" s="129" t="s">
        <v>306</v>
      </c>
      <c r="AM320" s="130"/>
      <c r="AN320" s="130"/>
      <c r="AO320" s="130"/>
      <c r="AP320" s="130"/>
      <c r="AQ320" s="131"/>
      <c r="AR320" s="129" t="s">
        <v>246</v>
      </c>
      <c r="AS320" s="130"/>
      <c r="AT320" s="130"/>
      <c r="AU320" s="130"/>
      <c r="AV320" s="131"/>
      <c r="AW320" s="146" t="s">
        <v>160</v>
      </c>
      <c r="AX320" s="146"/>
      <c r="AY320" s="146"/>
      <c r="AZ320" s="146"/>
      <c r="BA320" s="146"/>
      <c r="BB320" s="143" cm="1">
        <f t="array" ref="BB320">IF(O320="C profil",INDEX($CX$4:$CX$28,MATCH(AG320,$CW$4:$CW$28,0),0),IF(O320="kutu profil",(((T320*W320-4*((2*Z320)*(2*Z320)-PI()*(2*Z320)^2/4))-((T320-2*Z320)*(W320-2*Z320)-4*((1*Z320)*(1*Z320)-PI()*(1*Z320)^2/4)))/1000000*7850),IF(O320="boru profil",((PI()*AB320^2/4-PI()*(AB320-2*AE320)^2/4)/1000000*7850),IF(O320="I profil",INDEX($CN$4:$CN$118,MATCH(AL320,$CM$4:$CM$118,0),0),IF(O320="U profil",INDEX($CU$4:$CU$28,MATCH(AR320,$CT$4:$CT$28,0),0),IF(O320="korniyer",INDEX($CR$4:$CR$176,MATCH(AW320,$CQ$4:$CQ$176,0),0),"hatalı"))))))</f>
        <v>4.72</v>
      </c>
      <c r="BC320" s="143"/>
      <c r="BD320" s="143"/>
      <c r="BE320" s="109">
        <f>AL221</f>
        <v>10</v>
      </c>
      <c r="BF320" s="109"/>
      <c r="BG320" s="109"/>
      <c r="BH320" s="149">
        <f>C229</f>
        <v>42</v>
      </c>
      <c r="BI320" s="149"/>
      <c r="BJ320" s="149"/>
      <c r="BK320" s="134">
        <f t="shared" si="24"/>
        <v>420</v>
      </c>
      <c r="BL320" s="135"/>
      <c r="BM320" s="136"/>
      <c r="BN320" s="149">
        <f t="shared" si="25"/>
        <v>1982.3999999999999</v>
      </c>
      <c r="BO320" s="149"/>
      <c r="BP320" s="149"/>
      <c r="BQ320" s="149"/>
      <c r="BR320" s="84">
        <v>28</v>
      </c>
      <c r="BS320" s="84"/>
      <c r="BT320" s="84"/>
      <c r="BU320" s="84"/>
      <c r="BV320" s="84"/>
      <c r="BW320" s="84"/>
      <c r="BX320" s="85">
        <f>BR320*BN320</f>
        <v>55507.199999999997</v>
      </c>
      <c r="BY320" s="85"/>
      <c r="BZ320" s="85"/>
      <c r="CA320" s="85"/>
      <c r="CB320" s="86"/>
    </row>
    <row r="321" spans="2:80" x14ac:dyDescent="0.2">
      <c r="B321" s="71" t="s">
        <v>12</v>
      </c>
      <c r="C321" s="72"/>
      <c r="D321" s="72"/>
      <c r="E321" s="72"/>
      <c r="F321" s="72"/>
      <c r="G321" s="72"/>
      <c r="H321" s="72"/>
      <c r="I321" s="72"/>
      <c r="J321" s="72"/>
      <c r="K321" s="72"/>
      <c r="L321" s="72"/>
      <c r="M321" s="72"/>
      <c r="N321" s="72"/>
      <c r="O321" s="120" t="s">
        <v>16</v>
      </c>
      <c r="P321" s="73"/>
      <c r="Q321" s="73"/>
      <c r="R321" s="73"/>
      <c r="S321" s="128"/>
      <c r="T321" s="129">
        <v>150</v>
      </c>
      <c r="U321" s="130"/>
      <c r="V321" s="26" t="s">
        <v>415</v>
      </c>
      <c r="W321" s="130">
        <v>150</v>
      </c>
      <c r="X321" s="130"/>
      <c r="Y321" s="26" t="s">
        <v>415</v>
      </c>
      <c r="Z321" s="130">
        <v>10</v>
      </c>
      <c r="AA321" s="131"/>
      <c r="AB321" s="129">
        <v>150</v>
      </c>
      <c r="AC321" s="130"/>
      <c r="AD321" s="26" t="s">
        <v>415</v>
      </c>
      <c r="AE321" s="130">
        <v>10</v>
      </c>
      <c r="AF321" s="131"/>
      <c r="AG321" s="13"/>
      <c r="AH321" s="11"/>
      <c r="AI321" s="11"/>
      <c r="AJ321" s="11"/>
      <c r="AK321" s="12"/>
      <c r="AL321" s="129" t="s">
        <v>281</v>
      </c>
      <c r="AM321" s="130"/>
      <c r="AN321" s="130"/>
      <c r="AO321" s="130"/>
      <c r="AP321" s="130"/>
      <c r="AQ321" s="131"/>
      <c r="AR321" s="129" t="s">
        <v>246</v>
      </c>
      <c r="AS321" s="130"/>
      <c r="AT321" s="130"/>
      <c r="AU321" s="130"/>
      <c r="AV321" s="131"/>
      <c r="AW321" s="146" t="s">
        <v>345</v>
      </c>
      <c r="AX321" s="146"/>
      <c r="AY321" s="146"/>
      <c r="AZ321" s="146"/>
      <c r="BA321" s="146"/>
      <c r="BB321" s="143" cm="1">
        <f t="array" ref="BB321">IF(O321="kutu profil",(((T321*W321-4*((2*Z321)*(2*Z321)-PI()*(2*Z321)^2/4))-((T321-2*Z321)*(W321-2*Z321)-4*((1*Z321)*(1*Z321)-PI()*(1*Z321)^2/4)))/1000000*7850),IF(O321="boru profil",((PI()*AB321^2/4-PI()*(AB321-2*AE321)^2/4)/1000000*7850),IF(O321="I profil",INDEX($CN$4:$CN$118,MATCH(AL321,$CM$4:$CM$118,0),0),IF(O321="U profil",INDEX($CU$4:$CU$28,MATCH(AR321,$CT$4:$CT$28,0),0),IF(O321="korniyer",INDEX($CR$4:$CR$176,MATCH(AW321,$CQ$4:$CQ$176,0),0),"hatalı")))))</f>
        <v>122</v>
      </c>
      <c r="BC321" s="143"/>
      <c r="BD321" s="143"/>
      <c r="BE321" s="63">
        <f>(C239+1)*2</f>
        <v>16</v>
      </c>
      <c r="BF321" s="63"/>
      <c r="BG321" s="63"/>
      <c r="BH321" s="83">
        <f>+N198</f>
        <v>12.059850745345068</v>
      </c>
      <c r="BI321" s="83"/>
      <c r="BJ321" s="83"/>
      <c r="BK321" s="134">
        <f t="shared" si="24"/>
        <v>192.95761192552109</v>
      </c>
      <c r="BL321" s="135"/>
      <c r="BM321" s="136"/>
      <c r="BN321" s="83">
        <f t="shared" si="25"/>
        <v>23540.828654913574</v>
      </c>
      <c r="BO321" s="83"/>
      <c r="BP321" s="83"/>
      <c r="BQ321" s="83"/>
      <c r="BR321" s="84">
        <v>28</v>
      </c>
      <c r="BS321" s="84"/>
      <c r="BT321" s="84"/>
      <c r="BU321" s="84"/>
      <c r="BV321" s="84"/>
      <c r="BW321" s="84"/>
      <c r="BX321" s="85">
        <f t="shared" ref="BX321:BX349" si="27">BR321*BN321</f>
        <v>659143.20233758003</v>
      </c>
      <c r="BY321" s="85"/>
      <c r="BZ321" s="85"/>
      <c r="CA321" s="85"/>
      <c r="CB321" s="86"/>
    </row>
    <row r="322" spans="2:80" x14ac:dyDescent="0.2">
      <c r="B322" s="71" t="s">
        <v>13</v>
      </c>
      <c r="C322" s="72"/>
      <c r="D322" s="72"/>
      <c r="E322" s="72"/>
      <c r="F322" s="72"/>
      <c r="G322" s="72"/>
      <c r="H322" s="72"/>
      <c r="I322" s="72"/>
      <c r="J322" s="72"/>
      <c r="K322" s="72"/>
      <c r="L322" s="72"/>
      <c r="M322" s="72"/>
      <c r="N322" s="72"/>
      <c r="O322" s="120" t="s">
        <v>16</v>
      </c>
      <c r="P322" s="73"/>
      <c r="Q322" s="73"/>
      <c r="R322" s="73"/>
      <c r="S322" s="128"/>
      <c r="T322" s="129">
        <v>150</v>
      </c>
      <c r="U322" s="130"/>
      <c r="V322" s="26" t="s">
        <v>415</v>
      </c>
      <c r="W322" s="130">
        <v>150</v>
      </c>
      <c r="X322" s="130"/>
      <c r="Y322" s="26" t="s">
        <v>415</v>
      </c>
      <c r="Z322" s="130">
        <v>10</v>
      </c>
      <c r="AA322" s="131"/>
      <c r="AB322" s="129">
        <v>150</v>
      </c>
      <c r="AC322" s="130"/>
      <c r="AD322" s="26" t="s">
        <v>415</v>
      </c>
      <c r="AE322" s="130">
        <v>10</v>
      </c>
      <c r="AF322" s="131"/>
      <c r="AG322" s="13"/>
      <c r="AH322" s="11"/>
      <c r="AI322" s="11"/>
      <c r="AJ322" s="11"/>
      <c r="AK322" s="12"/>
      <c r="AL322" s="129" t="s">
        <v>281</v>
      </c>
      <c r="AM322" s="130"/>
      <c r="AN322" s="130"/>
      <c r="AO322" s="130"/>
      <c r="AP322" s="130"/>
      <c r="AQ322" s="131"/>
      <c r="AR322" s="129" t="s">
        <v>246</v>
      </c>
      <c r="AS322" s="130"/>
      <c r="AT322" s="130"/>
      <c r="AU322" s="130"/>
      <c r="AV322" s="131"/>
      <c r="AW322" s="146" t="s">
        <v>345</v>
      </c>
      <c r="AX322" s="146"/>
      <c r="AY322" s="146"/>
      <c r="AZ322" s="146"/>
      <c r="BA322" s="146"/>
      <c r="BB322" s="143" cm="1">
        <f t="array" ref="BB322">IF(O322="kutu profil",(((T322*W322-4*((2*Z322)*(2*Z322)-PI()*(2*Z322)^2/4))-((T322-2*Z322)*(W322-2*Z322)-4*((1*Z322)*(1*Z322)-PI()*(1*Z322)^2/4)))/1000000*7850),IF(O322="boru profil",((PI()*AB322^2/4-PI()*(AB322-2*AE322)^2/4)/1000000*7850),IF(O322="I profil",INDEX($CN$4:$CN$118,MATCH(AL322,$CM$4:$CM$118,0),0),IF(O322="U profil",INDEX($CU$4:$CU$28,MATCH(AR322,$CT$4:$CT$28,0),0),IF(O322="korniyer",INDEX($CR$4:$CR$176,MATCH(AW322,$CQ$4:$CQ$176,0),0),"hatalı")))))</f>
        <v>122</v>
      </c>
      <c r="BC322" s="143"/>
      <c r="BD322" s="143"/>
      <c r="BE322" s="63">
        <f>(C239+1)*2</f>
        <v>16</v>
      </c>
      <c r="BF322" s="63"/>
      <c r="BG322" s="63"/>
      <c r="BH322" s="83">
        <f>+E201</f>
        <v>8</v>
      </c>
      <c r="BI322" s="83"/>
      <c r="BJ322" s="83"/>
      <c r="BK322" s="134">
        <f t="shared" si="24"/>
        <v>128</v>
      </c>
      <c r="BL322" s="135"/>
      <c r="BM322" s="136"/>
      <c r="BN322" s="83">
        <f t="shared" si="25"/>
        <v>15616</v>
      </c>
      <c r="BO322" s="83"/>
      <c r="BP322" s="83"/>
      <c r="BQ322" s="83"/>
      <c r="BR322" s="84">
        <v>28</v>
      </c>
      <c r="BS322" s="84"/>
      <c r="BT322" s="84"/>
      <c r="BU322" s="84"/>
      <c r="BV322" s="84"/>
      <c r="BW322" s="84"/>
      <c r="BX322" s="85">
        <f t="shared" si="27"/>
        <v>437248</v>
      </c>
      <c r="BY322" s="85"/>
      <c r="BZ322" s="85"/>
      <c r="CA322" s="85"/>
      <c r="CB322" s="86"/>
    </row>
    <row r="323" spans="2:80" x14ac:dyDescent="0.2">
      <c r="B323" s="71" t="s">
        <v>466</v>
      </c>
      <c r="C323" s="72"/>
      <c r="D323" s="72"/>
      <c r="E323" s="72"/>
      <c r="F323" s="72"/>
      <c r="G323" s="72"/>
      <c r="H323" s="72"/>
      <c r="I323" s="72"/>
      <c r="J323" s="72"/>
      <c r="K323" s="72"/>
      <c r="L323" s="72"/>
      <c r="M323" s="72"/>
      <c r="N323" s="72"/>
      <c r="O323" s="120" t="s">
        <v>416</v>
      </c>
      <c r="P323" s="73"/>
      <c r="Q323" s="73"/>
      <c r="R323" s="73"/>
      <c r="S323" s="128"/>
      <c r="T323" s="129">
        <v>80</v>
      </c>
      <c r="U323" s="130"/>
      <c r="V323" s="26" t="s">
        <v>415</v>
      </c>
      <c r="W323" s="130">
        <v>80</v>
      </c>
      <c r="X323" s="130"/>
      <c r="Y323" s="26" t="s">
        <v>415</v>
      </c>
      <c r="Z323" s="130">
        <v>4</v>
      </c>
      <c r="AA323" s="131"/>
      <c r="AB323" s="129">
        <v>150</v>
      </c>
      <c r="AC323" s="130"/>
      <c r="AD323" s="26" t="s">
        <v>415</v>
      </c>
      <c r="AE323" s="130">
        <v>10</v>
      </c>
      <c r="AF323" s="131"/>
      <c r="AG323" s="13"/>
      <c r="AH323" s="11"/>
      <c r="AI323" s="11"/>
      <c r="AJ323" s="11"/>
      <c r="AK323" s="12"/>
      <c r="AL323" s="129" t="s">
        <v>281</v>
      </c>
      <c r="AM323" s="130"/>
      <c r="AN323" s="130"/>
      <c r="AO323" s="130"/>
      <c r="AP323" s="130"/>
      <c r="AQ323" s="131"/>
      <c r="AR323" s="129" t="s">
        <v>246</v>
      </c>
      <c r="AS323" s="130"/>
      <c r="AT323" s="130"/>
      <c r="AU323" s="130"/>
      <c r="AV323" s="131"/>
      <c r="AW323" s="146" t="s">
        <v>345</v>
      </c>
      <c r="AX323" s="146"/>
      <c r="AY323" s="146"/>
      <c r="AZ323" s="146"/>
      <c r="BA323" s="146"/>
      <c r="BB323" s="143" cm="1">
        <f t="array" ref="BB323">IF(O323="kutu profil",(((T323*W323-4*((2*Z323)*(2*Z323)-PI()*(2*Z323)^2/4))-((T323-2*Z323)*(W323-2*Z323)-4*((1*Z323)*(1*Z323)-PI()*(1*Z323)^2/4)))/1000000*7850),IF(O323="boru profil",((PI()*AB323^2/4-PI()*(AB323-2*AE323)^2/4)/1000000*7850),IF(O323="I profil",INDEX($CN$4:$CN$118,MATCH(AL323,$CM$4:$CM$118,0),0),IF(O323="U profil",INDEX($CU$4:$CU$28,MATCH(AR323,$CT$4:$CT$28,0),0),IF(O323="korniyer",INDEX($CR$4:$CR$176,MATCH(AW323,$CQ$4:$CQ$176,0),0),"hatalı")))))</f>
        <v>9.2221521118726368</v>
      </c>
      <c r="BC323" s="143"/>
      <c r="BD323" s="143"/>
      <c r="BE323" s="63" cm="1">
        <f t="array" ref="BE323">INDEX(BN218:BN228,MATCH(C239,BM218:BM228,0),0)*2*4+INDEX(BO218:BO228,MATCH(C239,BM218:BM228,0),0)*2*2</f>
        <v>40</v>
      </c>
      <c r="BF323" s="63"/>
      <c r="BG323" s="63"/>
      <c r="BH323" s="83">
        <f>SQRT(E218^2+(2*H214)^2)</f>
        <v>8.4852813742385695</v>
      </c>
      <c r="BI323" s="83"/>
      <c r="BJ323" s="83"/>
      <c r="BK323" s="134">
        <f t="shared" si="24"/>
        <v>339.41125496954277</v>
      </c>
      <c r="BL323" s="135"/>
      <c r="BM323" s="136"/>
      <c r="BN323" s="83">
        <f t="shared" si="25"/>
        <v>3130.1022218107109</v>
      </c>
      <c r="BO323" s="83"/>
      <c r="BP323" s="83"/>
      <c r="BQ323" s="83"/>
      <c r="BR323" s="84">
        <v>28</v>
      </c>
      <c r="BS323" s="84"/>
      <c r="BT323" s="84"/>
      <c r="BU323" s="84"/>
      <c r="BV323" s="84"/>
      <c r="BW323" s="84"/>
      <c r="BX323" s="85">
        <f t="shared" si="27"/>
        <v>87642.86221069991</v>
      </c>
      <c r="BY323" s="85"/>
      <c r="BZ323" s="85"/>
      <c r="CA323" s="85"/>
      <c r="CB323" s="86"/>
    </row>
    <row r="324" spans="2:80" x14ac:dyDescent="0.2">
      <c r="B324" s="71" t="s">
        <v>288</v>
      </c>
      <c r="C324" s="72"/>
      <c r="D324" s="72"/>
      <c r="E324" s="72"/>
      <c r="F324" s="72"/>
      <c r="G324" s="72"/>
      <c r="H324" s="72"/>
      <c r="I324" s="72"/>
      <c r="J324" s="72"/>
      <c r="K324" s="72"/>
      <c r="L324" s="72"/>
      <c r="M324" s="72"/>
      <c r="N324" s="72"/>
      <c r="O324" s="120" t="s">
        <v>416</v>
      </c>
      <c r="P324" s="73"/>
      <c r="Q324" s="73"/>
      <c r="R324" s="73"/>
      <c r="S324" s="128"/>
      <c r="T324" s="129">
        <v>150</v>
      </c>
      <c r="U324" s="130"/>
      <c r="V324" s="26" t="s">
        <v>415</v>
      </c>
      <c r="W324" s="130">
        <v>150</v>
      </c>
      <c r="X324" s="130"/>
      <c r="Y324" s="26" t="s">
        <v>415</v>
      </c>
      <c r="Z324" s="130">
        <v>5</v>
      </c>
      <c r="AA324" s="131"/>
      <c r="AB324" s="129">
        <v>150</v>
      </c>
      <c r="AC324" s="130"/>
      <c r="AD324" s="26" t="s">
        <v>415</v>
      </c>
      <c r="AE324" s="130">
        <v>10</v>
      </c>
      <c r="AF324" s="131"/>
      <c r="AG324" s="13"/>
      <c r="AH324" s="11"/>
      <c r="AI324" s="11"/>
      <c r="AJ324" s="11"/>
      <c r="AK324" s="12"/>
      <c r="AL324" s="129" t="s">
        <v>281</v>
      </c>
      <c r="AM324" s="130"/>
      <c r="AN324" s="130"/>
      <c r="AO324" s="130"/>
      <c r="AP324" s="130"/>
      <c r="AQ324" s="131"/>
      <c r="AR324" s="129" t="s">
        <v>246</v>
      </c>
      <c r="AS324" s="130"/>
      <c r="AT324" s="130"/>
      <c r="AU324" s="130"/>
      <c r="AV324" s="131"/>
      <c r="AW324" s="146" t="s">
        <v>345</v>
      </c>
      <c r="AX324" s="146"/>
      <c r="AY324" s="146"/>
      <c r="AZ324" s="146"/>
      <c r="BA324" s="146"/>
      <c r="BB324" s="143" cm="1">
        <f t="array" ref="BB324">IF(O324="kutu profil",(((T324*W324-4*((2*Z324)*(2*Z324)-PI()*(2*Z324)^2/4))-((T324-2*Z324)*(W324-2*Z324)-4*((1*Z324)*(1*Z324)-PI()*(1*Z324)^2/4)))/1000000*7850),IF(O324="boru profil",((PI()*AB324^2/4-PI()*(AB324-2*AE324)^2/4)/1000000*7850),IF(O324="I profil",INDEX($CN$4:$CN$118,MATCH(AL324,$CM$4:$CM$118,0),0),IF(O324="U profil",INDEX($CU$4:$CU$28,MATCH(AR324,$CT$4:$CT$28,0),0),IF(O324="korniyer",INDEX($CR$4:$CR$176,MATCH(AW324,$CQ$4:$CQ$176,0),0),"hatalı")))))</f>
        <v>22.259612674800998</v>
      </c>
      <c r="BC324" s="143"/>
      <c r="BD324" s="143"/>
      <c r="BE324" s="63" cm="1">
        <f t="array" ref="BE324">INDEX(BO218:BO228,MATCH(C239,BM218:BM228,0),0)*2*2</f>
        <v>16</v>
      </c>
      <c r="BF324" s="63"/>
      <c r="BG324" s="63"/>
      <c r="BH324" s="83">
        <f>+AQ207</f>
        <v>6</v>
      </c>
      <c r="BI324" s="83"/>
      <c r="BJ324" s="83"/>
      <c r="BK324" s="134">
        <f t="shared" si="24"/>
        <v>96</v>
      </c>
      <c r="BL324" s="135"/>
      <c r="BM324" s="136"/>
      <c r="BN324" s="83">
        <f t="shared" si="25"/>
        <v>2136.922816780896</v>
      </c>
      <c r="BO324" s="83"/>
      <c r="BP324" s="83"/>
      <c r="BQ324" s="83"/>
      <c r="BR324" s="84">
        <v>28</v>
      </c>
      <c r="BS324" s="84"/>
      <c r="BT324" s="84"/>
      <c r="BU324" s="84"/>
      <c r="BV324" s="84"/>
      <c r="BW324" s="84"/>
      <c r="BX324" s="85">
        <f t="shared" si="27"/>
        <v>59833.838869865089</v>
      </c>
      <c r="BY324" s="85"/>
      <c r="BZ324" s="85"/>
      <c r="CA324" s="85"/>
      <c r="CB324" s="86"/>
    </row>
    <row r="325" spans="2:80" x14ac:dyDescent="0.2">
      <c r="B325" s="71" t="s">
        <v>447</v>
      </c>
      <c r="C325" s="72"/>
      <c r="D325" s="72"/>
      <c r="E325" s="72"/>
      <c r="F325" s="72"/>
      <c r="G325" s="72"/>
      <c r="H325" s="72"/>
      <c r="I325" s="72"/>
      <c r="J325" s="72"/>
      <c r="K325" s="72"/>
      <c r="L325" s="72"/>
      <c r="M325" s="72"/>
      <c r="N325" s="72"/>
      <c r="O325" s="120" t="s">
        <v>414</v>
      </c>
      <c r="P325" s="73"/>
      <c r="Q325" s="73"/>
      <c r="R325" s="73"/>
      <c r="S325" s="128"/>
      <c r="T325" s="129">
        <v>150</v>
      </c>
      <c r="U325" s="130"/>
      <c r="V325" s="26" t="s">
        <v>415</v>
      </c>
      <c r="W325" s="130">
        <v>150</v>
      </c>
      <c r="X325" s="130"/>
      <c r="Y325" s="26" t="s">
        <v>415</v>
      </c>
      <c r="Z325" s="130">
        <v>8</v>
      </c>
      <c r="AA325" s="131"/>
      <c r="AB325" s="129">
        <v>101.6</v>
      </c>
      <c r="AC325" s="130"/>
      <c r="AD325" s="26" t="s">
        <v>415</v>
      </c>
      <c r="AE325" s="130">
        <v>4.6500000000000004</v>
      </c>
      <c r="AF325" s="131"/>
      <c r="AG325" s="13"/>
      <c r="AH325" s="11"/>
      <c r="AI325" s="11"/>
      <c r="AJ325" s="11"/>
      <c r="AK325" s="12"/>
      <c r="AL325" s="129" t="s">
        <v>281</v>
      </c>
      <c r="AM325" s="130"/>
      <c r="AN325" s="130"/>
      <c r="AO325" s="130"/>
      <c r="AP325" s="130"/>
      <c r="AQ325" s="131"/>
      <c r="AR325" s="129" t="s">
        <v>246</v>
      </c>
      <c r="AS325" s="130"/>
      <c r="AT325" s="130"/>
      <c r="AU325" s="130"/>
      <c r="AV325" s="131"/>
      <c r="AW325" s="146" t="s">
        <v>188</v>
      </c>
      <c r="AX325" s="146"/>
      <c r="AY325" s="146"/>
      <c r="AZ325" s="146"/>
      <c r="BA325" s="146"/>
      <c r="BB325" s="143" cm="1">
        <f t="array" ref="BB325">IF(O325="kutu profil",(((T325*W325-4*((2*Z325)*(2*Z325)-PI()*(2*Z325)^2/4))-((T325-2*Z325)*(W325-2*Z325)-4*((1*Z325)*(1*Z325)-PI()*(1*Z325)^2/4)))/1000000*7850),IF(O325="boru profil",((PI()*AB325^2/4-PI()*(AB325-2*AE325)^2/4)/1000000*7850),IF(O325="I profil",INDEX($CN$4:$CN$118,MATCH(AL325,$CM$4:$CM$118,0),0),IF(O325="U profil",INDEX($CU$4:$CU$28,MATCH(AR325,$CT$4:$CT$28,0),0),IF(O325="korniyer",INDEX($CR$4:$CR$176,MATCH(AW325,$CQ$4:$CQ$176,0),0),"hatalı")))))</f>
        <v>11.117836826961277</v>
      </c>
      <c r="BC325" s="143"/>
      <c r="BD325" s="143"/>
      <c r="BE325" s="63" cm="1">
        <f t="array" ref="BE325">INDEX(BN218:BN228,MATCH(C239,BM218:BM228,0),0)*2*3*2</f>
        <v>36</v>
      </c>
      <c r="BF325" s="63"/>
      <c r="BG325" s="63"/>
      <c r="BH325" s="83">
        <f>SQRT(AM207^2+AH204^2)</f>
        <v>6.4872524572768437</v>
      </c>
      <c r="BI325" s="83"/>
      <c r="BJ325" s="83"/>
      <c r="BK325" s="134">
        <f t="shared" si="24"/>
        <v>233.54108846196638</v>
      </c>
      <c r="BL325" s="135"/>
      <c r="BM325" s="136"/>
      <c r="BN325" s="83">
        <f t="shared" si="25"/>
        <v>2596.4717139110712</v>
      </c>
      <c r="BO325" s="83"/>
      <c r="BP325" s="83"/>
      <c r="BQ325" s="83"/>
      <c r="BR325" s="84">
        <v>28</v>
      </c>
      <c r="BS325" s="84"/>
      <c r="BT325" s="84"/>
      <c r="BU325" s="84"/>
      <c r="BV325" s="84"/>
      <c r="BW325" s="84"/>
      <c r="BX325" s="85">
        <f t="shared" si="27"/>
        <v>72701.207989509989</v>
      </c>
      <c r="BY325" s="85"/>
      <c r="BZ325" s="85"/>
      <c r="CA325" s="85"/>
      <c r="CB325" s="86"/>
    </row>
    <row r="326" spans="2:80" x14ac:dyDescent="0.2">
      <c r="B326" s="71" t="s">
        <v>448</v>
      </c>
      <c r="C326" s="72"/>
      <c r="D326" s="72"/>
      <c r="E326" s="72"/>
      <c r="F326" s="72"/>
      <c r="G326" s="72"/>
      <c r="H326" s="72"/>
      <c r="I326" s="72"/>
      <c r="J326" s="72"/>
      <c r="K326" s="72"/>
      <c r="L326" s="72"/>
      <c r="M326" s="72"/>
      <c r="N326" s="72"/>
      <c r="O326" s="120" t="s">
        <v>416</v>
      </c>
      <c r="P326" s="73"/>
      <c r="Q326" s="73"/>
      <c r="R326" s="73"/>
      <c r="S326" s="128"/>
      <c r="T326" s="129">
        <v>140</v>
      </c>
      <c r="U326" s="130"/>
      <c r="V326" s="26" t="s">
        <v>415</v>
      </c>
      <c r="W326" s="130">
        <v>140</v>
      </c>
      <c r="X326" s="130"/>
      <c r="Y326" s="26" t="s">
        <v>415</v>
      </c>
      <c r="Z326" s="130">
        <v>8</v>
      </c>
      <c r="AA326" s="131"/>
      <c r="AB326" s="129">
        <v>150</v>
      </c>
      <c r="AC326" s="130"/>
      <c r="AD326" s="26" t="s">
        <v>415</v>
      </c>
      <c r="AE326" s="130">
        <v>10</v>
      </c>
      <c r="AF326" s="131"/>
      <c r="AG326" s="13"/>
      <c r="AH326" s="11"/>
      <c r="AI326" s="11"/>
      <c r="AJ326" s="11"/>
      <c r="AK326" s="12"/>
      <c r="AL326" s="129" t="s">
        <v>281</v>
      </c>
      <c r="AM326" s="130"/>
      <c r="AN326" s="130"/>
      <c r="AO326" s="130"/>
      <c r="AP326" s="130"/>
      <c r="AQ326" s="131"/>
      <c r="AR326" s="129" t="s">
        <v>246</v>
      </c>
      <c r="AS326" s="130"/>
      <c r="AT326" s="130"/>
      <c r="AU326" s="130"/>
      <c r="AV326" s="131"/>
      <c r="AW326" s="146" t="s">
        <v>345</v>
      </c>
      <c r="AX326" s="146"/>
      <c r="AY326" s="146"/>
      <c r="AZ326" s="146"/>
      <c r="BA326" s="146"/>
      <c r="BB326" s="143" cm="1">
        <f t="array" ref="BB326">IF(O326="kutu profil",(((T326*W326-4*((2*Z326)*(2*Z326)-PI()*(2*Z326)^2/4))-((T326-2*Z326)*(W326-2*Z326)-4*((1*Z326)*(1*Z326)-PI()*(1*Z326)^2/4)))/1000000*7850),IF(O326="boru profil",((PI()*AB326^2/4-PI()*(AB326-2*AE326)^2/4)/1000000*7850),IF(O326="I profil",INDEX($CN$4:$CN$118,MATCH(AL326,$CM$4:$CM$118,0),0),IF(O326="U profil",INDEX($CU$4:$CU$28,MATCH(AR326,$CT$4:$CT$28,0),0),IF(O326="korniyer",INDEX($CR$4:$CR$176,MATCH(AW326,$CQ$4:$CQ$176,0),0),"hatalı")))))</f>
        <v>31.86460844749055</v>
      </c>
      <c r="BC326" s="143"/>
      <c r="BD326" s="143"/>
      <c r="BE326" s="63" cm="1">
        <f t="array" ref="BE326">INDEX(BN218:BN228,MATCH(C239,BM218:BM228,0),0)*2*2</f>
        <v>12</v>
      </c>
      <c r="BF326" s="63"/>
      <c r="BG326" s="63"/>
      <c r="BH326" s="83">
        <f>+AM207</f>
        <v>6</v>
      </c>
      <c r="BI326" s="83"/>
      <c r="BJ326" s="83"/>
      <c r="BK326" s="134">
        <f t="shared" si="24"/>
        <v>72</v>
      </c>
      <c r="BL326" s="135"/>
      <c r="BM326" s="136"/>
      <c r="BN326" s="83">
        <f t="shared" si="25"/>
        <v>2294.2518082193196</v>
      </c>
      <c r="BO326" s="83"/>
      <c r="BP326" s="83"/>
      <c r="BQ326" s="83"/>
      <c r="BR326" s="84">
        <v>28</v>
      </c>
      <c r="BS326" s="84"/>
      <c r="BT326" s="84"/>
      <c r="BU326" s="84"/>
      <c r="BV326" s="84"/>
      <c r="BW326" s="84"/>
      <c r="BX326" s="85">
        <f t="shared" si="27"/>
        <v>64239.050630140948</v>
      </c>
      <c r="BY326" s="85"/>
      <c r="BZ326" s="85"/>
      <c r="CA326" s="85"/>
      <c r="CB326" s="86"/>
    </row>
    <row r="327" spans="2:80" x14ac:dyDescent="0.2">
      <c r="B327" s="71" t="s">
        <v>284</v>
      </c>
      <c r="C327" s="72"/>
      <c r="D327" s="72"/>
      <c r="E327" s="72"/>
      <c r="F327" s="72"/>
      <c r="G327" s="72"/>
      <c r="H327" s="72"/>
      <c r="I327" s="72"/>
      <c r="J327" s="72"/>
      <c r="K327" s="72"/>
      <c r="L327" s="72"/>
      <c r="M327" s="72"/>
      <c r="N327" s="72"/>
      <c r="O327" s="120" t="s">
        <v>16</v>
      </c>
      <c r="P327" s="73"/>
      <c r="Q327" s="73"/>
      <c r="R327" s="73"/>
      <c r="S327" s="128"/>
      <c r="T327" s="129">
        <v>150</v>
      </c>
      <c r="U327" s="130"/>
      <c r="V327" s="26" t="s">
        <v>415</v>
      </c>
      <c r="W327" s="130">
        <v>150</v>
      </c>
      <c r="X327" s="130"/>
      <c r="Y327" s="26" t="s">
        <v>415</v>
      </c>
      <c r="Z327" s="130">
        <v>10</v>
      </c>
      <c r="AA327" s="131"/>
      <c r="AB327" s="129">
        <v>150</v>
      </c>
      <c r="AC327" s="130"/>
      <c r="AD327" s="26" t="s">
        <v>415</v>
      </c>
      <c r="AE327" s="130">
        <v>10</v>
      </c>
      <c r="AF327" s="131"/>
      <c r="AG327" s="13"/>
      <c r="AH327" s="11"/>
      <c r="AI327" s="11"/>
      <c r="AJ327" s="11"/>
      <c r="AK327" s="12"/>
      <c r="AL327" s="129" t="s">
        <v>446</v>
      </c>
      <c r="AM327" s="130"/>
      <c r="AN327" s="130"/>
      <c r="AO327" s="130"/>
      <c r="AP327" s="130"/>
      <c r="AQ327" s="131"/>
      <c r="AR327" s="129" t="s">
        <v>246</v>
      </c>
      <c r="AS327" s="130"/>
      <c r="AT327" s="130"/>
      <c r="AU327" s="130"/>
      <c r="AV327" s="131"/>
      <c r="AW327" s="146" t="s">
        <v>345</v>
      </c>
      <c r="AX327" s="146"/>
      <c r="AY327" s="146"/>
      <c r="AZ327" s="146"/>
      <c r="BA327" s="146"/>
      <c r="BB327" s="143" cm="1">
        <f t="array" ref="BB327">IF(O327="kutu profil",(((T327*W327-4*((2*Z327)*(2*Z327)-PI()*(2*Z327)^2/4))-((T327-2*Z327)*(W327-2*Z327)-4*((1*Z327)*(1*Z327)-PI()*(1*Z327)^2/4)))/1000000*7850),IF(O327="boru profil",((PI()*AB327^2/4-PI()*(AB327-2*AE327)^2/4)/1000000*7850),IF(O327="I profil",INDEX($CN$4:$CN$118,MATCH(AL327,$CM$4:$CM$118,0),0),IF(O327="U profil",INDEX($CU$4:$CU$28,MATCH(AR327,$CT$4:$CT$28,0),0),IF(O327="korniyer",INDEX($CR$4:$CR$176,MATCH(AW327,$CQ$4:$CQ$176,0),0),"hatalı")))))</f>
        <v>22.4</v>
      </c>
      <c r="BC327" s="143"/>
      <c r="BD327" s="143"/>
      <c r="BE327" s="63">
        <v>4</v>
      </c>
      <c r="BF327" s="63"/>
      <c r="BG327" s="63"/>
      <c r="BH327" s="83">
        <f>(AD269*TAN(AB198*PI()/180)+E201)+(2*AD269*TAN(AB198*PI()/180)+E201)+(3*AD269*TAN(AB198*PI()/180)+E201)</f>
        <v>25.9</v>
      </c>
      <c r="BI327" s="83"/>
      <c r="BJ327" s="83"/>
      <c r="BK327" s="134">
        <f t="shared" si="24"/>
        <v>103.6</v>
      </c>
      <c r="BL327" s="135"/>
      <c r="BM327" s="136"/>
      <c r="BN327" s="83">
        <f t="shared" si="25"/>
        <v>2320.64</v>
      </c>
      <c r="BO327" s="83"/>
      <c r="BP327" s="83"/>
      <c r="BQ327" s="83"/>
      <c r="BR327" s="84">
        <v>28</v>
      </c>
      <c r="BS327" s="84"/>
      <c r="BT327" s="84"/>
      <c r="BU327" s="84"/>
      <c r="BV327" s="84"/>
      <c r="BW327" s="84"/>
      <c r="BX327" s="85">
        <f t="shared" si="27"/>
        <v>64977.919999999998</v>
      </c>
      <c r="BY327" s="85"/>
      <c r="BZ327" s="85"/>
      <c r="CA327" s="85"/>
      <c r="CB327" s="86"/>
    </row>
    <row r="328" spans="2:80" x14ac:dyDescent="0.2">
      <c r="B328" s="71" t="s">
        <v>285</v>
      </c>
      <c r="C328" s="72"/>
      <c r="D328" s="72"/>
      <c r="E328" s="72"/>
      <c r="F328" s="72"/>
      <c r="G328" s="72"/>
      <c r="H328" s="72"/>
      <c r="I328" s="72"/>
      <c r="J328" s="72"/>
      <c r="K328" s="72"/>
      <c r="L328" s="72"/>
      <c r="M328" s="72"/>
      <c r="N328" s="72"/>
      <c r="O328" s="120" t="s">
        <v>416</v>
      </c>
      <c r="P328" s="73"/>
      <c r="Q328" s="73"/>
      <c r="R328" s="73"/>
      <c r="S328" s="128"/>
      <c r="T328" s="129">
        <v>150</v>
      </c>
      <c r="U328" s="130"/>
      <c r="V328" s="26" t="s">
        <v>415</v>
      </c>
      <c r="W328" s="130">
        <v>100</v>
      </c>
      <c r="X328" s="130"/>
      <c r="Y328" s="26" t="s">
        <v>415</v>
      </c>
      <c r="Z328" s="130">
        <v>5</v>
      </c>
      <c r="AA328" s="131"/>
      <c r="AB328" s="129">
        <v>150</v>
      </c>
      <c r="AC328" s="130"/>
      <c r="AD328" s="26" t="s">
        <v>415</v>
      </c>
      <c r="AE328" s="130">
        <v>10</v>
      </c>
      <c r="AF328" s="131"/>
      <c r="AG328" s="13"/>
      <c r="AH328" s="11"/>
      <c r="AI328" s="11"/>
      <c r="AJ328" s="11"/>
      <c r="AK328" s="12"/>
      <c r="AL328" s="129" t="s">
        <v>281</v>
      </c>
      <c r="AM328" s="130"/>
      <c r="AN328" s="130"/>
      <c r="AO328" s="130"/>
      <c r="AP328" s="130"/>
      <c r="AQ328" s="131"/>
      <c r="AR328" s="129" t="s">
        <v>246</v>
      </c>
      <c r="AS328" s="130"/>
      <c r="AT328" s="130"/>
      <c r="AU328" s="130"/>
      <c r="AV328" s="131"/>
      <c r="AW328" s="146" t="s">
        <v>345</v>
      </c>
      <c r="AX328" s="146"/>
      <c r="AY328" s="146"/>
      <c r="AZ328" s="146"/>
      <c r="BA328" s="146"/>
      <c r="BB328" s="143" cm="1">
        <f t="array" ref="BB328">IF(O328="kutu profil",(((T328*W328-4*((2*Z328)*(2*Z328)-PI()*(2*Z328)^2/4))-((T328-2*Z328)*(W328-2*Z328)-4*((1*Z328)*(1*Z328)-PI()*(1*Z328)^2/4)))/1000000*7850),IF(O328="boru profil",((PI()*AB328^2/4-PI()*(AB328-2*AE328)^2/4)/1000000*7850),IF(O328="I profil",INDEX($CN$4:$CN$118,MATCH(AL328,$CM$4:$CM$118,0),0),IF(O328="U profil",INDEX($CU$4:$CU$28,MATCH(AR328,$CT$4:$CT$28,0),0),IF(O328="korniyer",INDEX($CR$4:$CR$176,MATCH(AW328,$CQ$4:$CQ$176,0),0),"hatalı")))))</f>
        <v>18.334612674801001</v>
      </c>
      <c r="BC328" s="143"/>
      <c r="BD328" s="143"/>
      <c r="BE328" s="63">
        <v>2</v>
      </c>
      <c r="BF328" s="63"/>
      <c r="BG328" s="63"/>
      <c r="BH328" s="83">
        <f>+E201+E195-AH264</f>
        <v>4.6999999999999993</v>
      </c>
      <c r="BI328" s="83"/>
      <c r="BJ328" s="83"/>
      <c r="BK328" s="134">
        <f t="shared" si="24"/>
        <v>9.3999999999999986</v>
      </c>
      <c r="BL328" s="135"/>
      <c r="BM328" s="136"/>
      <c r="BN328" s="83">
        <f t="shared" si="25"/>
        <v>172.34535914312937</v>
      </c>
      <c r="BO328" s="83"/>
      <c r="BP328" s="83"/>
      <c r="BQ328" s="83"/>
      <c r="BR328" s="84">
        <v>28</v>
      </c>
      <c r="BS328" s="84"/>
      <c r="BT328" s="84"/>
      <c r="BU328" s="84"/>
      <c r="BV328" s="84"/>
      <c r="BW328" s="84"/>
      <c r="BX328" s="85">
        <f t="shared" si="27"/>
        <v>4825.6700560076224</v>
      </c>
      <c r="BY328" s="85"/>
      <c r="BZ328" s="85"/>
      <c r="CA328" s="85"/>
      <c r="CB328" s="86"/>
    </row>
    <row r="329" spans="2:80" x14ac:dyDescent="0.2">
      <c r="B329" s="71" t="s">
        <v>286</v>
      </c>
      <c r="C329" s="72"/>
      <c r="D329" s="72"/>
      <c r="E329" s="72"/>
      <c r="F329" s="72"/>
      <c r="G329" s="72"/>
      <c r="H329" s="72"/>
      <c r="I329" s="72"/>
      <c r="J329" s="72"/>
      <c r="K329" s="72"/>
      <c r="L329" s="72"/>
      <c r="M329" s="72"/>
      <c r="N329" s="72"/>
      <c r="O329" s="120" t="s">
        <v>416</v>
      </c>
      <c r="P329" s="73"/>
      <c r="Q329" s="73"/>
      <c r="R329" s="73"/>
      <c r="S329" s="128"/>
      <c r="T329" s="129">
        <v>100</v>
      </c>
      <c r="U329" s="130"/>
      <c r="V329" s="26" t="s">
        <v>415</v>
      </c>
      <c r="W329" s="130">
        <v>100</v>
      </c>
      <c r="X329" s="130"/>
      <c r="Y329" s="26" t="s">
        <v>415</v>
      </c>
      <c r="Z329" s="130">
        <v>5</v>
      </c>
      <c r="AA329" s="131"/>
      <c r="AB329" s="129">
        <v>150</v>
      </c>
      <c r="AC329" s="130"/>
      <c r="AD329" s="26" t="s">
        <v>415</v>
      </c>
      <c r="AE329" s="130">
        <v>10</v>
      </c>
      <c r="AF329" s="131"/>
      <c r="AG329" s="13"/>
      <c r="AH329" s="11"/>
      <c r="AI329" s="11"/>
      <c r="AJ329" s="11"/>
      <c r="AK329" s="12"/>
      <c r="AL329" s="129" t="s">
        <v>281</v>
      </c>
      <c r="AM329" s="130"/>
      <c r="AN329" s="130"/>
      <c r="AO329" s="130"/>
      <c r="AP329" s="130"/>
      <c r="AQ329" s="131"/>
      <c r="AR329" s="129" t="s">
        <v>246</v>
      </c>
      <c r="AS329" s="130"/>
      <c r="AT329" s="130"/>
      <c r="AU329" s="130"/>
      <c r="AV329" s="131"/>
      <c r="AW329" s="146" t="s">
        <v>345</v>
      </c>
      <c r="AX329" s="146"/>
      <c r="AY329" s="146"/>
      <c r="AZ329" s="146"/>
      <c r="BA329" s="146"/>
      <c r="BB329" s="143" cm="1">
        <f t="array" ref="BB329">IF(O329="kutu profil",(((T329*W329-4*((2*Z329)*(2*Z329)-PI()*(2*Z329)^2/4))-((T329-2*Z329)*(W329-2*Z329)-4*((1*Z329)*(1*Z329)-PI()*(1*Z329)^2/4)))/1000000*7850),IF(O329="boru profil",((PI()*AB329^2/4-PI()*(AB329-2*AE329)^2/4)/1000000*7850),IF(O329="I profil",INDEX($CN$4:$CN$118,MATCH(AL329,$CM$4:$CM$118,0),0),IF(O329="U profil",INDEX($CU$4:$CU$28,MATCH(AR329,$CT$4:$CT$28,0),0),IF(O329="korniyer",INDEX($CR$4:$CR$176,MATCH(AW329,$CQ$4:$CQ$176,0),0),"hatalı")))))</f>
        <v>14.409612674800993</v>
      </c>
      <c r="BC329" s="143"/>
      <c r="BD329" s="143"/>
      <c r="BE329" s="63">
        <f>6*3*2</f>
        <v>36</v>
      </c>
      <c r="BF329" s="63"/>
      <c r="BG329" s="63"/>
      <c r="BH329" s="83">
        <f>+AD269</f>
        <v>3.1666666666666665</v>
      </c>
      <c r="BI329" s="83"/>
      <c r="BJ329" s="83"/>
      <c r="BK329" s="134">
        <f t="shared" si="24"/>
        <v>114</v>
      </c>
      <c r="BL329" s="135"/>
      <c r="BM329" s="136"/>
      <c r="BN329" s="83">
        <f t="shared" si="25"/>
        <v>1642.6958449273131</v>
      </c>
      <c r="BO329" s="83"/>
      <c r="BP329" s="83"/>
      <c r="BQ329" s="83"/>
      <c r="BR329" s="84">
        <v>28</v>
      </c>
      <c r="BS329" s="84"/>
      <c r="BT329" s="84"/>
      <c r="BU329" s="84"/>
      <c r="BV329" s="84"/>
      <c r="BW329" s="84"/>
      <c r="BX329" s="85">
        <f t="shared" si="27"/>
        <v>45995.483657964767</v>
      </c>
      <c r="BY329" s="85"/>
      <c r="BZ329" s="85"/>
      <c r="CA329" s="85"/>
      <c r="CB329" s="86"/>
    </row>
    <row r="330" spans="2:80" x14ac:dyDescent="0.2">
      <c r="B330" s="71" t="s">
        <v>287</v>
      </c>
      <c r="C330" s="72"/>
      <c r="D330" s="72"/>
      <c r="E330" s="72"/>
      <c r="F330" s="72"/>
      <c r="G330" s="72"/>
      <c r="H330" s="72"/>
      <c r="I330" s="72"/>
      <c r="J330" s="72"/>
      <c r="K330" s="72"/>
      <c r="L330" s="72"/>
      <c r="M330" s="72"/>
      <c r="N330" s="72"/>
      <c r="O330" s="120" t="s">
        <v>416</v>
      </c>
      <c r="P330" s="73"/>
      <c r="Q330" s="73"/>
      <c r="R330" s="73"/>
      <c r="S330" s="128"/>
      <c r="T330" s="129">
        <v>150</v>
      </c>
      <c r="U330" s="130"/>
      <c r="V330" s="26" t="s">
        <v>415</v>
      </c>
      <c r="W330" s="130">
        <v>150</v>
      </c>
      <c r="X330" s="130"/>
      <c r="Y330" s="26" t="s">
        <v>415</v>
      </c>
      <c r="Z330" s="130">
        <v>5</v>
      </c>
      <c r="AA330" s="131"/>
      <c r="AB330" s="129">
        <v>150</v>
      </c>
      <c r="AC330" s="130"/>
      <c r="AD330" s="26" t="s">
        <v>415</v>
      </c>
      <c r="AE330" s="130">
        <v>10</v>
      </c>
      <c r="AF330" s="131"/>
      <c r="AG330" s="13"/>
      <c r="AH330" s="11"/>
      <c r="AI330" s="11"/>
      <c r="AJ330" s="11"/>
      <c r="AK330" s="12"/>
      <c r="AL330" s="129" t="s">
        <v>281</v>
      </c>
      <c r="AM330" s="130"/>
      <c r="AN330" s="130"/>
      <c r="AO330" s="130"/>
      <c r="AP330" s="130"/>
      <c r="AQ330" s="131"/>
      <c r="AR330" s="129" t="s">
        <v>246</v>
      </c>
      <c r="AS330" s="130"/>
      <c r="AT330" s="130"/>
      <c r="AU330" s="130"/>
      <c r="AV330" s="131"/>
      <c r="AW330" s="146" t="s">
        <v>345</v>
      </c>
      <c r="AX330" s="146"/>
      <c r="AY330" s="146"/>
      <c r="AZ330" s="146"/>
      <c r="BA330" s="146"/>
      <c r="BB330" s="143" cm="1">
        <f t="array" ref="BB330">IF(O330="kutu profil",(((T330*W330-4*((2*Z330)*(2*Z330)-PI()*(2*Z330)^2/4))-((T330-2*Z330)*(W330-2*Z330)-4*((1*Z330)*(1*Z330)-PI()*(1*Z330)^2/4)))/1000000*7850),IF(O330="boru profil",((PI()*AB330^2/4-PI()*(AB330-2*AE330)^2/4)/1000000*7850),IF(O330="I profil",INDEX($CN$4:$CN$118,MATCH(AL330,$CM$4:$CM$118,0),0),IF(O330="U profil",INDEX($CU$4:$CU$28,MATCH(AR330,$CT$4:$CT$28,0),0),IF(O330="korniyer",INDEX($CR$4:$CR$176,MATCH(AW330,$CQ$4:$CQ$176,0),0),"hatalı")))))</f>
        <v>22.259612674800998</v>
      </c>
      <c r="BC330" s="143"/>
      <c r="BD330" s="143"/>
      <c r="BE330" s="63">
        <f>IF((D263+D266)&lt;AH264,4,8)</f>
        <v>8</v>
      </c>
      <c r="BF330" s="63"/>
      <c r="BG330" s="63"/>
      <c r="BH330" s="83">
        <f>+S269/2</f>
        <v>2.5</v>
      </c>
      <c r="BI330" s="83"/>
      <c r="BJ330" s="83"/>
      <c r="BK330" s="134">
        <f t="shared" si="24"/>
        <v>20</v>
      </c>
      <c r="BL330" s="135"/>
      <c r="BM330" s="136"/>
      <c r="BN330" s="83">
        <f t="shared" si="25"/>
        <v>445.19225349601993</v>
      </c>
      <c r="BO330" s="83"/>
      <c r="BP330" s="83"/>
      <c r="BQ330" s="83"/>
      <c r="BR330" s="84">
        <v>28</v>
      </c>
      <c r="BS330" s="84"/>
      <c r="BT330" s="84"/>
      <c r="BU330" s="84"/>
      <c r="BV330" s="84"/>
      <c r="BW330" s="84"/>
      <c r="BX330" s="85">
        <f t="shared" si="27"/>
        <v>12465.383097888558</v>
      </c>
      <c r="BY330" s="85"/>
      <c r="BZ330" s="85"/>
      <c r="CA330" s="85"/>
      <c r="CB330" s="86"/>
    </row>
    <row r="331" spans="2:80" x14ac:dyDescent="0.2">
      <c r="B331" s="71" t="s">
        <v>555</v>
      </c>
      <c r="C331" s="72"/>
      <c r="D331" s="72"/>
      <c r="E331" s="72"/>
      <c r="F331" s="72"/>
      <c r="G331" s="72"/>
      <c r="H331" s="72"/>
      <c r="I331" s="72"/>
      <c r="J331" s="72"/>
      <c r="K331" s="72"/>
      <c r="L331" s="72"/>
      <c r="M331" s="72"/>
      <c r="N331" s="72"/>
      <c r="O331" s="120" t="s">
        <v>416</v>
      </c>
      <c r="P331" s="73"/>
      <c r="Q331" s="73"/>
      <c r="R331" s="73"/>
      <c r="S331" s="128"/>
      <c r="T331" s="129">
        <v>100</v>
      </c>
      <c r="U331" s="130"/>
      <c r="V331" s="26" t="s">
        <v>415</v>
      </c>
      <c r="W331" s="130">
        <v>100</v>
      </c>
      <c r="X331" s="130"/>
      <c r="Y331" s="26" t="s">
        <v>415</v>
      </c>
      <c r="Z331" s="130">
        <v>3</v>
      </c>
      <c r="AA331" s="131"/>
      <c r="AB331" s="129">
        <v>150</v>
      </c>
      <c r="AC331" s="130"/>
      <c r="AD331" s="26" t="s">
        <v>415</v>
      </c>
      <c r="AE331" s="130">
        <v>10</v>
      </c>
      <c r="AF331" s="131"/>
      <c r="AG331" s="13"/>
      <c r="AH331" s="11"/>
      <c r="AI331" s="11"/>
      <c r="AJ331" s="11"/>
      <c r="AK331" s="12"/>
      <c r="AL331" s="129" t="s">
        <v>281</v>
      </c>
      <c r="AM331" s="130"/>
      <c r="AN331" s="130"/>
      <c r="AO331" s="130"/>
      <c r="AP331" s="130"/>
      <c r="AQ331" s="131"/>
      <c r="AR331" s="129" t="s">
        <v>246</v>
      </c>
      <c r="AS331" s="130"/>
      <c r="AT331" s="130"/>
      <c r="AU331" s="130"/>
      <c r="AV331" s="131"/>
      <c r="AW331" s="146" t="s">
        <v>345</v>
      </c>
      <c r="AX331" s="146"/>
      <c r="AY331" s="146"/>
      <c r="AZ331" s="146"/>
      <c r="BA331" s="146"/>
      <c r="BB331" s="143" cm="1">
        <f t="array" ref="BB331">IF(O331="kutu profil",(((T331*W331-4*((2*Z331)*(2*Z331)-PI()*(2*Z331)^2/4))-((T331-2*Z331)*(W331-2*Z331)-4*((1*Z331)*(1*Z331)-PI()*(1*Z331)^2/4)))/1000000*7850),IF(O331="boru profil",((PI()*AB331^2/4-PI()*(AB331-2*AE331)^2/4)/1000000*7850),IF(O331="I profil",INDEX($CN$4:$CN$118,MATCH(AL331,$CM$4:$CM$118,0),0),IF(O331="U profil",INDEX($CU$4:$CU$28,MATCH(AR331,$CT$4:$CT$28,0),0),IF(O331="korniyer",INDEX($CR$4:$CR$176,MATCH(AW331,$CQ$4:$CQ$176,0),0),"hatalı")))))</f>
        <v>8.955460562928355</v>
      </c>
      <c r="BC331" s="143"/>
      <c r="BD331" s="143"/>
      <c r="BE331" s="63">
        <v>2</v>
      </c>
      <c r="BF331" s="63"/>
      <c r="BG331" s="63"/>
      <c r="BH331" s="83">
        <f>2*(S269+AH264+SQRT(S269^2+AH264^2))</f>
        <v>32.45362404707371</v>
      </c>
      <c r="BI331" s="83"/>
      <c r="BJ331" s="83"/>
      <c r="BK331" s="134">
        <f t="shared" si="24"/>
        <v>64.90724809414742</v>
      </c>
      <c r="BL331" s="135"/>
      <c r="BM331" s="136"/>
      <c r="BN331" s="83">
        <f t="shared" si="25"/>
        <v>581.27430055534387</v>
      </c>
      <c r="BO331" s="83"/>
      <c r="BP331" s="83"/>
      <c r="BQ331" s="83"/>
      <c r="BR331" s="84">
        <v>28</v>
      </c>
      <c r="BS331" s="84"/>
      <c r="BT331" s="84"/>
      <c r="BU331" s="84"/>
      <c r="BV331" s="84"/>
      <c r="BW331" s="84"/>
      <c r="BX331" s="85">
        <f t="shared" si="27"/>
        <v>16275.680415549628</v>
      </c>
      <c r="BY331" s="85"/>
      <c r="BZ331" s="85"/>
      <c r="CA331" s="85"/>
      <c r="CB331" s="86"/>
    </row>
    <row r="332" spans="2:80" x14ac:dyDescent="0.2">
      <c r="B332" s="41" t="s">
        <v>434</v>
      </c>
      <c r="C332" s="42"/>
      <c r="D332" s="42"/>
      <c r="E332" s="42"/>
      <c r="F332" s="42"/>
      <c r="G332" s="42"/>
      <c r="H332" s="42"/>
      <c r="I332" s="42"/>
      <c r="J332" s="73" t="s">
        <v>438</v>
      </c>
      <c r="K332" s="73"/>
      <c r="L332" s="73"/>
      <c r="M332" s="73"/>
      <c r="N332" s="43"/>
      <c r="O332" s="120" t="s">
        <v>382</v>
      </c>
      <c r="P332" s="73"/>
      <c r="Q332" s="73"/>
      <c r="R332" s="73"/>
      <c r="S332" s="128"/>
      <c r="T332" s="129">
        <v>150</v>
      </c>
      <c r="U332" s="130"/>
      <c r="V332" s="26" t="s">
        <v>415</v>
      </c>
      <c r="W332" s="130">
        <v>150</v>
      </c>
      <c r="X332" s="130"/>
      <c r="Y332" s="26" t="s">
        <v>415</v>
      </c>
      <c r="Z332" s="130">
        <v>10</v>
      </c>
      <c r="AA332" s="131"/>
      <c r="AB332" s="129">
        <v>150</v>
      </c>
      <c r="AC332" s="130"/>
      <c r="AD332" s="26" t="s">
        <v>415</v>
      </c>
      <c r="AE332" s="130">
        <v>10</v>
      </c>
      <c r="AF332" s="131"/>
      <c r="AG332" s="13"/>
      <c r="AH332" s="11"/>
      <c r="AI332" s="11"/>
      <c r="AJ332" s="11"/>
      <c r="AK332" s="12"/>
      <c r="AL332" s="129" t="s">
        <v>281</v>
      </c>
      <c r="AM332" s="130"/>
      <c r="AN332" s="130"/>
      <c r="AO332" s="130"/>
      <c r="AP332" s="130"/>
      <c r="AQ332" s="131"/>
      <c r="AR332" s="129" t="s">
        <v>246</v>
      </c>
      <c r="AS332" s="130"/>
      <c r="AT332" s="130"/>
      <c r="AU332" s="130"/>
      <c r="AV332" s="131"/>
      <c r="AW332" s="146" t="s">
        <v>189</v>
      </c>
      <c r="AX332" s="146"/>
      <c r="AY332" s="146"/>
      <c r="AZ332" s="146"/>
      <c r="BA332" s="146"/>
      <c r="BB332" s="143" cm="1">
        <f t="array" ref="BB332">IF(O332="kutu profil",(((T332*W332-4*((2*Z332)*(2*Z332)-PI()*(2*Z332)^2/4))-((T332-2*Z332)*(W332-2*Z332)-4*((1*Z332)*(1*Z332)-PI()*(1*Z332)^2/4)))/1000000*7850),IF(O332="boru profil",((PI()*AB332^2/4-PI()*(AB332-2*AE332)^2/4)/1000000*7850),IF(O332="I profil",INDEX($CN$4:$CN$118,MATCH(AL332,$CM$4:$CM$118,0),0),IF(O332="U profil",INDEX($CU$4:$CU$28,MATCH(AR332,$CT$4:$CT$28,0),0),IF(O332="korniyer",INDEX($CR$4:$CR$176,MATCH(AW332,$CQ$4:$CQ$176,0),0),"hatalı")))))</f>
        <v>11.9</v>
      </c>
      <c r="BC332" s="143"/>
      <c r="BD332" s="143"/>
      <c r="BE332" s="63">
        <f>IF(J332="tek çubuk",1,2)*C239*2</f>
        <v>14</v>
      </c>
      <c r="BF332" s="63"/>
      <c r="BG332" s="63"/>
      <c r="BH332" s="83">
        <f>BB219</f>
        <v>6</v>
      </c>
      <c r="BI332" s="83"/>
      <c r="BJ332" s="83"/>
      <c r="BK332" s="134">
        <f t="shared" si="24"/>
        <v>84</v>
      </c>
      <c r="BL332" s="135"/>
      <c r="BM332" s="136"/>
      <c r="BN332" s="83">
        <f t="shared" si="25"/>
        <v>999.6</v>
      </c>
      <c r="BO332" s="83"/>
      <c r="BP332" s="83"/>
      <c r="BQ332" s="83"/>
      <c r="BR332" s="84">
        <v>28</v>
      </c>
      <c r="BS332" s="84"/>
      <c r="BT332" s="84"/>
      <c r="BU332" s="84"/>
      <c r="BV332" s="84"/>
      <c r="BW332" s="84"/>
      <c r="BX332" s="85">
        <f t="shared" si="27"/>
        <v>27988.799999999999</v>
      </c>
      <c r="BY332" s="85"/>
      <c r="BZ332" s="85"/>
      <c r="CA332" s="85"/>
      <c r="CB332" s="86"/>
    </row>
    <row r="333" spans="2:80" x14ac:dyDescent="0.2">
      <c r="B333" s="41" t="s">
        <v>436</v>
      </c>
      <c r="C333" s="42"/>
      <c r="D333" s="42"/>
      <c r="E333" s="42"/>
      <c r="F333" s="42"/>
      <c r="G333" s="42"/>
      <c r="H333" s="42"/>
      <c r="I333" s="42"/>
      <c r="J333" s="73" t="s">
        <v>438</v>
      </c>
      <c r="K333" s="73"/>
      <c r="L333" s="73"/>
      <c r="M333" s="73"/>
      <c r="N333" s="43"/>
      <c r="O333" s="120" t="s">
        <v>382</v>
      </c>
      <c r="P333" s="73"/>
      <c r="Q333" s="73"/>
      <c r="R333" s="73"/>
      <c r="S333" s="128"/>
      <c r="T333" s="129">
        <v>150</v>
      </c>
      <c r="U333" s="130"/>
      <c r="V333" s="26" t="s">
        <v>415</v>
      </c>
      <c r="W333" s="130">
        <v>150</v>
      </c>
      <c r="X333" s="130"/>
      <c r="Y333" s="26" t="s">
        <v>415</v>
      </c>
      <c r="Z333" s="130">
        <v>10</v>
      </c>
      <c r="AA333" s="131"/>
      <c r="AB333" s="129">
        <v>150</v>
      </c>
      <c r="AC333" s="130"/>
      <c r="AD333" s="26" t="s">
        <v>415</v>
      </c>
      <c r="AE333" s="130">
        <v>10</v>
      </c>
      <c r="AF333" s="131"/>
      <c r="AG333" s="13"/>
      <c r="AH333" s="11"/>
      <c r="AI333" s="11"/>
      <c r="AJ333" s="11"/>
      <c r="AK333" s="12"/>
      <c r="AL333" s="129" t="s">
        <v>281</v>
      </c>
      <c r="AM333" s="130"/>
      <c r="AN333" s="130"/>
      <c r="AO333" s="130"/>
      <c r="AP333" s="130"/>
      <c r="AQ333" s="131"/>
      <c r="AR333" s="129" t="s">
        <v>246</v>
      </c>
      <c r="AS333" s="130"/>
      <c r="AT333" s="130"/>
      <c r="AU333" s="130"/>
      <c r="AV333" s="131"/>
      <c r="AW333" s="146" t="s">
        <v>189</v>
      </c>
      <c r="AX333" s="146"/>
      <c r="AY333" s="146"/>
      <c r="AZ333" s="146"/>
      <c r="BA333" s="146"/>
      <c r="BB333" s="143" cm="1">
        <f t="array" ref="BB333">IF(O333="kutu profil",(((T333*W333-4*((2*Z333)*(2*Z333)-PI()*(2*Z333)^2/4))-((T333-2*Z333)*(W333-2*Z333)-4*((1*Z333)*(1*Z333)-PI()*(1*Z333)^2/4)))/1000000*7850),IF(O333="boru profil",((PI()*AB333^2/4-PI()*(AB333-2*AE333)^2/4)/1000000*7850),IF(O333="I profil",INDEX($CN$4:$CN$118,MATCH(AL333,$CM$4:$CM$118,0),0),IF(O333="U profil",INDEX($CU$4:$CU$28,MATCH(AR333,$CT$4:$CT$28,0),0),IF(O333="korniyer",INDEX($CR$4:$CR$176,MATCH(AW333,$CQ$4:$CQ$176,0),0),"hatalı")))))</f>
        <v>11.9</v>
      </c>
      <c r="BC333" s="143"/>
      <c r="BD333" s="143"/>
      <c r="BE333" s="63">
        <f>IF(J333="tek çubuk",1,2)*C239*2</f>
        <v>14</v>
      </c>
      <c r="BF333" s="63"/>
      <c r="BG333" s="63"/>
      <c r="BH333" s="83">
        <f>+BB219</f>
        <v>6</v>
      </c>
      <c r="BI333" s="83"/>
      <c r="BJ333" s="83"/>
      <c r="BK333" s="134">
        <f t="shared" si="24"/>
        <v>84</v>
      </c>
      <c r="BL333" s="135"/>
      <c r="BM333" s="136"/>
      <c r="BN333" s="83">
        <f t="shared" si="25"/>
        <v>999.6</v>
      </c>
      <c r="BO333" s="83"/>
      <c r="BP333" s="83"/>
      <c r="BQ333" s="83"/>
      <c r="BR333" s="84">
        <v>28</v>
      </c>
      <c r="BS333" s="84"/>
      <c r="BT333" s="84"/>
      <c r="BU333" s="84"/>
      <c r="BV333" s="84"/>
      <c r="BW333" s="84"/>
      <c r="BX333" s="85">
        <f t="shared" si="27"/>
        <v>27988.799999999999</v>
      </c>
      <c r="BY333" s="85"/>
      <c r="BZ333" s="85"/>
      <c r="CA333" s="85"/>
      <c r="CB333" s="86"/>
    </row>
    <row r="334" spans="2:80" x14ac:dyDescent="0.2">
      <c r="B334" s="41" t="s">
        <v>437</v>
      </c>
      <c r="C334" s="42"/>
      <c r="D334" s="42"/>
      <c r="E334" s="42"/>
      <c r="F334" s="42"/>
      <c r="G334" s="42"/>
      <c r="H334" s="42"/>
      <c r="I334" s="42"/>
      <c r="J334" s="73" t="s">
        <v>438</v>
      </c>
      <c r="K334" s="73"/>
      <c r="L334" s="73"/>
      <c r="M334" s="73"/>
      <c r="N334" s="43"/>
      <c r="O334" s="120" t="s">
        <v>382</v>
      </c>
      <c r="P334" s="73"/>
      <c r="Q334" s="73"/>
      <c r="R334" s="73"/>
      <c r="S334" s="128"/>
      <c r="T334" s="129">
        <v>150</v>
      </c>
      <c r="U334" s="130"/>
      <c r="V334" s="26" t="s">
        <v>415</v>
      </c>
      <c r="W334" s="130">
        <v>150</v>
      </c>
      <c r="X334" s="130"/>
      <c r="Y334" s="26" t="s">
        <v>415</v>
      </c>
      <c r="Z334" s="130">
        <v>10</v>
      </c>
      <c r="AA334" s="131"/>
      <c r="AB334" s="129">
        <v>150</v>
      </c>
      <c r="AC334" s="130"/>
      <c r="AD334" s="26" t="s">
        <v>415</v>
      </c>
      <c r="AE334" s="130">
        <v>10</v>
      </c>
      <c r="AF334" s="131"/>
      <c r="AG334" s="13"/>
      <c r="AH334" s="11"/>
      <c r="AI334" s="11"/>
      <c r="AJ334" s="11"/>
      <c r="AK334" s="12"/>
      <c r="AL334" s="129" t="s">
        <v>281</v>
      </c>
      <c r="AM334" s="130"/>
      <c r="AN334" s="130"/>
      <c r="AO334" s="130"/>
      <c r="AP334" s="130"/>
      <c r="AQ334" s="131"/>
      <c r="AR334" s="129" t="s">
        <v>246</v>
      </c>
      <c r="AS334" s="130"/>
      <c r="AT334" s="130"/>
      <c r="AU334" s="130"/>
      <c r="AV334" s="131"/>
      <c r="AW334" s="146" t="s">
        <v>192</v>
      </c>
      <c r="AX334" s="146"/>
      <c r="AY334" s="146"/>
      <c r="AZ334" s="146"/>
      <c r="BA334" s="146"/>
      <c r="BB334" s="143" cm="1">
        <f t="array" ref="BB334">IF(O334="kutu profil",(((T334*W334-4*((2*Z334)*(2*Z334)-PI()*(2*Z334)^2/4))-((T334-2*Z334)*(W334-2*Z334)-4*((1*Z334)*(1*Z334)-PI()*(1*Z334)^2/4)))/1000000*7850),IF(O334="boru profil",((PI()*AB334^2/4-PI()*(AB334-2*AE334)^2/4)/1000000*7850),IF(O334="I profil",INDEX($CN$4:$CN$118,MATCH(AL334,$CM$4:$CM$118,0),0),IF(O334="U profil",INDEX($CU$4:$CU$28,MATCH(AR334,$CT$4:$CT$28,0),0),IF(O334="korniyer",INDEX($CR$4:$CR$176,MATCH(AW334,$CQ$4:$CQ$176,0),0),"hatalı")))))</f>
        <v>10.9</v>
      </c>
      <c r="BC334" s="143"/>
      <c r="BD334" s="143"/>
      <c r="BE334" s="63">
        <f>IF(J334="tek çubuk",1,2)*C239*2</f>
        <v>14</v>
      </c>
      <c r="BF334" s="63"/>
      <c r="BG334" s="63"/>
      <c r="BH334" s="83">
        <f>SQRT(AS225^2+AW221^2)*BE230</f>
        <v>6.4621977685614045</v>
      </c>
      <c r="BI334" s="83"/>
      <c r="BJ334" s="83"/>
      <c r="BK334" s="134">
        <f t="shared" si="24"/>
        <v>90.470768759859666</v>
      </c>
      <c r="BL334" s="135"/>
      <c r="BM334" s="136"/>
      <c r="BN334" s="83">
        <f t="shared" si="25"/>
        <v>986.13137948247038</v>
      </c>
      <c r="BO334" s="83"/>
      <c r="BP334" s="83"/>
      <c r="BQ334" s="83"/>
      <c r="BR334" s="84">
        <v>28</v>
      </c>
      <c r="BS334" s="84"/>
      <c r="BT334" s="84"/>
      <c r="BU334" s="84"/>
      <c r="BV334" s="84"/>
      <c r="BW334" s="84"/>
      <c r="BX334" s="85">
        <f t="shared" si="27"/>
        <v>27611.678625509172</v>
      </c>
      <c r="BY334" s="85"/>
      <c r="BZ334" s="85"/>
      <c r="CA334" s="85"/>
      <c r="CB334" s="86"/>
    </row>
    <row r="335" spans="2:80" x14ac:dyDescent="0.2">
      <c r="B335" s="41" t="s">
        <v>439</v>
      </c>
      <c r="C335" s="42"/>
      <c r="D335" s="42"/>
      <c r="E335" s="42"/>
      <c r="F335" s="42"/>
      <c r="G335" s="42"/>
      <c r="H335" s="42"/>
      <c r="I335" s="42"/>
      <c r="J335" s="73" t="s">
        <v>438</v>
      </c>
      <c r="K335" s="73"/>
      <c r="L335" s="73"/>
      <c r="M335" s="73"/>
      <c r="N335" s="43"/>
      <c r="O335" s="120" t="s">
        <v>382</v>
      </c>
      <c r="P335" s="73"/>
      <c r="Q335" s="73"/>
      <c r="R335" s="73"/>
      <c r="S335" s="128"/>
      <c r="T335" s="129">
        <v>150</v>
      </c>
      <c r="U335" s="130"/>
      <c r="V335" s="26" t="s">
        <v>415</v>
      </c>
      <c r="W335" s="130">
        <v>150</v>
      </c>
      <c r="X335" s="130"/>
      <c r="Y335" s="26" t="s">
        <v>415</v>
      </c>
      <c r="Z335" s="130">
        <v>10</v>
      </c>
      <c r="AA335" s="131"/>
      <c r="AB335" s="129">
        <v>150</v>
      </c>
      <c r="AC335" s="130"/>
      <c r="AD335" s="26" t="s">
        <v>415</v>
      </c>
      <c r="AE335" s="130">
        <v>10</v>
      </c>
      <c r="AF335" s="131"/>
      <c r="AG335" s="13"/>
      <c r="AH335" s="11"/>
      <c r="AI335" s="11"/>
      <c r="AJ335" s="11"/>
      <c r="AK335" s="12"/>
      <c r="AL335" s="129" t="s">
        <v>281</v>
      </c>
      <c r="AM335" s="130"/>
      <c r="AN335" s="130"/>
      <c r="AO335" s="130"/>
      <c r="AP335" s="130"/>
      <c r="AQ335" s="131"/>
      <c r="AR335" s="129" t="s">
        <v>246</v>
      </c>
      <c r="AS335" s="130"/>
      <c r="AT335" s="130"/>
      <c r="AU335" s="130"/>
      <c r="AV335" s="131"/>
      <c r="AW335" s="146" t="s">
        <v>192</v>
      </c>
      <c r="AX335" s="146"/>
      <c r="AY335" s="146"/>
      <c r="AZ335" s="146"/>
      <c r="BA335" s="146"/>
      <c r="BB335" s="143" cm="1">
        <f t="array" ref="BB335">IF(O335="kutu profil",(((T335*W335-4*((2*Z335)*(2*Z335)-PI()*(2*Z335)^2/4))-((T335-2*Z335)*(W335-2*Z335)-4*((1*Z335)*(1*Z335)-PI()*(1*Z335)^2/4)))/1000000*7850),IF(O335="boru profil",((PI()*AB335^2/4-PI()*(AB335-2*AE335)^2/4)/1000000*7850),IF(O335="I profil",INDEX($CN$4:$CN$118,MATCH(AL335,$CM$4:$CM$118,0),0),IF(O335="U profil",INDEX($CU$4:$CU$28,MATCH(AR335,$CT$4:$CT$28,0),0),IF(O335="korniyer",INDEX($CR$4:$CR$176,MATCH(AW335,$CQ$4:$CQ$176,0),0),"hatalı")))))</f>
        <v>10.9</v>
      </c>
      <c r="BC335" s="143"/>
      <c r="BD335" s="143"/>
      <c r="BE335" s="63">
        <f>IF(J335="tek çubuk",1,2)*C239*2</f>
        <v>14</v>
      </c>
      <c r="BF335" s="63"/>
      <c r="BG335" s="63"/>
      <c r="BH335" s="83">
        <f>AS225*(BE230-1)</f>
        <v>1.7999999999999998</v>
      </c>
      <c r="BI335" s="83"/>
      <c r="BJ335" s="83"/>
      <c r="BK335" s="134">
        <f t="shared" si="24"/>
        <v>25.199999999999996</v>
      </c>
      <c r="BL335" s="135"/>
      <c r="BM335" s="136"/>
      <c r="BN335" s="83">
        <f t="shared" si="25"/>
        <v>274.67999999999995</v>
      </c>
      <c r="BO335" s="83"/>
      <c r="BP335" s="83"/>
      <c r="BQ335" s="83"/>
      <c r="BR335" s="84">
        <v>28</v>
      </c>
      <c r="BS335" s="84"/>
      <c r="BT335" s="84"/>
      <c r="BU335" s="84"/>
      <c r="BV335" s="84"/>
      <c r="BW335" s="84"/>
      <c r="BX335" s="85">
        <f t="shared" si="27"/>
        <v>7691.0399999999991</v>
      </c>
      <c r="BY335" s="85"/>
      <c r="BZ335" s="85"/>
      <c r="CA335" s="85"/>
      <c r="CB335" s="86"/>
    </row>
    <row r="336" spans="2:80" x14ac:dyDescent="0.2">
      <c r="B336" s="41" t="s">
        <v>554</v>
      </c>
      <c r="C336" s="42"/>
      <c r="D336" s="42"/>
      <c r="E336" s="42"/>
      <c r="F336" s="42"/>
      <c r="G336" s="42" t="s">
        <v>553</v>
      </c>
      <c r="H336" s="42"/>
      <c r="I336" s="42"/>
      <c r="J336" s="42"/>
      <c r="K336" s="73">
        <v>200</v>
      </c>
      <c r="L336" s="73"/>
      <c r="M336" s="42" t="s">
        <v>272</v>
      </c>
      <c r="N336" s="43"/>
      <c r="O336" s="120" t="s">
        <v>382</v>
      </c>
      <c r="P336" s="73"/>
      <c r="Q336" s="73"/>
      <c r="R336" s="73"/>
      <c r="S336" s="128"/>
      <c r="T336" s="129">
        <v>100</v>
      </c>
      <c r="U336" s="130"/>
      <c r="V336" s="26" t="s">
        <v>415</v>
      </c>
      <c r="W336" s="130">
        <v>100</v>
      </c>
      <c r="X336" s="130"/>
      <c r="Y336" s="26" t="s">
        <v>415</v>
      </c>
      <c r="Z336" s="130">
        <v>3</v>
      </c>
      <c r="AA336" s="131"/>
      <c r="AB336" s="129">
        <v>150</v>
      </c>
      <c r="AC336" s="130"/>
      <c r="AD336" s="26" t="s">
        <v>415</v>
      </c>
      <c r="AE336" s="130">
        <v>10</v>
      </c>
      <c r="AF336" s="131"/>
      <c r="AG336" s="13"/>
      <c r="AH336" s="11"/>
      <c r="AI336" s="11"/>
      <c r="AJ336" s="11"/>
      <c r="AK336" s="12"/>
      <c r="AL336" s="129" t="s">
        <v>281</v>
      </c>
      <c r="AM336" s="130"/>
      <c r="AN336" s="130"/>
      <c r="AO336" s="130"/>
      <c r="AP336" s="130"/>
      <c r="AQ336" s="131"/>
      <c r="AR336" s="129" t="s">
        <v>246</v>
      </c>
      <c r="AS336" s="130"/>
      <c r="AT336" s="130"/>
      <c r="AU336" s="130"/>
      <c r="AV336" s="131"/>
      <c r="AW336" s="146" t="s">
        <v>345</v>
      </c>
      <c r="AX336" s="146"/>
      <c r="AY336" s="146"/>
      <c r="AZ336" s="146"/>
      <c r="BA336" s="146"/>
      <c r="BB336" s="143" cm="1">
        <f t="array" ref="BB336">IF(O336="kutu profil",(((T336*W336-4*((2*Z336)*(2*Z336)-PI()*(2*Z336)^2/4))-((T336-2*Z336)*(W336-2*Z336)-4*((1*Z336)*(1*Z336)-PI()*(1*Z336)^2/4)))/1000000*7850),IF(O336="boru profil",((PI()*AB336^2/4-PI()*(AB336-2*AE336)^2/4)/1000000*7850),IF(O336="I profil",INDEX($CN$4:$CN$118,MATCH(AL336,$CM$4:$CM$118,0),0),IF(O336="U profil",INDEX($CU$4:$CU$28,MATCH(AR336,$CT$4:$CT$28,0),0),IF(O336="korniyer",INDEX($CR$4:$CR$176,MATCH(AW336,$CQ$4:$CQ$176,0),0),"hatalı")))))</f>
        <v>13.4</v>
      </c>
      <c r="BC336" s="143"/>
      <c r="BD336" s="143"/>
      <c r="BE336" s="63">
        <f>BE322+12</f>
        <v>28</v>
      </c>
      <c r="BF336" s="63"/>
      <c r="BG336" s="63"/>
      <c r="BH336" s="83">
        <f>+K336/1000</f>
        <v>0.2</v>
      </c>
      <c r="BI336" s="83"/>
      <c r="BJ336" s="83"/>
      <c r="BK336" s="134">
        <f t="shared" si="24"/>
        <v>5.6000000000000005</v>
      </c>
      <c r="BL336" s="135"/>
      <c r="BM336" s="136"/>
      <c r="BN336" s="83">
        <f t="shared" si="25"/>
        <v>75.040000000000006</v>
      </c>
      <c r="BO336" s="83"/>
      <c r="BP336" s="83"/>
      <c r="BQ336" s="83"/>
      <c r="BR336" s="84">
        <v>28</v>
      </c>
      <c r="BS336" s="84"/>
      <c r="BT336" s="84"/>
      <c r="BU336" s="84"/>
      <c r="BV336" s="84"/>
      <c r="BW336" s="84"/>
      <c r="BX336" s="85">
        <f t="shared" si="27"/>
        <v>2101.1200000000003</v>
      </c>
      <c r="BY336" s="85"/>
      <c r="BZ336" s="85"/>
      <c r="CA336" s="85"/>
      <c r="CB336" s="86"/>
    </row>
    <row r="337" spans="2:80" x14ac:dyDescent="0.2">
      <c r="B337" s="71" t="s">
        <v>570</v>
      </c>
      <c r="C337" s="72"/>
      <c r="D337" s="72"/>
      <c r="E337" s="72"/>
      <c r="F337" s="72"/>
      <c r="G337" s="72"/>
      <c r="H337" s="72"/>
      <c r="I337" s="72"/>
      <c r="J337" s="72"/>
      <c r="K337" s="72"/>
      <c r="L337" s="72"/>
      <c r="M337" s="72"/>
      <c r="N337" s="72"/>
      <c r="O337" s="13" t="s">
        <v>271</v>
      </c>
      <c r="P337" s="73">
        <v>450</v>
      </c>
      <c r="Q337" s="73"/>
      <c r="R337" s="11" t="s">
        <v>272</v>
      </c>
      <c r="S337" s="11"/>
      <c r="T337" s="11" t="s">
        <v>273</v>
      </c>
      <c r="U337" s="73">
        <v>800</v>
      </c>
      <c r="V337" s="73"/>
      <c r="W337" s="11" t="s">
        <v>272</v>
      </c>
      <c r="X337" s="11"/>
      <c r="Y337" s="11" t="s">
        <v>274</v>
      </c>
      <c r="Z337" s="73">
        <v>30</v>
      </c>
      <c r="AA337" s="73"/>
      <c r="AB337" s="11" t="s">
        <v>272</v>
      </c>
      <c r="AC337" s="11"/>
      <c r="AD337" s="11"/>
      <c r="AE337" s="11"/>
      <c r="AF337" s="11"/>
      <c r="AG337" s="11" t="s">
        <v>282</v>
      </c>
      <c r="AH337" s="11"/>
      <c r="AI337" s="11"/>
      <c r="AJ337" s="11"/>
      <c r="AK337" s="11"/>
      <c r="AL337" s="11"/>
      <c r="AM337" s="73">
        <v>2</v>
      </c>
      <c r="AN337" s="73"/>
      <c r="AO337" s="11" t="s">
        <v>433</v>
      </c>
      <c r="AP337" s="11"/>
      <c r="AQ337" s="11"/>
      <c r="AR337" s="11"/>
      <c r="AS337" s="11"/>
      <c r="AT337" s="11"/>
      <c r="AU337" s="11"/>
      <c r="AV337" s="11"/>
      <c r="AW337" s="11"/>
      <c r="AX337" s="11"/>
      <c r="AY337" s="11"/>
      <c r="AZ337" s="11"/>
      <c r="BA337" s="12"/>
      <c r="BB337" s="63" t="s">
        <v>276</v>
      </c>
      <c r="BC337" s="63"/>
      <c r="BD337" s="63"/>
      <c r="BE337" s="63">
        <f>(C239+1)*2*AM337</f>
        <v>32</v>
      </c>
      <c r="BF337" s="63"/>
      <c r="BG337" s="63"/>
      <c r="BH337" s="62" t="s">
        <v>276</v>
      </c>
      <c r="BI337" s="62"/>
      <c r="BJ337" s="62"/>
      <c r="BK337" s="62" t="s">
        <v>276</v>
      </c>
      <c r="BL337" s="62"/>
      <c r="BM337" s="62"/>
      <c r="BN337" s="83">
        <f t="shared" ref="BN337:BN338" si="28">P337/1000*U337/1000*Z337/1000*7850*BE337</f>
        <v>2712.9599999999996</v>
      </c>
      <c r="BO337" s="83"/>
      <c r="BP337" s="83"/>
      <c r="BQ337" s="83"/>
      <c r="BR337" s="84">
        <v>28</v>
      </c>
      <c r="BS337" s="84"/>
      <c r="BT337" s="84"/>
      <c r="BU337" s="84"/>
      <c r="BV337" s="84"/>
      <c r="BW337" s="84"/>
      <c r="BX337" s="85">
        <f t="shared" si="27"/>
        <v>75962.87999999999</v>
      </c>
      <c r="BY337" s="85"/>
      <c r="BZ337" s="85"/>
      <c r="CA337" s="85"/>
      <c r="CB337" s="86"/>
    </row>
    <row r="338" spans="2:80" x14ac:dyDescent="0.2">
      <c r="B338" s="71" t="s">
        <v>571</v>
      </c>
      <c r="C338" s="72"/>
      <c r="D338" s="72"/>
      <c r="E338" s="72"/>
      <c r="F338" s="72"/>
      <c r="G338" s="72"/>
      <c r="H338" s="72"/>
      <c r="I338" s="72"/>
      <c r="J338" s="72"/>
      <c r="K338" s="72"/>
      <c r="L338" s="72"/>
      <c r="M338" s="72"/>
      <c r="N338" s="72"/>
      <c r="O338" s="13" t="s">
        <v>271</v>
      </c>
      <c r="P338" s="73">
        <v>450</v>
      </c>
      <c r="Q338" s="73"/>
      <c r="R338" s="11" t="s">
        <v>272</v>
      </c>
      <c r="S338" s="11"/>
      <c r="T338" s="11" t="s">
        <v>273</v>
      </c>
      <c r="U338" s="73">
        <v>800</v>
      </c>
      <c r="V338" s="73"/>
      <c r="W338" s="11" t="s">
        <v>272</v>
      </c>
      <c r="X338" s="11"/>
      <c r="Y338" s="11" t="s">
        <v>274</v>
      </c>
      <c r="Z338" s="73">
        <v>30</v>
      </c>
      <c r="AA338" s="73"/>
      <c r="AB338" s="11" t="s">
        <v>272</v>
      </c>
      <c r="AC338" s="11"/>
      <c r="AD338" s="11"/>
      <c r="AE338" s="11"/>
      <c r="AF338" s="11"/>
      <c r="AG338" s="11" t="s">
        <v>282</v>
      </c>
      <c r="AH338" s="11"/>
      <c r="AI338" s="11"/>
      <c r="AJ338" s="11"/>
      <c r="AK338" s="11"/>
      <c r="AL338" s="11"/>
      <c r="AM338" s="73">
        <v>2</v>
      </c>
      <c r="AN338" s="73"/>
      <c r="AO338" s="11" t="s">
        <v>433</v>
      </c>
      <c r="AP338" s="11"/>
      <c r="AQ338" s="11"/>
      <c r="AR338" s="11"/>
      <c r="AS338" s="11"/>
      <c r="AT338" s="11"/>
      <c r="AU338" s="11"/>
      <c r="AV338" s="11"/>
      <c r="AW338" s="11"/>
      <c r="AX338" s="11"/>
      <c r="AY338" s="11"/>
      <c r="AZ338" s="11"/>
      <c r="BA338" s="12"/>
      <c r="BB338" s="63" t="s">
        <v>276</v>
      </c>
      <c r="BC338" s="63"/>
      <c r="BD338" s="63"/>
      <c r="BE338" s="63">
        <f>(C239+1)*AM338</f>
        <v>16</v>
      </c>
      <c r="BF338" s="63"/>
      <c r="BG338" s="63"/>
      <c r="BH338" s="62" t="s">
        <v>276</v>
      </c>
      <c r="BI338" s="62"/>
      <c r="BJ338" s="62"/>
      <c r="BK338" s="62" t="s">
        <v>276</v>
      </c>
      <c r="BL338" s="62"/>
      <c r="BM338" s="62"/>
      <c r="BN338" s="83">
        <f t="shared" si="28"/>
        <v>1356.4799999999998</v>
      </c>
      <c r="BO338" s="83"/>
      <c r="BP338" s="83"/>
      <c r="BQ338" s="83"/>
      <c r="BR338" s="84">
        <v>28</v>
      </c>
      <c r="BS338" s="84"/>
      <c r="BT338" s="84"/>
      <c r="BU338" s="84"/>
      <c r="BV338" s="84"/>
      <c r="BW338" s="84"/>
      <c r="BX338" s="85">
        <f t="shared" si="27"/>
        <v>37981.439999999995</v>
      </c>
      <c r="BY338" s="85"/>
      <c r="BZ338" s="85"/>
      <c r="CA338" s="85"/>
      <c r="CB338" s="86"/>
    </row>
    <row r="339" spans="2:80" x14ac:dyDescent="0.2">
      <c r="B339" s="71" t="s">
        <v>275</v>
      </c>
      <c r="C339" s="72"/>
      <c r="D339" s="72"/>
      <c r="E339" s="72"/>
      <c r="F339" s="72"/>
      <c r="G339" s="72"/>
      <c r="H339" s="72"/>
      <c r="I339" s="72"/>
      <c r="J339" s="72"/>
      <c r="K339" s="72"/>
      <c r="L339" s="72"/>
      <c r="M339" s="72"/>
      <c r="N339" s="72"/>
      <c r="O339" s="13" t="s">
        <v>271</v>
      </c>
      <c r="P339" s="73">
        <v>450</v>
      </c>
      <c r="Q339" s="73"/>
      <c r="R339" s="11" t="s">
        <v>272</v>
      </c>
      <c r="S339" s="11"/>
      <c r="T339" s="11" t="s">
        <v>273</v>
      </c>
      <c r="U339" s="73">
        <v>800</v>
      </c>
      <c r="V339" s="73"/>
      <c r="W339" s="11" t="s">
        <v>272</v>
      </c>
      <c r="X339" s="11"/>
      <c r="Y339" s="11" t="s">
        <v>274</v>
      </c>
      <c r="Z339" s="73">
        <v>30</v>
      </c>
      <c r="AA339" s="73"/>
      <c r="AB339" s="11" t="s">
        <v>272</v>
      </c>
      <c r="AC339" s="11"/>
      <c r="AD339" s="11"/>
      <c r="AE339" s="11"/>
      <c r="AF339" s="11"/>
      <c r="AG339" s="11"/>
      <c r="AH339" s="11"/>
      <c r="AI339" s="11"/>
      <c r="AJ339" s="11"/>
      <c r="AK339" s="11"/>
      <c r="AL339" s="11"/>
      <c r="AM339" s="11"/>
      <c r="AN339" s="11"/>
      <c r="AO339" s="11"/>
      <c r="AP339" s="11"/>
      <c r="AQ339" s="11"/>
      <c r="AR339" s="11"/>
      <c r="AS339" s="11"/>
      <c r="AT339" s="11"/>
      <c r="AU339" s="11"/>
      <c r="AV339" s="11"/>
      <c r="AW339" s="11"/>
      <c r="AX339" s="11"/>
      <c r="AY339" s="11"/>
      <c r="AZ339" s="11"/>
      <c r="BA339" s="12"/>
      <c r="BB339" s="63" t="s">
        <v>276</v>
      </c>
      <c r="BC339" s="63"/>
      <c r="BD339" s="63"/>
      <c r="BE339" s="63">
        <f>+BE322</f>
        <v>16</v>
      </c>
      <c r="BF339" s="63"/>
      <c r="BG339" s="63"/>
      <c r="BH339" s="62" t="s">
        <v>276</v>
      </c>
      <c r="BI339" s="62"/>
      <c r="BJ339" s="62"/>
      <c r="BK339" s="62" t="s">
        <v>276</v>
      </c>
      <c r="BL339" s="62"/>
      <c r="BM339" s="62"/>
      <c r="BN339" s="83">
        <f t="shared" ref="BN339:BN349" si="29">P339/1000*U339/1000*Z339/1000*7850*BE339</f>
        <v>1356.4799999999998</v>
      </c>
      <c r="BO339" s="83"/>
      <c r="BP339" s="83"/>
      <c r="BQ339" s="83"/>
      <c r="BR339" s="84">
        <v>28</v>
      </c>
      <c r="BS339" s="84"/>
      <c r="BT339" s="84"/>
      <c r="BU339" s="84"/>
      <c r="BV339" s="84"/>
      <c r="BW339" s="84"/>
      <c r="BX339" s="85">
        <f t="shared" si="27"/>
        <v>37981.439999999995</v>
      </c>
      <c r="BY339" s="85"/>
      <c r="BZ339" s="85"/>
      <c r="CA339" s="85"/>
      <c r="CB339" s="86"/>
    </row>
    <row r="340" spans="2:80" x14ac:dyDescent="0.2">
      <c r="B340" s="71" t="s">
        <v>442</v>
      </c>
      <c r="C340" s="72"/>
      <c r="D340" s="72"/>
      <c r="E340" s="72"/>
      <c r="F340" s="72"/>
      <c r="G340" s="72"/>
      <c r="H340" s="72"/>
      <c r="I340" s="72"/>
      <c r="J340" s="72"/>
      <c r="K340" s="72"/>
      <c r="L340" s="72"/>
      <c r="M340" s="72"/>
      <c r="N340" s="72"/>
      <c r="O340" s="13" t="s">
        <v>271</v>
      </c>
      <c r="P340" s="73">
        <v>350</v>
      </c>
      <c r="Q340" s="73"/>
      <c r="R340" s="11" t="s">
        <v>272</v>
      </c>
      <c r="S340" s="11"/>
      <c r="T340" s="11" t="s">
        <v>273</v>
      </c>
      <c r="U340" s="73">
        <v>350</v>
      </c>
      <c r="V340" s="73"/>
      <c r="W340" s="11" t="s">
        <v>272</v>
      </c>
      <c r="X340" s="11"/>
      <c r="Y340" s="11" t="s">
        <v>274</v>
      </c>
      <c r="Z340" s="73">
        <v>20</v>
      </c>
      <c r="AA340" s="73"/>
      <c r="AB340" s="11" t="s">
        <v>272</v>
      </c>
      <c r="AC340" s="11"/>
      <c r="AD340" s="11"/>
      <c r="AE340" s="11"/>
      <c r="AF340" s="11"/>
      <c r="AG340" s="11"/>
      <c r="AH340" s="11"/>
      <c r="AI340" s="11"/>
      <c r="AJ340" s="11"/>
      <c r="AK340" s="11"/>
      <c r="AL340" s="11"/>
      <c r="AM340" s="11"/>
      <c r="AN340" s="11"/>
      <c r="AO340" s="11"/>
      <c r="AP340" s="11"/>
      <c r="AQ340" s="11"/>
      <c r="AR340" s="11"/>
      <c r="AS340" s="11"/>
      <c r="AT340" s="11"/>
      <c r="AU340" s="11"/>
      <c r="AV340" s="11"/>
      <c r="AW340" s="11"/>
      <c r="AX340" s="11"/>
      <c r="AY340" s="11"/>
      <c r="AZ340" s="11"/>
      <c r="BA340" s="12"/>
      <c r="BB340" s="63" t="s">
        <v>276</v>
      </c>
      <c r="BC340" s="63"/>
      <c r="BD340" s="63"/>
      <c r="BE340" s="63">
        <f>6*2</f>
        <v>12</v>
      </c>
      <c r="BF340" s="63"/>
      <c r="BG340" s="63"/>
      <c r="BH340" s="62" t="s">
        <v>276</v>
      </c>
      <c r="BI340" s="62"/>
      <c r="BJ340" s="62"/>
      <c r="BK340" s="62" t="s">
        <v>276</v>
      </c>
      <c r="BL340" s="62"/>
      <c r="BM340" s="62"/>
      <c r="BN340" s="83">
        <f t="shared" si="29"/>
        <v>230.78999999999996</v>
      </c>
      <c r="BO340" s="83"/>
      <c r="BP340" s="83"/>
      <c r="BQ340" s="83"/>
      <c r="BR340" s="84">
        <v>28</v>
      </c>
      <c r="BS340" s="84"/>
      <c r="BT340" s="84"/>
      <c r="BU340" s="84"/>
      <c r="BV340" s="84"/>
      <c r="BW340" s="84"/>
      <c r="BX340" s="85">
        <f t="shared" si="27"/>
        <v>6462.119999999999</v>
      </c>
      <c r="BY340" s="85"/>
      <c r="BZ340" s="85"/>
      <c r="CA340" s="85"/>
      <c r="CB340" s="86"/>
    </row>
    <row r="341" spans="2:80" x14ac:dyDescent="0.2">
      <c r="B341" s="71" t="s">
        <v>277</v>
      </c>
      <c r="C341" s="72"/>
      <c r="D341" s="72"/>
      <c r="E341" s="72"/>
      <c r="F341" s="72"/>
      <c r="G341" s="72"/>
      <c r="H341" s="72"/>
      <c r="I341" s="72"/>
      <c r="J341" s="72"/>
      <c r="K341" s="72"/>
      <c r="L341" s="72"/>
      <c r="M341" s="72"/>
      <c r="N341" s="72"/>
      <c r="O341" s="13" t="s">
        <v>271</v>
      </c>
      <c r="P341" s="73">
        <v>200</v>
      </c>
      <c r="Q341" s="73"/>
      <c r="R341" s="11" t="s">
        <v>272</v>
      </c>
      <c r="S341" s="11"/>
      <c r="T341" s="11" t="s">
        <v>273</v>
      </c>
      <c r="U341" s="73">
        <v>200</v>
      </c>
      <c r="V341" s="73"/>
      <c r="W341" s="11" t="s">
        <v>272</v>
      </c>
      <c r="X341" s="11"/>
      <c r="Y341" s="11" t="s">
        <v>274</v>
      </c>
      <c r="Z341" s="73">
        <v>15</v>
      </c>
      <c r="AA341" s="73"/>
      <c r="AB341" s="11" t="s">
        <v>272</v>
      </c>
      <c r="AC341" s="11"/>
      <c r="AD341" s="11"/>
      <c r="AE341" s="11"/>
      <c r="AF341" s="11"/>
      <c r="AG341" s="11"/>
      <c r="AH341" s="11"/>
      <c r="AI341" s="11"/>
      <c r="AJ341" s="11"/>
      <c r="AK341" s="11"/>
      <c r="AL341" s="11"/>
      <c r="AM341" s="11"/>
      <c r="AN341" s="11"/>
      <c r="AO341" s="11"/>
      <c r="AP341" s="11"/>
      <c r="AQ341" s="11"/>
      <c r="AR341" s="11"/>
      <c r="AS341" s="11"/>
      <c r="AT341" s="11"/>
      <c r="AU341" s="11"/>
      <c r="AV341" s="11"/>
      <c r="AW341" s="11"/>
      <c r="AX341" s="11"/>
      <c r="AY341" s="11"/>
      <c r="AZ341" s="11"/>
      <c r="BA341" s="12"/>
      <c r="BB341" s="63" t="s">
        <v>276</v>
      </c>
      <c r="BC341" s="63"/>
      <c r="BD341" s="63"/>
      <c r="BE341" s="63" cm="1">
        <f t="array" ref="BE341">INDEX(BN218:BN228,MATCH(C239,BM218:BM228,0),0)*3*2</f>
        <v>18</v>
      </c>
      <c r="BF341" s="63"/>
      <c r="BG341" s="63"/>
      <c r="BH341" s="62" t="s">
        <v>276</v>
      </c>
      <c r="BI341" s="62"/>
      <c r="BJ341" s="62"/>
      <c r="BK341" s="62" t="s">
        <v>276</v>
      </c>
      <c r="BL341" s="62"/>
      <c r="BM341" s="62"/>
      <c r="BN341" s="83">
        <f t="shared" si="29"/>
        <v>84.78</v>
      </c>
      <c r="BO341" s="83"/>
      <c r="BP341" s="83"/>
      <c r="BQ341" s="83"/>
      <c r="BR341" s="84">
        <v>28</v>
      </c>
      <c r="BS341" s="84"/>
      <c r="BT341" s="84"/>
      <c r="BU341" s="84"/>
      <c r="BV341" s="84"/>
      <c r="BW341" s="84"/>
      <c r="BX341" s="85">
        <f t="shared" si="27"/>
        <v>2373.84</v>
      </c>
      <c r="BY341" s="85"/>
      <c r="BZ341" s="85"/>
      <c r="CA341" s="85"/>
      <c r="CB341" s="86"/>
    </row>
    <row r="342" spans="2:80" x14ac:dyDescent="0.2">
      <c r="B342" s="71" t="s">
        <v>467</v>
      </c>
      <c r="C342" s="72"/>
      <c r="D342" s="72"/>
      <c r="E342" s="72"/>
      <c r="F342" s="72"/>
      <c r="G342" s="72"/>
      <c r="H342" s="72"/>
      <c r="I342" s="72"/>
      <c r="J342" s="72"/>
      <c r="K342" s="72"/>
      <c r="L342" s="72"/>
      <c r="M342" s="72"/>
      <c r="N342" s="72"/>
      <c r="O342" s="13" t="s">
        <v>271</v>
      </c>
      <c r="P342" s="73">
        <v>200</v>
      </c>
      <c r="Q342" s="73"/>
      <c r="R342" s="11" t="s">
        <v>272</v>
      </c>
      <c r="S342" s="11"/>
      <c r="T342" s="11" t="s">
        <v>273</v>
      </c>
      <c r="U342" s="73">
        <v>200</v>
      </c>
      <c r="V342" s="73"/>
      <c r="W342" s="11" t="s">
        <v>272</v>
      </c>
      <c r="X342" s="11"/>
      <c r="Y342" s="11" t="s">
        <v>274</v>
      </c>
      <c r="Z342" s="73">
        <v>10</v>
      </c>
      <c r="AA342" s="73"/>
      <c r="AB342" s="11" t="s">
        <v>272</v>
      </c>
      <c r="AC342" s="11"/>
      <c r="AD342" s="11"/>
      <c r="AE342" s="11"/>
      <c r="AF342" s="11"/>
      <c r="AG342" s="11"/>
      <c r="AH342" s="11"/>
      <c r="AI342" s="11"/>
      <c r="AJ342" s="11"/>
      <c r="AK342" s="11"/>
      <c r="AL342" s="11"/>
      <c r="AM342" s="11"/>
      <c r="AN342" s="11"/>
      <c r="AO342" s="11"/>
      <c r="AP342" s="11"/>
      <c r="AQ342" s="11"/>
      <c r="AR342" s="11"/>
      <c r="AS342" s="11"/>
      <c r="AT342" s="11"/>
      <c r="AU342" s="11"/>
      <c r="AV342" s="11"/>
      <c r="AW342" s="11"/>
      <c r="AX342" s="11"/>
      <c r="AY342" s="11"/>
      <c r="AZ342" s="11"/>
      <c r="BA342" s="12"/>
      <c r="BB342" s="63" t="s">
        <v>276</v>
      </c>
      <c r="BC342" s="63"/>
      <c r="BD342" s="63"/>
      <c r="BE342" s="63" cm="1">
        <f t="array" ref="BE342">INDEX(BN218:BN228,MATCH(C239,BM218:BM228,0),0)*2*2+INDEX(BO218:BO228,MATCH(C239,BM218:BM228,0),0)*2</f>
        <v>20</v>
      </c>
      <c r="BF342" s="63"/>
      <c r="BG342" s="63"/>
      <c r="BH342" s="62" t="s">
        <v>276</v>
      </c>
      <c r="BI342" s="62"/>
      <c r="BJ342" s="62"/>
      <c r="BK342" s="62" t="s">
        <v>276</v>
      </c>
      <c r="BL342" s="62"/>
      <c r="BM342" s="62"/>
      <c r="BN342" s="83">
        <f t="shared" si="29"/>
        <v>62.800000000000004</v>
      </c>
      <c r="BO342" s="83"/>
      <c r="BP342" s="83"/>
      <c r="BQ342" s="83"/>
      <c r="BR342" s="84">
        <v>28</v>
      </c>
      <c r="BS342" s="84"/>
      <c r="BT342" s="84"/>
      <c r="BU342" s="84"/>
      <c r="BV342" s="84"/>
      <c r="BW342" s="84"/>
      <c r="BX342" s="85">
        <f t="shared" si="27"/>
        <v>1758.4</v>
      </c>
      <c r="BY342" s="85"/>
      <c r="BZ342" s="85"/>
      <c r="CA342" s="85"/>
      <c r="CB342" s="86"/>
    </row>
    <row r="343" spans="2:80" x14ac:dyDescent="0.2">
      <c r="B343" s="71" t="s">
        <v>480</v>
      </c>
      <c r="C343" s="72"/>
      <c r="D343" s="72"/>
      <c r="E343" s="72"/>
      <c r="F343" s="72"/>
      <c r="G343" s="72"/>
      <c r="H343" s="72"/>
      <c r="I343" s="72"/>
      <c r="J343" s="72"/>
      <c r="K343" s="72"/>
      <c r="L343" s="72"/>
      <c r="M343" s="72"/>
      <c r="N343" s="72"/>
      <c r="O343" s="13" t="s">
        <v>271</v>
      </c>
      <c r="P343" s="73">
        <v>100</v>
      </c>
      <c r="Q343" s="73"/>
      <c r="R343" s="11" t="s">
        <v>272</v>
      </c>
      <c r="S343" s="11"/>
      <c r="T343" s="11" t="s">
        <v>273</v>
      </c>
      <c r="U343" s="73">
        <v>100</v>
      </c>
      <c r="V343" s="73"/>
      <c r="W343" s="11" t="s">
        <v>272</v>
      </c>
      <c r="X343" s="11"/>
      <c r="Y343" s="11" t="s">
        <v>274</v>
      </c>
      <c r="Z343" s="73">
        <v>10</v>
      </c>
      <c r="AA343" s="73"/>
      <c r="AB343" s="11" t="s">
        <v>272</v>
      </c>
      <c r="AC343" s="11"/>
      <c r="AD343" s="11"/>
      <c r="AE343" s="11"/>
      <c r="AF343" s="11"/>
      <c r="AG343" s="11"/>
      <c r="AH343" s="11"/>
      <c r="AI343" s="11"/>
      <c r="AJ343" s="11"/>
      <c r="AK343" s="11"/>
      <c r="AL343" s="11"/>
      <c r="AM343" s="11"/>
      <c r="AN343" s="11"/>
      <c r="AO343" s="11"/>
      <c r="AP343" s="11"/>
      <c r="AQ343" s="11"/>
      <c r="AR343" s="11"/>
      <c r="AS343" s="11"/>
      <c r="AT343" s="11"/>
      <c r="AU343" s="11"/>
      <c r="AV343" s="11"/>
      <c r="AW343" s="11"/>
      <c r="AX343" s="11"/>
      <c r="AY343" s="11"/>
      <c r="AZ343" s="11"/>
      <c r="BA343" s="12"/>
      <c r="BB343" s="63" t="s">
        <v>276</v>
      </c>
      <c r="BC343" s="63"/>
      <c r="BD343" s="63"/>
      <c r="BE343" s="63" cm="1">
        <f t="array" ref="BE343">((C239)*4+INDEX(BN218:BN228,MATCH(C239,BM218:BM228,0),0)*4)*2</f>
        <v>80</v>
      </c>
      <c r="BF343" s="63"/>
      <c r="BG343" s="63"/>
      <c r="BH343" s="62" t="s">
        <v>276</v>
      </c>
      <c r="BI343" s="62"/>
      <c r="BJ343" s="62"/>
      <c r="BK343" s="62" t="s">
        <v>276</v>
      </c>
      <c r="BL343" s="62"/>
      <c r="BM343" s="62"/>
      <c r="BN343" s="83">
        <f t="shared" si="29"/>
        <v>62.800000000000004</v>
      </c>
      <c r="BO343" s="83"/>
      <c r="BP343" s="83"/>
      <c r="BQ343" s="83"/>
      <c r="BR343" s="84">
        <v>28</v>
      </c>
      <c r="BS343" s="84"/>
      <c r="BT343" s="84"/>
      <c r="BU343" s="84"/>
      <c r="BV343" s="84"/>
      <c r="BW343" s="84"/>
      <c r="BX343" s="85">
        <f t="shared" si="27"/>
        <v>1758.4</v>
      </c>
      <c r="BY343" s="85"/>
      <c r="BZ343" s="85"/>
      <c r="CA343" s="85"/>
      <c r="CB343" s="86"/>
    </row>
    <row r="344" spans="2:80" x14ac:dyDescent="0.2">
      <c r="B344" s="71" t="s">
        <v>475</v>
      </c>
      <c r="C344" s="72"/>
      <c r="D344" s="72"/>
      <c r="E344" s="72"/>
      <c r="F344" s="72"/>
      <c r="G344" s="72"/>
      <c r="H344" s="72"/>
      <c r="I344" s="72"/>
      <c r="J344" s="72"/>
      <c r="K344" s="72"/>
      <c r="L344" s="72"/>
      <c r="M344" s="72"/>
      <c r="N344" s="72"/>
      <c r="O344" s="13" t="s">
        <v>271</v>
      </c>
      <c r="P344" s="73">
        <v>80</v>
      </c>
      <c r="Q344" s="73"/>
      <c r="R344" s="11" t="s">
        <v>272</v>
      </c>
      <c r="S344" s="11"/>
      <c r="T344" s="11" t="s">
        <v>273</v>
      </c>
      <c r="U344" s="73">
        <v>80</v>
      </c>
      <c r="V344" s="73"/>
      <c r="W344" s="11" t="s">
        <v>272</v>
      </c>
      <c r="X344" s="11"/>
      <c r="Y344" s="11" t="s">
        <v>274</v>
      </c>
      <c r="Z344" s="73">
        <v>5</v>
      </c>
      <c r="AA344" s="73"/>
      <c r="AB344" s="11" t="s">
        <v>272</v>
      </c>
      <c r="AC344" s="11"/>
      <c r="AD344" s="11"/>
      <c r="AE344" s="11"/>
      <c r="AF344" s="11"/>
      <c r="AG344" s="11"/>
      <c r="AH344" s="11"/>
      <c r="AI344" s="11"/>
      <c r="AJ344" s="11"/>
      <c r="AK344" s="11"/>
      <c r="AL344" s="11"/>
      <c r="AM344" s="11"/>
      <c r="AN344" s="11"/>
      <c r="AO344" s="11"/>
      <c r="AP344" s="11"/>
      <c r="AQ344" s="11"/>
      <c r="AR344" s="11"/>
      <c r="AS344" s="11"/>
      <c r="AT344" s="11"/>
      <c r="AU344" s="11"/>
      <c r="AV344" s="11"/>
      <c r="AW344" s="11"/>
      <c r="AX344" s="11"/>
      <c r="AY344" s="11"/>
      <c r="AZ344" s="11"/>
      <c r="BA344" s="12"/>
      <c r="BB344" s="63" t="s">
        <v>276</v>
      </c>
      <c r="BC344" s="63"/>
      <c r="BD344" s="63"/>
      <c r="BE344" s="63">
        <f>(C239+1)*AL221</f>
        <v>80</v>
      </c>
      <c r="BF344" s="63"/>
      <c r="BG344" s="63"/>
      <c r="BH344" s="62" t="s">
        <v>276</v>
      </c>
      <c r="BI344" s="62"/>
      <c r="BJ344" s="62"/>
      <c r="BK344" s="62" t="s">
        <v>276</v>
      </c>
      <c r="BL344" s="62"/>
      <c r="BM344" s="62"/>
      <c r="BN344" s="83">
        <f t="shared" si="29"/>
        <v>20.095999999999997</v>
      </c>
      <c r="BO344" s="83"/>
      <c r="BP344" s="83"/>
      <c r="BQ344" s="83"/>
      <c r="BR344" s="84">
        <v>28</v>
      </c>
      <c r="BS344" s="84"/>
      <c r="BT344" s="84"/>
      <c r="BU344" s="84"/>
      <c r="BV344" s="84"/>
      <c r="BW344" s="84"/>
      <c r="BX344" s="85">
        <f t="shared" si="27"/>
        <v>562.68799999999987</v>
      </c>
      <c r="BY344" s="85"/>
      <c r="BZ344" s="85"/>
      <c r="CA344" s="85"/>
      <c r="CB344" s="86"/>
    </row>
    <row r="345" spans="2:80" x14ac:dyDescent="0.2">
      <c r="B345" s="71" t="s">
        <v>482</v>
      </c>
      <c r="C345" s="72"/>
      <c r="D345" s="72"/>
      <c r="E345" s="72"/>
      <c r="F345" s="72"/>
      <c r="G345" s="72"/>
      <c r="H345" s="72"/>
      <c r="I345" s="72"/>
      <c r="J345" s="72"/>
      <c r="K345" s="72"/>
      <c r="L345" s="72"/>
      <c r="M345" s="72"/>
      <c r="N345" s="72"/>
      <c r="O345" s="13" t="s">
        <v>271</v>
      </c>
      <c r="P345" s="73">
        <v>80</v>
      </c>
      <c r="Q345" s="73"/>
      <c r="R345" s="11" t="s">
        <v>272</v>
      </c>
      <c r="S345" s="11"/>
      <c r="T345" s="11" t="s">
        <v>273</v>
      </c>
      <c r="U345" s="73">
        <v>80</v>
      </c>
      <c r="V345" s="73"/>
      <c r="W345" s="11" t="s">
        <v>272</v>
      </c>
      <c r="X345" s="11"/>
      <c r="Y345" s="11" t="s">
        <v>274</v>
      </c>
      <c r="Z345" s="73">
        <v>5</v>
      </c>
      <c r="AA345" s="73"/>
      <c r="AB345" s="11" t="s">
        <v>272</v>
      </c>
      <c r="AC345" s="11"/>
      <c r="AD345" s="11"/>
      <c r="AE345" s="11"/>
      <c r="AF345" s="11"/>
      <c r="AG345" s="11"/>
      <c r="AH345" s="11"/>
      <c r="AI345" s="11"/>
      <c r="AJ345" s="11"/>
      <c r="AK345" s="11"/>
      <c r="AL345" s="11"/>
      <c r="AM345" s="11"/>
      <c r="AN345" s="11"/>
      <c r="AO345" s="11"/>
      <c r="AP345" s="11"/>
      <c r="AQ345" s="11"/>
      <c r="AR345" s="11"/>
      <c r="AS345" s="11"/>
      <c r="AT345" s="11"/>
      <c r="AU345" s="11"/>
      <c r="AV345" s="11"/>
      <c r="AW345" s="11"/>
      <c r="AX345" s="11"/>
      <c r="AY345" s="11"/>
      <c r="AZ345" s="11"/>
      <c r="BA345" s="12"/>
      <c r="BB345" s="63" t="s">
        <v>276</v>
      </c>
      <c r="BC345" s="63"/>
      <c r="BD345" s="63"/>
      <c r="BE345" s="63" cm="1">
        <f t="array" ref="BE345">INDEX(BN218:BN228,MATCH(C239,BM218:BM228,0),0)*8*2</f>
        <v>48</v>
      </c>
      <c r="BF345" s="63"/>
      <c r="BG345" s="63"/>
      <c r="BH345" s="62" t="s">
        <v>276</v>
      </c>
      <c r="BI345" s="62"/>
      <c r="BJ345" s="62"/>
      <c r="BK345" s="62" t="s">
        <v>276</v>
      </c>
      <c r="BL345" s="62"/>
      <c r="BM345" s="62"/>
      <c r="BN345" s="83">
        <f t="shared" si="29"/>
        <v>12.057599999999999</v>
      </c>
      <c r="BO345" s="83"/>
      <c r="BP345" s="83"/>
      <c r="BQ345" s="83"/>
      <c r="BR345" s="84">
        <v>28</v>
      </c>
      <c r="BS345" s="84"/>
      <c r="BT345" s="84"/>
      <c r="BU345" s="84"/>
      <c r="BV345" s="84"/>
      <c r="BW345" s="84"/>
      <c r="BX345" s="85">
        <f t="shared" si="27"/>
        <v>337.61279999999999</v>
      </c>
      <c r="BY345" s="85"/>
      <c r="BZ345" s="85"/>
      <c r="CA345" s="85"/>
      <c r="CB345" s="86"/>
    </row>
    <row r="346" spans="2:80" x14ac:dyDescent="0.2">
      <c r="B346" s="71" t="s">
        <v>476</v>
      </c>
      <c r="C346" s="72"/>
      <c r="D346" s="72"/>
      <c r="E346" s="72"/>
      <c r="F346" s="72"/>
      <c r="G346" s="72"/>
      <c r="H346" s="72"/>
      <c r="I346" s="72"/>
      <c r="J346" s="72"/>
      <c r="K346" s="72"/>
      <c r="L346" s="72"/>
      <c r="M346" s="72"/>
      <c r="N346" s="72"/>
      <c r="O346" s="13" t="s">
        <v>271</v>
      </c>
      <c r="P346" s="73">
        <v>80</v>
      </c>
      <c r="Q346" s="73"/>
      <c r="R346" s="11" t="s">
        <v>272</v>
      </c>
      <c r="S346" s="11"/>
      <c r="T346" s="11" t="s">
        <v>273</v>
      </c>
      <c r="U346" s="73">
        <v>80</v>
      </c>
      <c r="V346" s="73"/>
      <c r="W346" s="11" t="s">
        <v>272</v>
      </c>
      <c r="X346" s="11"/>
      <c r="Y346" s="11" t="s">
        <v>274</v>
      </c>
      <c r="Z346" s="73">
        <v>5</v>
      </c>
      <c r="AA346" s="73"/>
      <c r="AB346" s="11" t="s">
        <v>272</v>
      </c>
      <c r="AC346" s="11"/>
      <c r="AD346" s="11"/>
      <c r="AE346" s="11"/>
      <c r="AF346" s="11"/>
      <c r="AG346" s="11"/>
      <c r="AH346" s="11"/>
      <c r="AI346" s="11"/>
      <c r="AJ346" s="11"/>
      <c r="AK346" s="11"/>
      <c r="AL346" s="11"/>
      <c r="AM346" s="11"/>
      <c r="AN346" s="11"/>
      <c r="AO346" s="11"/>
      <c r="AP346" s="11"/>
      <c r="AQ346" s="11"/>
      <c r="AR346" s="11"/>
      <c r="AS346" s="11"/>
      <c r="AT346" s="11"/>
      <c r="AU346" s="11"/>
      <c r="AV346" s="11"/>
      <c r="AW346" s="11"/>
      <c r="AX346" s="11"/>
      <c r="AY346" s="11"/>
      <c r="AZ346" s="11"/>
      <c r="BA346" s="12"/>
      <c r="BB346" s="63" t="s">
        <v>276</v>
      </c>
      <c r="BC346" s="63"/>
      <c r="BD346" s="63"/>
      <c r="BE346" s="63" cm="1">
        <f t="array" ref="BE346">INDEX(BO218:BO228,MATCH(C239,BM218:BM228,0),0)*2*2*2</f>
        <v>32</v>
      </c>
      <c r="BF346" s="63"/>
      <c r="BG346" s="63"/>
      <c r="BH346" s="62" t="s">
        <v>276</v>
      </c>
      <c r="BI346" s="62"/>
      <c r="BJ346" s="62"/>
      <c r="BK346" s="62" t="s">
        <v>276</v>
      </c>
      <c r="BL346" s="62"/>
      <c r="BM346" s="62"/>
      <c r="BN346" s="83">
        <f t="shared" si="29"/>
        <v>8.0383999999999993</v>
      </c>
      <c r="BO346" s="83"/>
      <c r="BP346" s="83"/>
      <c r="BQ346" s="83"/>
      <c r="BR346" s="84">
        <v>28</v>
      </c>
      <c r="BS346" s="84"/>
      <c r="BT346" s="84"/>
      <c r="BU346" s="84"/>
      <c r="BV346" s="84"/>
      <c r="BW346" s="84"/>
      <c r="BX346" s="85">
        <f t="shared" si="27"/>
        <v>225.0752</v>
      </c>
      <c r="BY346" s="85"/>
      <c r="BZ346" s="85"/>
      <c r="CA346" s="85"/>
      <c r="CB346" s="86"/>
    </row>
    <row r="347" spans="2:80" x14ac:dyDescent="0.2">
      <c r="B347" s="71" t="s">
        <v>477</v>
      </c>
      <c r="C347" s="72"/>
      <c r="D347" s="72"/>
      <c r="E347" s="72"/>
      <c r="F347" s="72"/>
      <c r="G347" s="72"/>
      <c r="H347" s="72"/>
      <c r="I347" s="72"/>
      <c r="J347" s="72"/>
      <c r="K347" s="72"/>
      <c r="L347" s="72"/>
      <c r="M347" s="72"/>
      <c r="N347" s="72"/>
      <c r="O347" s="13" t="s">
        <v>271</v>
      </c>
      <c r="P347" s="73">
        <v>80</v>
      </c>
      <c r="Q347" s="73"/>
      <c r="R347" s="11" t="s">
        <v>272</v>
      </c>
      <c r="S347" s="11"/>
      <c r="T347" s="11" t="s">
        <v>273</v>
      </c>
      <c r="U347" s="73">
        <v>80</v>
      </c>
      <c r="V347" s="73"/>
      <c r="W347" s="11" t="s">
        <v>272</v>
      </c>
      <c r="X347" s="11"/>
      <c r="Y347" s="11" t="s">
        <v>274</v>
      </c>
      <c r="Z347" s="73">
        <v>5</v>
      </c>
      <c r="AA347" s="73"/>
      <c r="AB347" s="11" t="s">
        <v>272</v>
      </c>
      <c r="AC347" s="11"/>
      <c r="AD347" s="11"/>
      <c r="AE347" s="11"/>
      <c r="AF347" s="11"/>
      <c r="AG347" s="11"/>
      <c r="AH347" s="11"/>
      <c r="AI347" s="11"/>
      <c r="AJ347" s="11"/>
      <c r="AK347" s="11"/>
      <c r="AL347" s="11"/>
      <c r="AM347" s="11"/>
      <c r="AN347" s="11"/>
      <c r="AO347" s="11"/>
      <c r="AP347" s="11"/>
      <c r="AQ347" s="11"/>
      <c r="AR347" s="11"/>
      <c r="AS347" s="11"/>
      <c r="AT347" s="11"/>
      <c r="AU347" s="11"/>
      <c r="AV347" s="11"/>
      <c r="AW347" s="11"/>
      <c r="AX347" s="11"/>
      <c r="AY347" s="11"/>
      <c r="AZ347" s="11"/>
      <c r="BA347" s="12"/>
      <c r="BB347" s="63" t="s">
        <v>276</v>
      </c>
      <c r="BC347" s="63"/>
      <c r="BD347" s="63"/>
      <c r="BE347" s="63">
        <f>(36*2+IF((D263+D266)&lt;AH264,4,8)*2)</f>
        <v>88</v>
      </c>
      <c r="BF347" s="63"/>
      <c r="BG347" s="63"/>
      <c r="BH347" s="62" t="s">
        <v>276</v>
      </c>
      <c r="BI347" s="62"/>
      <c r="BJ347" s="62"/>
      <c r="BK347" s="62" t="s">
        <v>276</v>
      </c>
      <c r="BL347" s="62"/>
      <c r="BM347" s="62"/>
      <c r="BN347" s="83">
        <f t="shared" si="29"/>
        <v>22.105599999999999</v>
      </c>
      <c r="BO347" s="83"/>
      <c r="BP347" s="83"/>
      <c r="BQ347" s="83"/>
      <c r="BR347" s="84">
        <v>28</v>
      </c>
      <c r="BS347" s="84"/>
      <c r="BT347" s="84"/>
      <c r="BU347" s="84"/>
      <c r="BV347" s="84"/>
      <c r="BW347" s="84"/>
      <c r="BX347" s="85">
        <f t="shared" si="27"/>
        <v>618.95679999999993</v>
      </c>
      <c r="BY347" s="85"/>
      <c r="BZ347" s="85"/>
      <c r="CA347" s="85"/>
      <c r="CB347" s="86"/>
    </row>
    <row r="348" spans="2:80" x14ac:dyDescent="0.2">
      <c r="B348" s="71" t="s">
        <v>560</v>
      </c>
      <c r="C348" s="72"/>
      <c r="D348" s="72"/>
      <c r="E348" s="72"/>
      <c r="F348" s="72"/>
      <c r="G348" s="72"/>
      <c r="H348" s="72"/>
      <c r="I348" s="72"/>
      <c r="J348" s="72"/>
      <c r="K348" s="72"/>
      <c r="L348" s="72"/>
      <c r="M348" s="72"/>
      <c r="N348" s="72"/>
      <c r="O348" s="13" t="s">
        <v>271</v>
      </c>
      <c r="P348" s="73">
        <v>800</v>
      </c>
      <c r="Q348" s="73"/>
      <c r="R348" s="11" t="s">
        <v>272</v>
      </c>
      <c r="S348" s="11"/>
      <c r="T348" s="11" t="s">
        <v>273</v>
      </c>
      <c r="U348" s="73">
        <v>250</v>
      </c>
      <c r="V348" s="73"/>
      <c r="W348" s="11" t="s">
        <v>272</v>
      </c>
      <c r="X348" s="11"/>
      <c r="Y348" s="11" t="s">
        <v>274</v>
      </c>
      <c r="Z348" s="73">
        <v>15</v>
      </c>
      <c r="AA348" s="73"/>
      <c r="AB348" s="11" t="s">
        <v>272</v>
      </c>
      <c r="AC348" s="11"/>
      <c r="AD348" s="11"/>
      <c r="AE348" s="11"/>
      <c r="AF348" s="11"/>
      <c r="AG348" s="11" t="s">
        <v>282</v>
      </c>
      <c r="AH348" s="11"/>
      <c r="AI348" s="11"/>
      <c r="AJ348" s="11"/>
      <c r="AK348" s="11"/>
      <c r="AL348" s="11"/>
      <c r="AM348" s="73">
        <v>2</v>
      </c>
      <c r="AN348" s="73"/>
      <c r="AO348" s="11" t="s">
        <v>433</v>
      </c>
      <c r="AP348" s="11"/>
      <c r="AQ348" s="11"/>
      <c r="AR348" s="11"/>
      <c r="AS348" s="11"/>
      <c r="AT348" s="11"/>
      <c r="AU348" s="11"/>
      <c r="AV348" s="11"/>
      <c r="AW348" s="11"/>
      <c r="AX348" s="11"/>
      <c r="AY348" s="11"/>
      <c r="AZ348" s="11"/>
      <c r="BA348" s="12"/>
      <c r="BB348" s="63" t="s">
        <v>276</v>
      </c>
      <c r="BC348" s="63"/>
      <c r="BD348" s="63"/>
      <c r="BE348" s="63">
        <f>(BE339+BE340)*AM348</f>
        <v>56</v>
      </c>
      <c r="BF348" s="63"/>
      <c r="BG348" s="63"/>
      <c r="BH348" s="62" t="s">
        <v>276</v>
      </c>
      <c r="BI348" s="62"/>
      <c r="BJ348" s="62"/>
      <c r="BK348" s="62" t="s">
        <v>276</v>
      </c>
      <c r="BL348" s="62"/>
      <c r="BM348" s="62"/>
      <c r="BN348" s="83">
        <f t="shared" si="29"/>
        <v>1318.8</v>
      </c>
      <c r="BO348" s="83"/>
      <c r="BP348" s="83"/>
      <c r="BQ348" s="83"/>
      <c r="BR348" s="84">
        <v>28</v>
      </c>
      <c r="BS348" s="84"/>
      <c r="BT348" s="84"/>
      <c r="BU348" s="84"/>
      <c r="BV348" s="84"/>
      <c r="BW348" s="84"/>
      <c r="BX348" s="85">
        <f t="shared" si="27"/>
        <v>36926.400000000001</v>
      </c>
      <c r="BY348" s="85"/>
      <c r="BZ348" s="85"/>
      <c r="CA348" s="85"/>
      <c r="CB348" s="86"/>
    </row>
    <row r="349" spans="2:80" x14ac:dyDescent="0.2">
      <c r="B349" s="71" t="s">
        <v>440</v>
      </c>
      <c r="C349" s="72"/>
      <c r="D349" s="72"/>
      <c r="E349" s="72"/>
      <c r="F349" s="72"/>
      <c r="G349" s="72"/>
      <c r="H349" s="72"/>
      <c r="I349" s="72"/>
      <c r="J349" s="72"/>
      <c r="K349" s="72"/>
      <c r="L349" s="72"/>
      <c r="M349" s="72"/>
      <c r="N349" s="72"/>
      <c r="O349" s="13" t="s">
        <v>271</v>
      </c>
      <c r="P349" s="73">
        <v>150</v>
      </c>
      <c r="Q349" s="73"/>
      <c r="R349" s="11" t="s">
        <v>272</v>
      </c>
      <c r="S349" s="11"/>
      <c r="T349" s="11" t="s">
        <v>273</v>
      </c>
      <c r="U349" s="73">
        <v>150</v>
      </c>
      <c r="V349" s="73"/>
      <c r="W349" s="11" t="s">
        <v>272</v>
      </c>
      <c r="X349" s="11"/>
      <c r="Y349" s="11" t="s">
        <v>274</v>
      </c>
      <c r="Z349" s="73">
        <v>10</v>
      </c>
      <c r="AA349" s="73"/>
      <c r="AB349" s="11" t="s">
        <v>272</v>
      </c>
      <c r="AC349" s="11"/>
      <c r="AD349" s="11"/>
      <c r="AE349" s="11"/>
      <c r="AF349" s="11"/>
      <c r="AG349" s="11"/>
      <c r="AH349" s="11"/>
      <c r="AI349" s="11"/>
      <c r="AJ349" s="11"/>
      <c r="AK349" s="11"/>
      <c r="AL349" s="11"/>
      <c r="AM349" s="11"/>
      <c r="AN349" s="11"/>
      <c r="AO349" s="11"/>
      <c r="AP349" s="11"/>
      <c r="AQ349" s="11"/>
      <c r="AR349" s="11"/>
      <c r="AS349" s="11"/>
      <c r="AT349" s="11"/>
      <c r="AU349" s="11"/>
      <c r="AV349" s="11"/>
      <c r="AW349" s="11"/>
      <c r="AX349" s="11"/>
      <c r="AY349" s="11"/>
      <c r="AZ349" s="11"/>
      <c r="BA349" s="12"/>
      <c r="BB349" s="63" t="s">
        <v>276</v>
      </c>
      <c r="BC349" s="63"/>
      <c r="BD349" s="63"/>
      <c r="BE349" s="63">
        <f>(BE230*2+2)*C239*2</f>
        <v>140</v>
      </c>
      <c r="BF349" s="63"/>
      <c r="BG349" s="63"/>
      <c r="BH349" s="62" t="s">
        <v>276</v>
      </c>
      <c r="BI349" s="62"/>
      <c r="BJ349" s="62"/>
      <c r="BK349" s="62" t="s">
        <v>276</v>
      </c>
      <c r="BL349" s="62"/>
      <c r="BM349" s="62"/>
      <c r="BN349" s="83">
        <f t="shared" si="29"/>
        <v>247.27499999999995</v>
      </c>
      <c r="BO349" s="83"/>
      <c r="BP349" s="83"/>
      <c r="BQ349" s="83"/>
      <c r="BR349" s="84">
        <v>28</v>
      </c>
      <c r="BS349" s="84"/>
      <c r="BT349" s="84"/>
      <c r="BU349" s="84"/>
      <c r="BV349" s="84"/>
      <c r="BW349" s="84"/>
      <c r="BX349" s="85">
        <f t="shared" si="27"/>
        <v>6923.6999999999989</v>
      </c>
      <c r="BY349" s="85"/>
      <c r="BZ349" s="85"/>
      <c r="CA349" s="85"/>
      <c r="CB349" s="86"/>
    </row>
    <row r="350" spans="2:80" x14ac:dyDescent="0.2">
      <c r="B350" s="71" t="s">
        <v>441</v>
      </c>
      <c r="C350" s="72"/>
      <c r="D350" s="72"/>
      <c r="E350" s="72"/>
      <c r="F350" s="72"/>
      <c r="G350" s="72"/>
      <c r="H350" s="72"/>
      <c r="I350" s="72"/>
      <c r="J350" s="72"/>
      <c r="K350" s="72"/>
      <c r="L350" s="72"/>
      <c r="M350" s="72"/>
      <c r="N350" s="72"/>
      <c r="O350" s="13" t="s">
        <v>278</v>
      </c>
      <c r="P350" s="73">
        <v>12</v>
      </c>
      <c r="Q350" s="73"/>
      <c r="R350" s="11"/>
      <c r="S350" s="11" t="s">
        <v>282</v>
      </c>
      <c r="T350" s="11"/>
      <c r="U350" s="11"/>
      <c r="V350" s="11"/>
      <c r="W350" s="11"/>
      <c r="X350" s="11"/>
      <c r="Y350" s="73">
        <v>2</v>
      </c>
      <c r="Z350" s="73"/>
      <c r="AA350" s="11" t="s">
        <v>433</v>
      </c>
      <c r="AB350" s="11"/>
      <c r="AC350" s="11"/>
      <c r="AD350" s="11"/>
      <c r="AE350" s="11"/>
      <c r="AF350" s="11"/>
      <c r="AG350" s="11"/>
      <c r="AH350" s="11"/>
      <c r="AI350" s="11"/>
      <c r="AJ350" s="11"/>
      <c r="AK350" s="11"/>
      <c r="AL350" s="11"/>
      <c r="AM350" s="11"/>
      <c r="AN350" s="11"/>
      <c r="AO350" s="11"/>
      <c r="AP350" s="11"/>
      <c r="AQ350" s="11"/>
      <c r="AR350" s="11"/>
      <c r="AS350" s="11"/>
      <c r="AT350" s="11"/>
      <c r="AU350" s="11"/>
      <c r="AV350" s="11"/>
      <c r="AW350" s="11"/>
      <c r="AX350" s="11"/>
      <c r="AY350" s="11"/>
      <c r="AZ350" s="11"/>
      <c r="BA350" s="12"/>
      <c r="BB350" s="63" t="s">
        <v>276</v>
      </c>
      <c r="BC350" s="63"/>
      <c r="BD350" s="63"/>
      <c r="BE350" s="63">
        <f>(BE230*2+BE230+(BE230-1))*2*C239*2*Y350</f>
        <v>840</v>
      </c>
      <c r="BF350" s="63"/>
      <c r="BG350" s="63"/>
      <c r="BH350" s="62" t="s">
        <v>276</v>
      </c>
      <c r="BI350" s="62"/>
      <c r="BJ350" s="62"/>
      <c r="BK350" s="62" t="s">
        <v>276</v>
      </c>
      <c r="BL350" s="62"/>
      <c r="BM350" s="62"/>
      <c r="BN350" s="63" t="s">
        <v>276</v>
      </c>
      <c r="BO350" s="63"/>
      <c r="BP350" s="63"/>
      <c r="BQ350" s="63"/>
      <c r="BR350" s="64">
        <v>105</v>
      </c>
      <c r="BS350" s="64"/>
      <c r="BT350" s="64"/>
      <c r="BU350" s="64"/>
      <c r="BV350" s="64"/>
      <c r="BW350" s="64"/>
      <c r="BX350" s="65">
        <f t="shared" ref="BX350" si="30">BR350*BE350</f>
        <v>88200</v>
      </c>
      <c r="BY350" s="65"/>
      <c r="BZ350" s="65"/>
      <c r="CA350" s="65"/>
      <c r="CB350" s="66"/>
    </row>
    <row r="351" spans="2:80" x14ac:dyDescent="0.2">
      <c r="B351" s="71" t="s">
        <v>572</v>
      </c>
      <c r="C351" s="72"/>
      <c r="D351" s="72"/>
      <c r="E351" s="72"/>
      <c r="F351" s="72"/>
      <c r="G351" s="72"/>
      <c r="H351" s="72"/>
      <c r="I351" s="72"/>
      <c r="J351" s="72"/>
      <c r="K351" s="72"/>
      <c r="L351" s="72"/>
      <c r="M351" s="72"/>
      <c r="N351" s="72"/>
      <c r="O351" s="13" t="s">
        <v>278</v>
      </c>
      <c r="P351" s="73">
        <v>20</v>
      </c>
      <c r="Q351" s="73"/>
      <c r="R351" s="11"/>
      <c r="S351" s="11" t="s">
        <v>282</v>
      </c>
      <c r="T351" s="11"/>
      <c r="U351" s="11"/>
      <c r="V351" s="11"/>
      <c r="W351" s="11"/>
      <c r="X351" s="11"/>
      <c r="Y351" s="73">
        <v>10</v>
      </c>
      <c r="Z351" s="73"/>
      <c r="AA351" s="11" t="s">
        <v>433</v>
      </c>
      <c r="AB351" s="11"/>
      <c r="AC351" s="11"/>
      <c r="AD351" s="11"/>
      <c r="AE351" s="11"/>
      <c r="AF351" s="11"/>
      <c r="AG351" s="11"/>
      <c r="AH351" s="11"/>
      <c r="AI351" s="11"/>
      <c r="AJ351" s="11"/>
      <c r="AK351" s="11"/>
      <c r="AL351" s="11"/>
      <c r="AM351" s="11"/>
      <c r="AN351" s="11"/>
      <c r="AO351" s="11"/>
      <c r="AP351" s="11"/>
      <c r="AQ351" s="11"/>
      <c r="AR351" s="11"/>
      <c r="AS351" s="11"/>
      <c r="AT351" s="11"/>
      <c r="AU351" s="11"/>
      <c r="AV351" s="11"/>
      <c r="AW351" s="11"/>
      <c r="AX351" s="11"/>
      <c r="AY351" s="11"/>
      <c r="AZ351" s="11"/>
      <c r="BA351" s="12"/>
      <c r="BB351" s="63" t="s">
        <v>276</v>
      </c>
      <c r="BC351" s="63"/>
      <c r="BD351" s="63"/>
      <c r="BE351" s="63">
        <f>(C239+1)*2*Y351</f>
        <v>160</v>
      </c>
      <c r="BF351" s="63"/>
      <c r="BG351" s="63"/>
      <c r="BH351" s="62" t="s">
        <v>276</v>
      </c>
      <c r="BI351" s="62"/>
      <c r="BJ351" s="62"/>
      <c r="BK351" s="62" t="s">
        <v>276</v>
      </c>
      <c r="BL351" s="62"/>
      <c r="BM351" s="62"/>
      <c r="BN351" s="63" t="s">
        <v>276</v>
      </c>
      <c r="BO351" s="63"/>
      <c r="BP351" s="63"/>
      <c r="BQ351" s="63"/>
      <c r="BR351" s="64">
        <v>105</v>
      </c>
      <c r="BS351" s="64"/>
      <c r="BT351" s="64"/>
      <c r="BU351" s="64"/>
      <c r="BV351" s="64"/>
      <c r="BW351" s="64"/>
      <c r="BX351" s="65">
        <f t="shared" ref="BX351:BX360" si="31">BR351*BE351</f>
        <v>16800</v>
      </c>
      <c r="BY351" s="65"/>
      <c r="BZ351" s="65"/>
      <c r="CA351" s="65"/>
      <c r="CB351" s="66"/>
    </row>
    <row r="352" spans="2:80" x14ac:dyDescent="0.2">
      <c r="B352" s="71" t="s">
        <v>573</v>
      </c>
      <c r="C352" s="72"/>
      <c r="D352" s="72"/>
      <c r="E352" s="72"/>
      <c r="F352" s="72"/>
      <c r="G352" s="72"/>
      <c r="H352" s="72"/>
      <c r="I352" s="72"/>
      <c r="J352" s="72"/>
      <c r="K352" s="72"/>
      <c r="L352" s="72"/>
      <c r="M352" s="72"/>
      <c r="N352" s="72"/>
      <c r="O352" s="13" t="s">
        <v>278</v>
      </c>
      <c r="P352" s="73">
        <v>20</v>
      </c>
      <c r="Q352" s="73"/>
      <c r="R352" s="11"/>
      <c r="S352" s="11" t="s">
        <v>282</v>
      </c>
      <c r="T352" s="11"/>
      <c r="U352" s="11"/>
      <c r="V352" s="11"/>
      <c r="W352" s="11"/>
      <c r="X352" s="11"/>
      <c r="Y352" s="73">
        <v>10</v>
      </c>
      <c r="Z352" s="73"/>
      <c r="AA352" s="11" t="s">
        <v>433</v>
      </c>
      <c r="AB352" s="11"/>
      <c r="AC352" s="11"/>
      <c r="AD352" s="11"/>
      <c r="AE352" s="11"/>
      <c r="AF352" s="11"/>
      <c r="AG352" s="11"/>
      <c r="AH352" s="11"/>
      <c r="AI352" s="11"/>
      <c r="AJ352" s="11"/>
      <c r="AK352" s="11"/>
      <c r="AL352" s="11"/>
      <c r="AM352" s="11"/>
      <c r="AN352" s="11"/>
      <c r="AO352" s="11"/>
      <c r="AP352" s="11"/>
      <c r="AQ352" s="11"/>
      <c r="AR352" s="11"/>
      <c r="AS352" s="11"/>
      <c r="AT352" s="11"/>
      <c r="AU352" s="11"/>
      <c r="AV352" s="11"/>
      <c r="AW352" s="11"/>
      <c r="AX352" s="11"/>
      <c r="AY352" s="11"/>
      <c r="AZ352" s="11"/>
      <c r="BA352" s="12"/>
      <c r="BB352" s="63" t="s">
        <v>276</v>
      </c>
      <c r="BC352" s="63"/>
      <c r="BD352" s="63"/>
      <c r="BE352" s="63">
        <f>(C239+1)*Y352</f>
        <v>80</v>
      </c>
      <c r="BF352" s="63"/>
      <c r="BG352" s="63"/>
      <c r="BH352" s="62" t="s">
        <v>276</v>
      </c>
      <c r="BI352" s="62"/>
      <c r="BJ352" s="62"/>
      <c r="BK352" s="62" t="s">
        <v>276</v>
      </c>
      <c r="BL352" s="62"/>
      <c r="BM352" s="62"/>
      <c r="BN352" s="63" t="s">
        <v>276</v>
      </c>
      <c r="BO352" s="63"/>
      <c r="BP352" s="63"/>
      <c r="BQ352" s="63"/>
      <c r="BR352" s="64">
        <v>105</v>
      </c>
      <c r="BS352" s="64"/>
      <c r="BT352" s="64"/>
      <c r="BU352" s="64"/>
      <c r="BV352" s="64"/>
      <c r="BW352" s="64"/>
      <c r="BX352" s="65">
        <f t="shared" si="31"/>
        <v>8400</v>
      </c>
      <c r="BY352" s="65"/>
      <c r="BZ352" s="65"/>
      <c r="CA352" s="65"/>
      <c r="CB352" s="66"/>
    </row>
    <row r="353" spans="2:80" x14ac:dyDescent="0.2">
      <c r="B353" s="71" t="s">
        <v>481</v>
      </c>
      <c r="C353" s="72"/>
      <c r="D353" s="72"/>
      <c r="E353" s="72"/>
      <c r="F353" s="72"/>
      <c r="G353" s="72"/>
      <c r="H353" s="72"/>
      <c r="I353" s="72"/>
      <c r="J353" s="72"/>
      <c r="K353" s="72"/>
      <c r="L353" s="72"/>
      <c r="M353" s="72"/>
      <c r="N353" s="72"/>
      <c r="O353" s="13" t="s">
        <v>278</v>
      </c>
      <c r="P353" s="73">
        <v>16</v>
      </c>
      <c r="Q353" s="73"/>
      <c r="R353" s="11"/>
      <c r="S353" s="11" t="s">
        <v>282</v>
      </c>
      <c r="T353" s="11"/>
      <c r="U353" s="11"/>
      <c r="V353" s="11"/>
      <c r="W353" s="11"/>
      <c r="X353" s="11"/>
      <c r="Y353" s="73">
        <v>2</v>
      </c>
      <c r="Z353" s="73"/>
      <c r="AA353" s="11" t="s">
        <v>433</v>
      </c>
      <c r="AB353" s="11"/>
      <c r="AC353" s="11"/>
      <c r="AD353" s="11"/>
      <c r="AE353" s="11"/>
      <c r="AF353" s="11"/>
      <c r="AG353" s="11"/>
      <c r="AH353" s="11"/>
      <c r="AI353" s="11"/>
      <c r="AJ353" s="11"/>
      <c r="AK353" s="11"/>
      <c r="AL353" s="11"/>
      <c r="AM353" s="11"/>
      <c r="AN353" s="11"/>
      <c r="AO353" s="11"/>
      <c r="AP353" s="11"/>
      <c r="AQ353" s="11"/>
      <c r="AR353" s="11"/>
      <c r="AS353" s="11"/>
      <c r="AT353" s="11"/>
      <c r="AU353" s="11"/>
      <c r="AV353" s="11"/>
      <c r="AW353" s="11"/>
      <c r="AX353" s="11"/>
      <c r="AY353" s="11"/>
      <c r="AZ353" s="11"/>
      <c r="BA353" s="12"/>
      <c r="BB353" s="63" t="s">
        <v>276</v>
      </c>
      <c r="BC353" s="63"/>
      <c r="BD353" s="63"/>
      <c r="BE353" s="63" cm="1">
        <f t="array" ref="BE353">((C239)*4+INDEX(BN218:BN228,MATCH(C239,BM218:BM228,0),0)*4)*2*Y353</f>
        <v>160</v>
      </c>
      <c r="BF353" s="63"/>
      <c r="BG353" s="63"/>
      <c r="BH353" s="62" t="s">
        <v>276</v>
      </c>
      <c r="BI353" s="62"/>
      <c r="BJ353" s="62"/>
      <c r="BK353" s="62" t="s">
        <v>276</v>
      </c>
      <c r="BL353" s="62"/>
      <c r="BM353" s="62"/>
      <c r="BN353" s="63" t="s">
        <v>276</v>
      </c>
      <c r="BO353" s="63"/>
      <c r="BP353" s="63"/>
      <c r="BQ353" s="63"/>
      <c r="BR353" s="64">
        <v>105</v>
      </c>
      <c r="BS353" s="64"/>
      <c r="BT353" s="64"/>
      <c r="BU353" s="64"/>
      <c r="BV353" s="64"/>
      <c r="BW353" s="64"/>
      <c r="BX353" s="65">
        <f t="shared" si="31"/>
        <v>16800</v>
      </c>
      <c r="BY353" s="65"/>
      <c r="BZ353" s="65"/>
      <c r="CA353" s="65"/>
      <c r="CB353" s="66"/>
    </row>
    <row r="354" spans="2:80" x14ac:dyDescent="0.2">
      <c r="B354" s="71" t="s">
        <v>474</v>
      </c>
      <c r="C354" s="72"/>
      <c r="D354" s="72"/>
      <c r="E354" s="72"/>
      <c r="F354" s="72"/>
      <c r="G354" s="72"/>
      <c r="H354" s="72"/>
      <c r="I354" s="72"/>
      <c r="J354" s="72"/>
      <c r="K354" s="72"/>
      <c r="L354" s="72"/>
      <c r="M354" s="72"/>
      <c r="N354" s="72"/>
      <c r="O354" s="13" t="s">
        <v>278</v>
      </c>
      <c r="P354" s="73">
        <v>12</v>
      </c>
      <c r="Q354" s="73"/>
      <c r="R354" s="11"/>
      <c r="S354" s="11" t="s">
        <v>282</v>
      </c>
      <c r="T354" s="11"/>
      <c r="U354" s="11"/>
      <c r="V354" s="11"/>
      <c r="W354" s="11"/>
      <c r="X354" s="11"/>
      <c r="Y354" s="73">
        <v>2</v>
      </c>
      <c r="Z354" s="73"/>
      <c r="AA354" s="11" t="s">
        <v>433</v>
      </c>
      <c r="AB354" s="11"/>
      <c r="AC354" s="11"/>
      <c r="AD354" s="11"/>
      <c r="AE354" s="11"/>
      <c r="AF354" s="11"/>
      <c r="AG354" s="11"/>
      <c r="AH354" s="11"/>
      <c r="AI354" s="11"/>
      <c r="AJ354" s="11"/>
      <c r="AK354" s="11"/>
      <c r="AL354" s="11"/>
      <c r="AM354" s="11"/>
      <c r="AN354" s="11"/>
      <c r="AO354" s="11"/>
      <c r="AP354" s="11"/>
      <c r="AQ354" s="11"/>
      <c r="AR354" s="11"/>
      <c r="AS354" s="11"/>
      <c r="AT354" s="11"/>
      <c r="AU354" s="11"/>
      <c r="AV354" s="11"/>
      <c r="AW354" s="11"/>
      <c r="AX354" s="11"/>
      <c r="AY354" s="11"/>
      <c r="AZ354" s="11"/>
      <c r="BA354" s="12"/>
      <c r="BB354" s="63" t="s">
        <v>276</v>
      </c>
      <c r="BC354" s="63"/>
      <c r="BD354" s="63"/>
      <c r="BE354" s="63">
        <f>(C239+1)*AL221*Y354</f>
        <v>160</v>
      </c>
      <c r="BF354" s="63"/>
      <c r="BG354" s="63"/>
      <c r="BH354" s="62" t="s">
        <v>276</v>
      </c>
      <c r="BI354" s="62"/>
      <c r="BJ354" s="62"/>
      <c r="BK354" s="62" t="s">
        <v>276</v>
      </c>
      <c r="BL354" s="62"/>
      <c r="BM354" s="62"/>
      <c r="BN354" s="63" t="s">
        <v>276</v>
      </c>
      <c r="BO354" s="63"/>
      <c r="BP354" s="63"/>
      <c r="BQ354" s="63"/>
      <c r="BR354" s="64">
        <v>105</v>
      </c>
      <c r="BS354" s="64"/>
      <c r="BT354" s="64"/>
      <c r="BU354" s="64"/>
      <c r="BV354" s="64"/>
      <c r="BW354" s="64"/>
      <c r="BX354" s="65">
        <f t="shared" si="31"/>
        <v>16800</v>
      </c>
      <c r="BY354" s="65"/>
      <c r="BZ354" s="65"/>
      <c r="CA354" s="65"/>
      <c r="CB354" s="66"/>
    </row>
    <row r="355" spans="2:80" x14ac:dyDescent="0.2">
      <c r="B355" s="71" t="s">
        <v>568</v>
      </c>
      <c r="C355" s="72"/>
      <c r="D355" s="72"/>
      <c r="E355" s="72"/>
      <c r="F355" s="72"/>
      <c r="G355" s="72"/>
      <c r="H355" s="72"/>
      <c r="I355" s="72"/>
      <c r="J355" s="72"/>
      <c r="K355" s="72"/>
      <c r="L355" s="72"/>
      <c r="M355" s="72"/>
      <c r="N355" s="72"/>
      <c r="O355" s="13" t="s">
        <v>278</v>
      </c>
      <c r="P355" s="73">
        <v>16</v>
      </c>
      <c r="Q355" s="73"/>
      <c r="R355" s="11"/>
      <c r="S355" s="11" t="s">
        <v>282</v>
      </c>
      <c r="T355" s="11"/>
      <c r="U355" s="11"/>
      <c r="V355" s="11"/>
      <c r="W355" s="11"/>
      <c r="X355" s="11"/>
      <c r="Y355" s="73">
        <v>4</v>
      </c>
      <c r="Z355" s="73"/>
      <c r="AA355" s="11" t="s">
        <v>433</v>
      </c>
      <c r="AB355" s="11"/>
      <c r="AC355" s="11"/>
      <c r="AD355" s="11"/>
      <c r="AE355" s="11"/>
      <c r="AF355" s="11"/>
      <c r="AG355" s="11"/>
      <c r="AH355" s="11"/>
      <c r="AI355" s="11"/>
      <c r="AJ355" s="11"/>
      <c r="AK355" s="11"/>
      <c r="AL355" s="11"/>
      <c r="AM355" s="11"/>
      <c r="AN355" s="11"/>
      <c r="AO355" s="11"/>
      <c r="AP355" s="11"/>
      <c r="AQ355" s="11"/>
      <c r="AR355" s="11"/>
      <c r="AS355" s="11"/>
      <c r="AT355" s="11"/>
      <c r="AU355" s="11"/>
      <c r="AV355" s="11"/>
      <c r="AW355" s="11"/>
      <c r="AX355" s="11"/>
      <c r="AY355" s="11"/>
      <c r="AZ355" s="11"/>
      <c r="BA355" s="12"/>
      <c r="BB355" s="63" t="s">
        <v>276</v>
      </c>
      <c r="BC355" s="63"/>
      <c r="BD355" s="63"/>
      <c r="BE355" s="63" cm="1">
        <f t="array" ref="BE355">INDEX(BN218:BN228,MATCH(C239,BM218:BM228,0),0)*4*3*2*Y355</f>
        <v>288</v>
      </c>
      <c r="BF355" s="63"/>
      <c r="BG355" s="63"/>
      <c r="BH355" s="62" t="s">
        <v>276</v>
      </c>
      <c r="BI355" s="62"/>
      <c r="BJ355" s="62"/>
      <c r="BK355" s="62" t="s">
        <v>276</v>
      </c>
      <c r="BL355" s="62"/>
      <c r="BM355" s="62"/>
      <c r="BN355" s="63" t="s">
        <v>276</v>
      </c>
      <c r="BO355" s="63"/>
      <c r="BP355" s="63"/>
      <c r="BQ355" s="63"/>
      <c r="BR355" s="64">
        <v>105</v>
      </c>
      <c r="BS355" s="64"/>
      <c r="BT355" s="64"/>
      <c r="BU355" s="64"/>
      <c r="BV355" s="64"/>
      <c r="BW355" s="64"/>
      <c r="BX355" s="65">
        <f t="shared" si="31"/>
        <v>30240</v>
      </c>
      <c r="BY355" s="65"/>
      <c r="BZ355" s="65"/>
      <c r="CA355" s="65"/>
      <c r="CB355" s="66"/>
    </row>
    <row r="356" spans="2:80" x14ac:dyDescent="0.2">
      <c r="B356" s="71" t="s">
        <v>569</v>
      </c>
      <c r="C356" s="72"/>
      <c r="D356" s="72"/>
      <c r="E356" s="72"/>
      <c r="F356" s="72"/>
      <c r="G356" s="72"/>
      <c r="H356" s="72"/>
      <c r="I356" s="72"/>
      <c r="J356" s="72"/>
      <c r="K356" s="72"/>
      <c r="L356" s="72"/>
      <c r="M356" s="72"/>
      <c r="N356" s="72"/>
      <c r="O356" s="13" t="s">
        <v>278</v>
      </c>
      <c r="P356" s="73">
        <v>16</v>
      </c>
      <c r="Q356" s="73"/>
      <c r="R356" s="11"/>
      <c r="S356" s="11" t="s">
        <v>282</v>
      </c>
      <c r="T356" s="11"/>
      <c r="U356" s="11"/>
      <c r="V356" s="11"/>
      <c r="W356" s="11"/>
      <c r="X356" s="11"/>
      <c r="Y356" s="73">
        <v>4</v>
      </c>
      <c r="Z356" s="73"/>
      <c r="AA356" s="11" t="s">
        <v>433</v>
      </c>
      <c r="AB356" s="11"/>
      <c r="AC356" s="11"/>
      <c r="AD356" s="11"/>
      <c r="AE356" s="11"/>
      <c r="AF356" s="11"/>
      <c r="AG356" s="11"/>
      <c r="AH356" s="11"/>
      <c r="AI356" s="11"/>
      <c r="AJ356" s="11"/>
      <c r="AK356" s="11"/>
      <c r="AL356" s="11"/>
      <c r="AM356" s="11"/>
      <c r="AN356" s="11"/>
      <c r="AO356" s="11"/>
      <c r="AP356" s="11"/>
      <c r="AQ356" s="11"/>
      <c r="AR356" s="11"/>
      <c r="AS356" s="11"/>
      <c r="AT356" s="11"/>
      <c r="AU356" s="11"/>
      <c r="AV356" s="11"/>
      <c r="AW356" s="11"/>
      <c r="AX356" s="11"/>
      <c r="AY356" s="11"/>
      <c r="AZ356" s="11"/>
      <c r="BA356" s="12"/>
      <c r="BB356" s="63" t="s">
        <v>276</v>
      </c>
      <c r="BC356" s="63"/>
      <c r="BD356" s="63"/>
      <c r="BE356" s="63" cm="1">
        <f t="array" ref="BE356">INDEX(BN218:BN228,MATCH(C239,BM218:BM228,0),0)*2*3*2*Y356</f>
        <v>144</v>
      </c>
      <c r="BF356" s="63"/>
      <c r="BG356" s="63"/>
      <c r="BH356" s="62" t="s">
        <v>276</v>
      </c>
      <c r="BI356" s="62"/>
      <c r="BJ356" s="62"/>
      <c r="BK356" s="62" t="s">
        <v>276</v>
      </c>
      <c r="BL356" s="62"/>
      <c r="BM356" s="62"/>
      <c r="BN356" s="63" t="s">
        <v>276</v>
      </c>
      <c r="BO356" s="63"/>
      <c r="BP356" s="63"/>
      <c r="BQ356" s="63"/>
      <c r="BR356" s="64">
        <v>105</v>
      </c>
      <c r="BS356" s="64"/>
      <c r="BT356" s="64"/>
      <c r="BU356" s="64"/>
      <c r="BV356" s="64"/>
      <c r="BW356" s="64"/>
      <c r="BX356" s="65">
        <f t="shared" si="31"/>
        <v>15120</v>
      </c>
      <c r="BY356" s="65"/>
      <c r="BZ356" s="65"/>
      <c r="CA356" s="65"/>
      <c r="CB356" s="66"/>
    </row>
    <row r="357" spans="2:80" x14ac:dyDescent="0.2">
      <c r="B357" s="71" t="s">
        <v>478</v>
      </c>
      <c r="C357" s="72"/>
      <c r="D357" s="72"/>
      <c r="E357" s="72"/>
      <c r="F357" s="72"/>
      <c r="G357" s="72"/>
      <c r="H357" s="72"/>
      <c r="I357" s="72"/>
      <c r="J357" s="72"/>
      <c r="K357" s="72"/>
      <c r="L357" s="72"/>
      <c r="M357" s="72"/>
      <c r="N357" s="72"/>
      <c r="O357" s="13" t="s">
        <v>278</v>
      </c>
      <c r="P357" s="73">
        <v>12</v>
      </c>
      <c r="Q357" s="73"/>
      <c r="R357" s="11"/>
      <c r="S357" s="11" t="s">
        <v>282</v>
      </c>
      <c r="T357" s="11"/>
      <c r="U357" s="11"/>
      <c r="V357" s="11"/>
      <c r="W357" s="11"/>
      <c r="X357" s="11"/>
      <c r="Y357" s="73">
        <v>4</v>
      </c>
      <c r="Z357" s="73"/>
      <c r="AA357" s="11" t="s">
        <v>433</v>
      </c>
      <c r="AB357" s="11"/>
      <c r="AC357" s="11"/>
      <c r="AD357" s="11"/>
      <c r="AE357" s="11"/>
      <c r="AF357" s="11"/>
      <c r="AG357" s="11"/>
      <c r="AH357" s="11"/>
      <c r="AI357" s="11"/>
      <c r="AJ357" s="11"/>
      <c r="AK357" s="11"/>
      <c r="AL357" s="11"/>
      <c r="AM357" s="11"/>
      <c r="AN357" s="11"/>
      <c r="AO357" s="11"/>
      <c r="AP357" s="11"/>
      <c r="AQ357" s="11"/>
      <c r="AR357" s="11"/>
      <c r="AS357" s="11"/>
      <c r="AT357" s="11"/>
      <c r="AU357" s="11"/>
      <c r="AV357" s="11"/>
      <c r="AW357" s="11"/>
      <c r="AX357" s="11"/>
      <c r="AY357" s="11"/>
      <c r="AZ357" s="11"/>
      <c r="BA357" s="12"/>
      <c r="BB357" s="63" t="s">
        <v>276</v>
      </c>
      <c r="BC357" s="63"/>
      <c r="BD357" s="63"/>
      <c r="BE357" s="63" cm="1">
        <f t="array" ref="BE357">INDEX(BO218:BO228,MATCH(C239,BM218:BM228,0),0)*2*2*2*Y357</f>
        <v>128</v>
      </c>
      <c r="BF357" s="63"/>
      <c r="BG357" s="63"/>
      <c r="BH357" s="62" t="s">
        <v>276</v>
      </c>
      <c r="BI357" s="62"/>
      <c r="BJ357" s="62"/>
      <c r="BK357" s="62" t="s">
        <v>276</v>
      </c>
      <c r="BL357" s="62"/>
      <c r="BM357" s="62"/>
      <c r="BN357" s="63" t="s">
        <v>276</v>
      </c>
      <c r="BO357" s="63"/>
      <c r="BP357" s="63"/>
      <c r="BQ357" s="63"/>
      <c r="BR357" s="64">
        <v>105</v>
      </c>
      <c r="BS357" s="64"/>
      <c r="BT357" s="64"/>
      <c r="BU357" s="64"/>
      <c r="BV357" s="64"/>
      <c r="BW357" s="64"/>
      <c r="BX357" s="65">
        <f t="shared" si="31"/>
        <v>13440</v>
      </c>
      <c r="BY357" s="65"/>
      <c r="BZ357" s="65"/>
      <c r="CA357" s="65"/>
      <c r="CB357" s="66"/>
    </row>
    <row r="358" spans="2:80" x14ac:dyDescent="0.2">
      <c r="B358" s="71" t="s">
        <v>479</v>
      </c>
      <c r="C358" s="72"/>
      <c r="D358" s="72"/>
      <c r="E358" s="72"/>
      <c r="F358" s="72"/>
      <c r="G358" s="72"/>
      <c r="H358" s="72"/>
      <c r="I358" s="72"/>
      <c r="J358" s="72"/>
      <c r="K358" s="72"/>
      <c r="L358" s="72"/>
      <c r="M358" s="72"/>
      <c r="N358" s="72"/>
      <c r="O358" s="13" t="s">
        <v>278</v>
      </c>
      <c r="P358" s="73">
        <v>12</v>
      </c>
      <c r="Q358" s="73"/>
      <c r="R358" s="11"/>
      <c r="S358" s="11" t="s">
        <v>282</v>
      </c>
      <c r="T358" s="11"/>
      <c r="U358" s="11"/>
      <c r="V358" s="11"/>
      <c r="W358" s="11"/>
      <c r="X358" s="11"/>
      <c r="Y358" s="73">
        <v>4</v>
      </c>
      <c r="Z358" s="73"/>
      <c r="AA358" s="11" t="s">
        <v>433</v>
      </c>
      <c r="AB358" s="11"/>
      <c r="AC358" s="11"/>
      <c r="AD358" s="11"/>
      <c r="AE358" s="11"/>
      <c r="AF358" s="11"/>
      <c r="AG358" s="11"/>
      <c r="AH358" s="11"/>
      <c r="AI358" s="11"/>
      <c r="AJ358" s="11"/>
      <c r="AK358" s="11"/>
      <c r="AL358" s="11"/>
      <c r="AM358" s="11"/>
      <c r="AN358" s="11"/>
      <c r="AO358" s="11"/>
      <c r="AP358" s="11"/>
      <c r="AQ358" s="11"/>
      <c r="AR358" s="11"/>
      <c r="AS358" s="11"/>
      <c r="AT358" s="11"/>
      <c r="AU358" s="11"/>
      <c r="AV358" s="11"/>
      <c r="AW358" s="11"/>
      <c r="AX358" s="11"/>
      <c r="AY358" s="11"/>
      <c r="AZ358" s="11"/>
      <c r="BA358" s="12"/>
      <c r="BB358" s="63" t="s">
        <v>276</v>
      </c>
      <c r="BC358" s="63"/>
      <c r="BD358" s="63"/>
      <c r="BE358" s="63">
        <f>(36*2+IF((D263+D266)&lt;AH264,4,8)*2)*Y358</f>
        <v>352</v>
      </c>
      <c r="BF358" s="63"/>
      <c r="BG358" s="63"/>
      <c r="BH358" s="62" t="s">
        <v>276</v>
      </c>
      <c r="BI358" s="62"/>
      <c r="BJ358" s="62"/>
      <c r="BK358" s="62" t="s">
        <v>276</v>
      </c>
      <c r="BL358" s="62"/>
      <c r="BM358" s="62"/>
      <c r="BN358" s="63" t="s">
        <v>276</v>
      </c>
      <c r="BO358" s="63"/>
      <c r="BP358" s="63"/>
      <c r="BQ358" s="63"/>
      <c r="BR358" s="64">
        <v>105</v>
      </c>
      <c r="BS358" s="64"/>
      <c r="BT358" s="64"/>
      <c r="BU358" s="64"/>
      <c r="BV358" s="64"/>
      <c r="BW358" s="64"/>
      <c r="BX358" s="65">
        <f t="shared" si="31"/>
        <v>36960</v>
      </c>
      <c r="BY358" s="65"/>
      <c r="BZ358" s="65"/>
      <c r="CA358" s="65"/>
      <c r="CB358" s="66"/>
    </row>
    <row r="359" spans="2:80" x14ac:dyDescent="0.2">
      <c r="B359" s="71" t="s">
        <v>299</v>
      </c>
      <c r="C359" s="72"/>
      <c r="D359" s="72"/>
      <c r="E359" s="72"/>
      <c r="F359" s="72"/>
      <c r="G359" s="72"/>
      <c r="H359" s="72"/>
      <c r="I359" s="72"/>
      <c r="J359" s="72"/>
      <c r="K359" s="72"/>
      <c r="L359" s="72"/>
      <c r="M359" s="72"/>
      <c r="N359" s="72"/>
      <c r="O359" s="111">
        <v>22</v>
      </c>
      <c r="P359" s="112"/>
      <c r="Q359" s="11" t="s">
        <v>272</v>
      </c>
      <c r="R359" s="11"/>
      <c r="S359" s="11" t="s">
        <v>282</v>
      </c>
      <c r="T359" s="11"/>
      <c r="U359" s="11"/>
      <c r="V359" s="11"/>
      <c r="W359" s="11"/>
      <c r="X359" s="11"/>
      <c r="Y359" s="73">
        <v>8</v>
      </c>
      <c r="Z359" s="73"/>
      <c r="AA359" s="11" t="s">
        <v>433</v>
      </c>
      <c r="AB359" s="11"/>
      <c r="AC359" s="11"/>
      <c r="AD359" s="11"/>
      <c r="AE359" s="11"/>
      <c r="AF359" s="11"/>
      <c r="AG359" s="11"/>
      <c r="AH359" s="11"/>
      <c r="AI359" s="11"/>
      <c r="AJ359" s="11"/>
      <c r="AK359" s="11"/>
      <c r="AL359" s="11"/>
      <c r="AM359" s="11"/>
      <c r="AN359" s="11"/>
      <c r="AO359" s="11"/>
      <c r="AP359" s="11"/>
      <c r="AQ359" s="11"/>
      <c r="AR359" s="11"/>
      <c r="AS359" s="11"/>
      <c r="AT359" s="11"/>
      <c r="AU359" s="11"/>
      <c r="AV359" s="11"/>
      <c r="AW359" s="11"/>
      <c r="AX359" s="11"/>
      <c r="AY359" s="11"/>
      <c r="AZ359" s="11"/>
      <c r="BA359" s="12"/>
      <c r="BB359" s="63" t="s">
        <v>276</v>
      </c>
      <c r="BC359" s="63"/>
      <c r="BD359" s="63"/>
      <c r="BE359" s="63">
        <f>+BE322*Y359</f>
        <v>128</v>
      </c>
      <c r="BF359" s="63"/>
      <c r="BG359" s="63"/>
      <c r="BH359" s="62" t="s">
        <v>276</v>
      </c>
      <c r="BI359" s="62"/>
      <c r="BJ359" s="62"/>
      <c r="BK359" s="62" t="s">
        <v>276</v>
      </c>
      <c r="BL359" s="62"/>
      <c r="BM359" s="62"/>
      <c r="BN359" s="63" t="s">
        <v>276</v>
      </c>
      <c r="BO359" s="63"/>
      <c r="BP359" s="63"/>
      <c r="BQ359" s="63"/>
      <c r="BR359" s="64">
        <v>1800</v>
      </c>
      <c r="BS359" s="64"/>
      <c r="BT359" s="64"/>
      <c r="BU359" s="64"/>
      <c r="BV359" s="64"/>
      <c r="BW359" s="64"/>
      <c r="BX359" s="65">
        <f t="shared" si="31"/>
        <v>230400</v>
      </c>
      <c r="BY359" s="65"/>
      <c r="BZ359" s="65"/>
      <c r="CA359" s="65"/>
      <c r="CB359" s="66"/>
    </row>
    <row r="360" spans="2:80" x14ac:dyDescent="0.2">
      <c r="B360" s="71" t="s">
        <v>443</v>
      </c>
      <c r="C360" s="72"/>
      <c r="D360" s="72"/>
      <c r="E360" s="72"/>
      <c r="F360" s="72"/>
      <c r="G360" s="72"/>
      <c r="H360" s="72"/>
      <c r="I360" s="72"/>
      <c r="J360" s="72"/>
      <c r="K360" s="72"/>
      <c r="L360" s="72"/>
      <c r="M360" s="72"/>
      <c r="N360" s="72"/>
      <c r="O360" s="111">
        <v>20</v>
      </c>
      <c r="P360" s="112"/>
      <c r="Q360" s="11" t="s">
        <v>272</v>
      </c>
      <c r="R360" s="11"/>
      <c r="S360" s="11" t="s">
        <v>282</v>
      </c>
      <c r="T360" s="11"/>
      <c r="U360" s="11"/>
      <c r="V360" s="11"/>
      <c r="W360" s="11"/>
      <c r="X360" s="11"/>
      <c r="Y360" s="73">
        <v>2</v>
      </c>
      <c r="Z360" s="73"/>
      <c r="AA360" s="11" t="s">
        <v>433</v>
      </c>
      <c r="AB360" s="11"/>
      <c r="AC360" s="11"/>
      <c r="AD360" s="11"/>
      <c r="AE360" s="11"/>
      <c r="AF360" s="11"/>
      <c r="AG360" s="11"/>
      <c r="AH360" s="11"/>
      <c r="AI360" s="11"/>
      <c r="AJ360" s="11"/>
      <c r="AK360" s="11"/>
      <c r="AL360" s="11"/>
      <c r="AM360" s="11"/>
      <c r="AN360" s="11"/>
      <c r="AO360" s="11"/>
      <c r="AP360" s="11"/>
      <c r="AQ360" s="11"/>
      <c r="AR360" s="11"/>
      <c r="AS360" s="11"/>
      <c r="AT360" s="11"/>
      <c r="AU360" s="11"/>
      <c r="AV360" s="11"/>
      <c r="AW360" s="11"/>
      <c r="AX360" s="11"/>
      <c r="AY360" s="11"/>
      <c r="AZ360" s="11"/>
      <c r="BA360" s="12"/>
      <c r="BB360" s="63" t="s">
        <v>276</v>
      </c>
      <c r="BC360" s="63"/>
      <c r="BD360" s="63"/>
      <c r="BE360" s="63">
        <f>12*Y360</f>
        <v>24</v>
      </c>
      <c r="BF360" s="63"/>
      <c r="BG360" s="63"/>
      <c r="BH360" s="62" t="s">
        <v>276</v>
      </c>
      <c r="BI360" s="62"/>
      <c r="BJ360" s="62"/>
      <c r="BK360" s="62" t="s">
        <v>276</v>
      </c>
      <c r="BL360" s="62"/>
      <c r="BM360" s="62"/>
      <c r="BN360" s="63" t="s">
        <v>276</v>
      </c>
      <c r="BO360" s="63"/>
      <c r="BP360" s="63"/>
      <c r="BQ360" s="63"/>
      <c r="BR360" s="64">
        <v>1500</v>
      </c>
      <c r="BS360" s="64"/>
      <c r="BT360" s="64"/>
      <c r="BU360" s="64"/>
      <c r="BV360" s="64"/>
      <c r="BW360" s="64"/>
      <c r="BX360" s="65">
        <f t="shared" si="31"/>
        <v>36000</v>
      </c>
      <c r="BY360" s="65"/>
      <c r="BZ360" s="65"/>
      <c r="CA360" s="65"/>
      <c r="CB360" s="66"/>
    </row>
    <row r="361" spans="2:80" x14ac:dyDescent="0.2">
      <c r="B361" s="71" t="s">
        <v>292</v>
      </c>
      <c r="C361" s="72"/>
      <c r="D361" s="72"/>
      <c r="E361" s="72"/>
      <c r="F361" s="72"/>
      <c r="G361" s="72"/>
      <c r="H361" s="72"/>
      <c r="I361" s="72"/>
      <c r="J361" s="72"/>
      <c r="K361" s="72"/>
      <c r="L361" s="72"/>
      <c r="M361" s="72"/>
      <c r="N361" s="72"/>
      <c r="O361" s="144" t="s">
        <v>464</v>
      </c>
      <c r="P361" s="145"/>
      <c r="Q361" s="145"/>
      <c r="R361" s="145"/>
      <c r="S361" s="145"/>
      <c r="T361" s="145"/>
      <c r="U361" s="11" t="s">
        <v>295</v>
      </c>
      <c r="V361" s="19"/>
      <c r="W361" s="61">
        <f>N198*C229*2</f>
        <v>1013.0274626089857</v>
      </c>
      <c r="X361" s="61"/>
      <c r="Y361" s="61"/>
      <c r="Z361" s="11" t="s">
        <v>294</v>
      </c>
      <c r="AA361" s="11"/>
      <c r="AB361" s="11"/>
      <c r="AC361" s="11"/>
      <c r="AD361" s="11"/>
      <c r="AE361" s="11"/>
      <c r="AF361" s="11"/>
      <c r="AG361" s="11"/>
      <c r="AH361" s="11"/>
      <c r="AI361" s="11"/>
      <c r="AJ361" s="11"/>
      <c r="AK361" s="11"/>
      <c r="AL361" s="11"/>
      <c r="AM361" s="11"/>
      <c r="AN361" s="11"/>
      <c r="AO361" s="11"/>
      <c r="AP361" s="11"/>
      <c r="AQ361" s="11"/>
      <c r="AR361" s="11"/>
      <c r="AS361" s="11"/>
      <c r="AT361" s="11"/>
      <c r="AU361" s="11"/>
      <c r="AV361" s="11"/>
      <c r="AW361" s="11"/>
      <c r="AX361" s="11"/>
      <c r="AY361" s="11"/>
      <c r="AZ361" s="11"/>
      <c r="BA361" s="12"/>
      <c r="BB361" s="63" t="s">
        <v>276</v>
      </c>
      <c r="BC361" s="63"/>
      <c r="BD361" s="63"/>
      <c r="BE361" s="63">
        <v>1</v>
      </c>
      <c r="BF361" s="63"/>
      <c r="BG361" s="63"/>
      <c r="BH361" s="62" t="s">
        <v>276</v>
      </c>
      <c r="BI361" s="62"/>
      <c r="BJ361" s="62"/>
      <c r="BK361" s="62" t="s">
        <v>276</v>
      </c>
      <c r="BL361" s="62"/>
      <c r="BM361" s="62"/>
      <c r="BN361" s="63" t="s">
        <v>276</v>
      </c>
      <c r="BO361" s="63"/>
      <c r="BP361" s="63"/>
      <c r="BQ361" s="63"/>
      <c r="BR361" s="87">
        <v>200</v>
      </c>
      <c r="BS361" s="87"/>
      <c r="BT361" s="87"/>
      <c r="BU361" s="87"/>
      <c r="BV361" s="87"/>
      <c r="BW361" s="87"/>
      <c r="BX361" s="65">
        <f>W361*BR361*BE361</f>
        <v>202605.49252179713</v>
      </c>
      <c r="BY361" s="65"/>
      <c r="BZ361" s="65"/>
      <c r="CA361" s="65"/>
      <c r="CB361" s="66"/>
    </row>
    <row r="362" spans="2:80" x14ac:dyDescent="0.2">
      <c r="B362" s="71" t="s">
        <v>293</v>
      </c>
      <c r="C362" s="72"/>
      <c r="D362" s="72"/>
      <c r="E362" s="72"/>
      <c r="F362" s="72"/>
      <c r="G362" s="72"/>
      <c r="H362" s="72"/>
      <c r="I362" s="72"/>
      <c r="J362" s="72"/>
      <c r="K362" s="72"/>
      <c r="L362" s="72"/>
      <c r="M362" s="72"/>
      <c r="N362" s="72"/>
      <c r="O362" s="144" t="s">
        <v>465</v>
      </c>
      <c r="P362" s="145"/>
      <c r="Q362" s="145"/>
      <c r="R362" s="145"/>
      <c r="S362" s="145"/>
      <c r="T362" s="145"/>
      <c r="U362" s="11" t="s">
        <v>295</v>
      </c>
      <c r="V362" s="19"/>
      <c r="W362" s="61">
        <f>C229*E201*2+2*(E201*S209+S209*E195/2)-2*S269*AH264</f>
        <v>1039.8</v>
      </c>
      <c r="X362" s="61"/>
      <c r="Y362" s="61"/>
      <c r="Z362" s="11" t="s">
        <v>294</v>
      </c>
      <c r="AA362" s="11"/>
      <c r="AB362" s="11"/>
      <c r="AC362" s="11"/>
      <c r="AD362" s="11"/>
      <c r="AE362" s="11"/>
      <c r="AF362" s="11"/>
      <c r="AG362" s="11"/>
      <c r="AH362" s="11"/>
      <c r="AI362" s="11"/>
      <c r="AJ362" s="11"/>
      <c r="AK362" s="11"/>
      <c r="AL362" s="11"/>
      <c r="AM362" s="11"/>
      <c r="AN362" s="11"/>
      <c r="AO362" s="11"/>
      <c r="AP362" s="11"/>
      <c r="AQ362" s="11"/>
      <c r="AR362" s="11"/>
      <c r="AS362" s="11"/>
      <c r="AT362" s="11"/>
      <c r="AU362" s="11"/>
      <c r="AV362" s="11"/>
      <c r="AW362" s="11"/>
      <c r="AX362" s="11"/>
      <c r="AY362" s="11"/>
      <c r="AZ362" s="11"/>
      <c r="BA362" s="12"/>
      <c r="BB362" s="63" t="s">
        <v>276</v>
      </c>
      <c r="BC362" s="63"/>
      <c r="BD362" s="63"/>
      <c r="BE362" s="63">
        <v>1</v>
      </c>
      <c r="BF362" s="63"/>
      <c r="BG362" s="63"/>
      <c r="BH362" s="62" t="s">
        <v>276</v>
      </c>
      <c r="BI362" s="62"/>
      <c r="BJ362" s="62"/>
      <c r="BK362" s="62" t="s">
        <v>276</v>
      </c>
      <c r="BL362" s="62"/>
      <c r="BM362" s="62"/>
      <c r="BN362" s="63" t="s">
        <v>276</v>
      </c>
      <c r="BO362" s="63"/>
      <c r="BP362" s="63"/>
      <c r="BQ362" s="63"/>
      <c r="BR362" s="87">
        <v>1000</v>
      </c>
      <c r="BS362" s="87"/>
      <c r="BT362" s="87"/>
      <c r="BU362" s="87"/>
      <c r="BV362" s="87"/>
      <c r="BW362" s="87"/>
      <c r="BX362" s="65">
        <f>W362*BR362*BE362</f>
        <v>1039800</v>
      </c>
      <c r="BY362" s="65"/>
      <c r="BZ362" s="65"/>
      <c r="CA362" s="65"/>
      <c r="CB362" s="66"/>
    </row>
    <row r="363" spans="2:80" x14ac:dyDescent="0.2">
      <c r="B363" s="71" t="s">
        <v>296</v>
      </c>
      <c r="C363" s="72"/>
      <c r="D363" s="72"/>
      <c r="E363" s="72"/>
      <c r="F363" s="72"/>
      <c r="G363" s="72"/>
      <c r="H363" s="72"/>
      <c r="I363" s="72"/>
      <c r="J363" s="72"/>
      <c r="K363" s="72"/>
      <c r="L363" s="72"/>
      <c r="M363" s="72"/>
      <c r="N363" s="72"/>
      <c r="O363" s="120" t="s">
        <v>297</v>
      </c>
      <c r="P363" s="73"/>
      <c r="Q363" s="73"/>
      <c r="R363" s="11" t="s">
        <v>295</v>
      </c>
      <c r="S363" s="19"/>
      <c r="T363" s="61">
        <f>S269*AH264</f>
        <v>22.5</v>
      </c>
      <c r="U363" s="61"/>
      <c r="V363" s="61"/>
      <c r="W363" s="11" t="s">
        <v>294</v>
      </c>
      <c r="X363" s="11"/>
      <c r="Y363" s="11" t="s">
        <v>274</v>
      </c>
      <c r="Z363" s="73">
        <v>2</v>
      </c>
      <c r="AA363" s="73"/>
      <c r="AB363" s="11" t="s">
        <v>272</v>
      </c>
      <c r="AC363" s="11"/>
      <c r="AD363" s="11"/>
      <c r="AE363" s="11"/>
      <c r="AF363" s="11"/>
      <c r="AG363" s="11"/>
      <c r="AH363" s="11"/>
      <c r="AI363" s="11"/>
      <c r="AJ363" s="11"/>
      <c r="AK363" s="11"/>
      <c r="AL363" s="11"/>
      <c r="AM363" s="11"/>
      <c r="AN363" s="11"/>
      <c r="AO363" s="11"/>
      <c r="AP363" s="11"/>
      <c r="AQ363" s="11"/>
      <c r="AR363" s="11"/>
      <c r="AS363" s="11"/>
      <c r="AT363" s="11"/>
      <c r="AU363" s="11"/>
      <c r="AV363" s="11"/>
      <c r="AW363" s="11"/>
      <c r="AX363" s="11"/>
      <c r="AY363" s="11"/>
      <c r="AZ363" s="11"/>
      <c r="BA363" s="12"/>
      <c r="BB363" s="63" t="s">
        <v>276</v>
      </c>
      <c r="BC363" s="63"/>
      <c r="BD363" s="63"/>
      <c r="BE363" s="63">
        <v>2</v>
      </c>
      <c r="BF363" s="63"/>
      <c r="BG363" s="63"/>
      <c r="BH363" s="62" t="s">
        <v>276</v>
      </c>
      <c r="BI363" s="62"/>
      <c r="BJ363" s="62"/>
      <c r="BK363" s="62" t="s">
        <v>276</v>
      </c>
      <c r="BL363" s="62"/>
      <c r="BM363" s="62"/>
      <c r="BN363" s="83">
        <f>7850*T363*Z363/1000*BE363</f>
        <v>706.5</v>
      </c>
      <c r="BO363" s="83"/>
      <c r="BP363" s="83"/>
      <c r="BQ363" s="83"/>
      <c r="BR363" s="84">
        <v>28</v>
      </c>
      <c r="BS363" s="84"/>
      <c r="BT363" s="84"/>
      <c r="BU363" s="84"/>
      <c r="BV363" s="84"/>
      <c r="BW363" s="84"/>
      <c r="BX363" s="65">
        <f>BN363*BR363</f>
        <v>19782</v>
      </c>
      <c r="BY363" s="65"/>
      <c r="BZ363" s="65"/>
      <c r="CA363" s="65"/>
      <c r="CB363" s="66"/>
    </row>
    <row r="364" spans="2:80" x14ac:dyDescent="0.2">
      <c r="B364" s="14"/>
      <c r="BG364" s="133" t="s">
        <v>301</v>
      </c>
      <c r="BH364" s="133"/>
      <c r="BI364" s="133"/>
      <c r="BJ364" s="133"/>
      <c r="BK364" s="133"/>
      <c r="BL364" s="133"/>
      <c r="BM364" s="133"/>
      <c r="BN364" s="132">
        <f>SUM(BN319:BQ363)</f>
        <v>68213.515971284389</v>
      </c>
      <c r="BO364" s="133"/>
      <c r="BP364" s="133"/>
      <c r="BQ364" s="133"/>
      <c r="BS364" s="133" t="s">
        <v>484</v>
      </c>
      <c r="BT364" s="133"/>
      <c r="BU364" s="133"/>
      <c r="BV364" s="133"/>
      <c r="BW364" s="133"/>
      <c r="BX364" s="138">
        <f>SUM(BX319:CB363)</f>
        <v>3660891.8086636262</v>
      </c>
      <c r="BY364" s="138"/>
      <c r="BZ364" s="138"/>
      <c r="CA364" s="138"/>
      <c r="CB364" s="139"/>
    </row>
    <row r="365" spans="2:80" x14ac:dyDescent="0.2">
      <c r="B365" s="14"/>
      <c r="O365" s="44" t="s">
        <v>567</v>
      </c>
      <c r="BG365" s="133" t="s">
        <v>302</v>
      </c>
      <c r="BH365" s="133"/>
      <c r="BI365" s="133"/>
      <c r="BJ365" s="133"/>
      <c r="BK365" s="133"/>
      <c r="BL365" s="133"/>
      <c r="BM365" s="133"/>
      <c r="BN365" s="132">
        <f>+BN364/1000</f>
        <v>68.213515971284394</v>
      </c>
      <c r="BO365" s="133"/>
      <c r="BP365" s="133"/>
      <c r="BQ365" s="133"/>
      <c r="BS365" s="133" t="s">
        <v>485</v>
      </c>
      <c r="BT365" s="133"/>
      <c r="BU365" s="133"/>
      <c r="BV365" s="133"/>
      <c r="BW365" s="133"/>
      <c r="BX365" s="138">
        <f>BX364*0.18</f>
        <v>658960.52555945271</v>
      </c>
      <c r="BY365" s="138"/>
      <c r="BZ365" s="138"/>
      <c r="CA365" s="138"/>
      <c r="CB365" s="139"/>
    </row>
    <row r="366" spans="2:80" x14ac:dyDescent="0.2">
      <c r="B366" s="14"/>
      <c r="BG366" s="133" t="s">
        <v>411</v>
      </c>
      <c r="BH366" s="133"/>
      <c r="BI366" s="133"/>
      <c r="BJ366" s="133"/>
      <c r="BK366" s="133"/>
      <c r="BL366" s="133"/>
      <c r="BM366" s="133"/>
      <c r="BN366" s="186">
        <f>C229*S212</f>
        <v>1008</v>
      </c>
      <c r="BO366" s="186"/>
      <c r="BP366" s="186"/>
      <c r="BQ366" s="186"/>
      <c r="BS366" s="133" t="s">
        <v>486</v>
      </c>
      <c r="BT366" s="133"/>
      <c r="BU366" s="133"/>
      <c r="BV366" s="133"/>
      <c r="BW366" s="133"/>
      <c r="BX366" s="140">
        <f>+BX365+BX364</f>
        <v>4319852.3342230786</v>
      </c>
      <c r="BY366" s="140"/>
      <c r="BZ366" s="140"/>
      <c r="CA366" s="140"/>
      <c r="CB366" s="141"/>
    </row>
    <row r="367" spans="2:80" x14ac:dyDescent="0.2">
      <c r="B367" s="53" t="s">
        <v>545</v>
      </c>
      <c r="BG367" s="133" t="s">
        <v>412</v>
      </c>
      <c r="BH367" s="133"/>
      <c r="BI367" s="133"/>
      <c r="BJ367" s="133"/>
      <c r="BK367" s="133"/>
      <c r="BL367" s="133"/>
      <c r="BM367" s="133"/>
      <c r="BN367" s="137">
        <f>+BN364/BN366</f>
        <v>67.672138860401176</v>
      </c>
      <c r="BO367" s="137"/>
      <c r="BP367" s="137"/>
      <c r="BQ367" s="137"/>
      <c r="CB367" s="15"/>
    </row>
    <row r="368" spans="2:80" x14ac:dyDescent="0.2">
      <c r="B368" s="71" t="s">
        <v>490</v>
      </c>
      <c r="C368" s="72"/>
      <c r="D368" s="72"/>
      <c r="E368" s="72"/>
      <c r="F368" s="72"/>
      <c r="G368" s="72"/>
      <c r="H368" s="72"/>
      <c r="I368" s="72"/>
      <c r="J368" s="72"/>
      <c r="K368" s="72"/>
      <c r="L368" s="72"/>
      <c r="M368" s="72"/>
      <c r="N368" s="72"/>
      <c r="O368" s="69">
        <f>+K311</f>
        <v>0.9</v>
      </c>
      <c r="P368" s="61"/>
      <c r="Q368" s="11" t="s">
        <v>0</v>
      </c>
      <c r="R368" s="19" t="s">
        <v>491</v>
      </c>
      <c r="S368" s="61">
        <f>+C301</f>
        <v>0.9</v>
      </c>
      <c r="T368" s="61"/>
      <c r="U368" s="11" t="s">
        <v>0</v>
      </c>
      <c r="V368" s="19" t="s">
        <v>491</v>
      </c>
      <c r="W368" s="61">
        <f>+Q279</f>
        <v>0.8</v>
      </c>
      <c r="X368" s="61"/>
      <c r="Y368" s="11" t="s">
        <v>0</v>
      </c>
      <c r="Z368" s="19" t="s">
        <v>491</v>
      </c>
      <c r="AA368" s="61">
        <f>(C239+1)*2+6*2</f>
        <v>28</v>
      </c>
      <c r="AB368" s="61"/>
      <c r="AC368" s="11" t="s">
        <v>433</v>
      </c>
      <c r="AD368" s="11"/>
      <c r="AE368" s="19" t="s">
        <v>2</v>
      </c>
      <c r="AF368" s="61">
        <f>O368*S368*W368*AA368</f>
        <v>18.144000000000005</v>
      </c>
      <c r="AG368" s="61"/>
      <c r="AH368" s="61"/>
      <c r="AI368" s="11" t="s">
        <v>492</v>
      </c>
      <c r="AJ368" s="11"/>
      <c r="AK368" s="11"/>
      <c r="AL368" s="11"/>
      <c r="AM368" s="11"/>
      <c r="AN368" s="11"/>
      <c r="AO368" s="11"/>
      <c r="AP368" s="11"/>
      <c r="AQ368" s="11"/>
      <c r="AR368" s="11"/>
      <c r="AS368" s="11"/>
      <c r="AT368" s="11"/>
      <c r="AU368" s="11"/>
      <c r="AV368" s="11"/>
      <c r="AW368" s="11"/>
      <c r="AX368" s="11"/>
      <c r="AY368" s="11"/>
      <c r="AZ368" s="11"/>
      <c r="BA368" s="12"/>
      <c r="BB368" s="63" t="s">
        <v>276</v>
      </c>
      <c r="BC368" s="63"/>
      <c r="BD368" s="63"/>
      <c r="BE368" s="63" t="s">
        <v>276</v>
      </c>
      <c r="BF368" s="63"/>
      <c r="BG368" s="63"/>
      <c r="BH368" s="62" t="s">
        <v>276</v>
      </c>
      <c r="BI368" s="62"/>
      <c r="BJ368" s="62"/>
      <c r="BK368" s="62" t="s">
        <v>276</v>
      </c>
      <c r="BL368" s="62"/>
      <c r="BM368" s="62"/>
      <c r="BN368" s="63" t="s">
        <v>276</v>
      </c>
      <c r="BO368" s="63"/>
      <c r="BP368" s="63"/>
      <c r="BQ368" s="63"/>
      <c r="BR368" s="142">
        <v>2600</v>
      </c>
      <c r="BS368" s="142"/>
      <c r="BT368" s="142"/>
      <c r="BU368" s="142"/>
      <c r="BV368" s="142"/>
      <c r="BW368" s="142"/>
      <c r="BX368" s="65">
        <f>AF368*BR368</f>
        <v>47174.400000000016</v>
      </c>
      <c r="BY368" s="65"/>
      <c r="BZ368" s="65"/>
      <c r="CA368" s="65"/>
      <c r="CB368" s="66"/>
    </row>
    <row r="369" spans="2:80" x14ac:dyDescent="0.2">
      <c r="B369" s="71" t="s">
        <v>493</v>
      </c>
      <c r="C369" s="72"/>
      <c r="D369" s="72"/>
      <c r="E369" s="72"/>
      <c r="F369" s="72"/>
      <c r="G369" s="72"/>
      <c r="H369" s="72"/>
      <c r="I369" s="72"/>
      <c r="J369" s="72"/>
      <c r="K369" s="72"/>
      <c r="L369" s="72"/>
      <c r="M369" s="72"/>
      <c r="N369" s="72"/>
      <c r="O369" s="69">
        <f>+R301</f>
        <v>2</v>
      </c>
      <c r="P369" s="61"/>
      <c r="Q369" s="11" t="s">
        <v>0</v>
      </c>
      <c r="R369" s="19" t="s">
        <v>491</v>
      </c>
      <c r="S369" s="61">
        <f>+K286</f>
        <v>2</v>
      </c>
      <c r="T369" s="61"/>
      <c r="U369" s="11" t="s">
        <v>0</v>
      </c>
      <c r="V369" s="19" t="s">
        <v>491</v>
      </c>
      <c r="W369" s="61">
        <f>+Q283</f>
        <v>0.4</v>
      </c>
      <c r="X369" s="61"/>
      <c r="Y369" s="11" t="s">
        <v>0</v>
      </c>
      <c r="Z369" s="19" t="s">
        <v>491</v>
      </c>
      <c r="AA369" s="61">
        <f>+AA368</f>
        <v>28</v>
      </c>
      <c r="AB369" s="61"/>
      <c r="AC369" s="11" t="s">
        <v>433</v>
      </c>
      <c r="AD369" s="11"/>
      <c r="AE369" s="19" t="s">
        <v>2</v>
      </c>
      <c r="AF369" s="61">
        <f>O369*S369*W369*AA369</f>
        <v>44.800000000000004</v>
      </c>
      <c r="AG369" s="61"/>
      <c r="AH369" s="61"/>
      <c r="AI369" s="11" t="s">
        <v>492</v>
      </c>
      <c r="AJ369" s="11"/>
      <c r="AK369" s="11"/>
      <c r="AL369" s="11"/>
      <c r="AM369" s="11"/>
      <c r="AN369" s="11"/>
      <c r="AO369" s="11"/>
      <c r="AP369" s="11"/>
      <c r="AQ369" s="11"/>
      <c r="AR369" s="11"/>
      <c r="AS369" s="11"/>
      <c r="AT369" s="11"/>
      <c r="AU369" s="11"/>
      <c r="AV369" s="11"/>
      <c r="AW369" s="11"/>
      <c r="AX369" s="11"/>
      <c r="AY369" s="11"/>
      <c r="AZ369" s="11"/>
      <c r="BA369" s="12"/>
      <c r="BB369" s="63" t="s">
        <v>276</v>
      </c>
      <c r="BC369" s="63"/>
      <c r="BD369" s="63"/>
      <c r="BE369" s="63" t="s">
        <v>276</v>
      </c>
      <c r="BF369" s="63"/>
      <c r="BG369" s="63"/>
      <c r="BH369" s="62" t="s">
        <v>276</v>
      </c>
      <c r="BI369" s="62"/>
      <c r="BJ369" s="62"/>
      <c r="BK369" s="62" t="s">
        <v>276</v>
      </c>
      <c r="BL369" s="62"/>
      <c r="BM369" s="62"/>
      <c r="BN369" s="63" t="s">
        <v>276</v>
      </c>
      <c r="BO369" s="63"/>
      <c r="BP369" s="63"/>
      <c r="BQ369" s="63"/>
      <c r="BR369" s="142">
        <v>2600</v>
      </c>
      <c r="BS369" s="142"/>
      <c r="BT369" s="142"/>
      <c r="BU369" s="142"/>
      <c r="BV369" s="142"/>
      <c r="BW369" s="142"/>
      <c r="BX369" s="65">
        <f>AF369*BR369</f>
        <v>116480.00000000001</v>
      </c>
      <c r="BY369" s="65"/>
      <c r="BZ369" s="65"/>
      <c r="CA369" s="65"/>
      <c r="CB369" s="66"/>
    </row>
    <row r="370" spans="2:80" x14ac:dyDescent="0.2">
      <c r="B370" s="71" t="s">
        <v>494</v>
      </c>
      <c r="C370" s="72"/>
      <c r="D370" s="72"/>
      <c r="E370" s="72"/>
      <c r="F370" s="72"/>
      <c r="G370" s="72"/>
      <c r="H370" s="72"/>
      <c r="I370" s="72"/>
      <c r="J370" s="72"/>
      <c r="K370" s="72"/>
      <c r="L370" s="72"/>
      <c r="M370" s="72"/>
      <c r="N370" s="72"/>
      <c r="O370" s="69">
        <f>+K309</f>
        <v>0.15</v>
      </c>
      <c r="P370" s="61"/>
      <c r="Q370" s="11" t="s">
        <v>0</v>
      </c>
      <c r="R370" s="19" t="s">
        <v>491</v>
      </c>
      <c r="S370" s="61">
        <f>+Q283+Q279</f>
        <v>1.2000000000000002</v>
      </c>
      <c r="T370" s="61"/>
      <c r="U370" s="11" t="s">
        <v>0</v>
      </c>
      <c r="V370" s="19" t="s">
        <v>491</v>
      </c>
      <c r="W370" s="61">
        <f>2*C229-2*C239*C301+2*S212-2*7*K311</f>
        <v>106.80000000000001</v>
      </c>
      <c r="X370" s="61"/>
      <c r="Y370" s="61"/>
      <c r="Z370" s="11" t="s">
        <v>0</v>
      </c>
      <c r="AA370" s="19" t="s">
        <v>276</v>
      </c>
      <c r="AB370" s="61">
        <f>+Q283</f>
        <v>0.4</v>
      </c>
      <c r="AC370" s="61"/>
      <c r="AD370" s="11" t="s">
        <v>0</v>
      </c>
      <c r="AE370" s="19" t="s">
        <v>491</v>
      </c>
      <c r="AF370" s="61">
        <f>(K286-K311)/2</f>
        <v>0.55000000000000004</v>
      </c>
      <c r="AG370" s="61"/>
      <c r="AH370" s="11" t="s">
        <v>0</v>
      </c>
      <c r="AI370" s="19" t="s">
        <v>491</v>
      </c>
      <c r="AJ370" s="61">
        <f>+O370</f>
        <v>0.15</v>
      </c>
      <c r="AK370" s="61"/>
      <c r="AL370" s="11" t="s">
        <v>0</v>
      </c>
      <c r="AM370" s="19" t="s">
        <v>491</v>
      </c>
      <c r="AN370" s="61">
        <f>2*C239*2+14*2</f>
        <v>56</v>
      </c>
      <c r="AO370" s="61"/>
      <c r="AP370" s="11" t="s">
        <v>433</v>
      </c>
      <c r="AQ370" s="11"/>
      <c r="AR370" s="19" t="s">
        <v>2</v>
      </c>
      <c r="AS370" s="61">
        <f>O370*S370*W370-AB370*AF370*AJ370*AN370</f>
        <v>17.376000000000005</v>
      </c>
      <c r="AT370" s="61"/>
      <c r="AU370" s="61"/>
      <c r="AV370" s="11" t="s">
        <v>492</v>
      </c>
      <c r="AW370" s="11"/>
      <c r="AX370" s="11"/>
      <c r="AY370" s="11"/>
      <c r="AZ370" s="11"/>
      <c r="BA370" s="12"/>
      <c r="BB370" s="63" t="s">
        <v>276</v>
      </c>
      <c r="BC370" s="63"/>
      <c r="BD370" s="63"/>
      <c r="BE370" s="63" t="s">
        <v>276</v>
      </c>
      <c r="BF370" s="63"/>
      <c r="BG370" s="63"/>
      <c r="BH370" s="62" t="s">
        <v>276</v>
      </c>
      <c r="BI370" s="62"/>
      <c r="BJ370" s="62"/>
      <c r="BK370" s="62" t="s">
        <v>276</v>
      </c>
      <c r="BL370" s="62"/>
      <c r="BM370" s="62"/>
      <c r="BN370" s="63" t="s">
        <v>276</v>
      </c>
      <c r="BO370" s="63"/>
      <c r="BP370" s="63"/>
      <c r="BQ370" s="63"/>
      <c r="BR370" s="142">
        <v>2600</v>
      </c>
      <c r="BS370" s="142"/>
      <c r="BT370" s="142"/>
      <c r="BU370" s="142"/>
      <c r="BV370" s="142"/>
      <c r="BW370" s="142"/>
      <c r="BX370" s="65">
        <f>AS370*BR370</f>
        <v>45177.600000000013</v>
      </c>
      <c r="BY370" s="65"/>
      <c r="BZ370" s="65"/>
      <c r="CA370" s="65"/>
      <c r="CB370" s="66"/>
    </row>
    <row r="371" spans="2:80" x14ac:dyDescent="0.2">
      <c r="B371" s="71" t="s">
        <v>495</v>
      </c>
      <c r="C371" s="72"/>
      <c r="D371" s="72"/>
      <c r="E371" s="72"/>
      <c r="F371" s="72"/>
      <c r="G371" s="72"/>
      <c r="H371" s="72"/>
      <c r="I371" s="72"/>
      <c r="J371" s="72"/>
      <c r="K371" s="72"/>
      <c r="L371" s="72"/>
      <c r="M371" s="72"/>
      <c r="N371" s="72"/>
      <c r="O371" s="114">
        <f>+C229</f>
        <v>42</v>
      </c>
      <c r="P371" s="115"/>
      <c r="Q371" s="46" t="s">
        <v>0</v>
      </c>
      <c r="R371" s="45" t="s">
        <v>491</v>
      </c>
      <c r="S371" s="115">
        <f>+S212</f>
        <v>24</v>
      </c>
      <c r="T371" s="115"/>
      <c r="U371" s="46" t="s">
        <v>0</v>
      </c>
      <c r="V371" s="45" t="s">
        <v>491</v>
      </c>
      <c r="W371" s="115">
        <f>+D276</f>
        <v>0.15</v>
      </c>
      <c r="X371" s="115"/>
      <c r="Y371" s="46" t="s">
        <v>0</v>
      </c>
      <c r="Z371" s="45" t="s">
        <v>2</v>
      </c>
      <c r="AA371" s="115">
        <f>O371*S371*W371</f>
        <v>151.19999999999999</v>
      </c>
      <c r="AB371" s="115"/>
      <c r="AC371" s="115"/>
      <c r="AD371" s="46" t="s">
        <v>492</v>
      </c>
      <c r="AJ371" s="46"/>
      <c r="AK371" s="46"/>
      <c r="AL371" s="46"/>
      <c r="AM371" s="46"/>
      <c r="AN371" s="46"/>
      <c r="AO371" s="46"/>
      <c r="AP371" s="46"/>
      <c r="AQ371" s="46"/>
      <c r="AR371" s="46"/>
      <c r="AS371" s="46"/>
      <c r="AT371" s="46"/>
      <c r="AU371" s="46"/>
      <c r="AV371" s="46"/>
      <c r="AW371" s="46"/>
      <c r="AX371" s="46"/>
      <c r="AY371" s="46"/>
      <c r="AZ371" s="46"/>
      <c r="BA371" s="47"/>
      <c r="BB371" s="209" t="s">
        <v>276</v>
      </c>
      <c r="BC371" s="209"/>
      <c r="BD371" s="209"/>
      <c r="BE371" s="209" t="s">
        <v>276</v>
      </c>
      <c r="BF371" s="209"/>
      <c r="BG371" s="209"/>
      <c r="BH371" s="210" t="s">
        <v>276</v>
      </c>
      <c r="BI371" s="210"/>
      <c r="BJ371" s="210"/>
      <c r="BK371" s="210" t="s">
        <v>276</v>
      </c>
      <c r="BL371" s="210"/>
      <c r="BM371" s="210"/>
      <c r="BN371" s="209" t="s">
        <v>276</v>
      </c>
      <c r="BO371" s="209"/>
      <c r="BP371" s="209"/>
      <c r="BQ371" s="209"/>
      <c r="BR371" s="142">
        <v>2600</v>
      </c>
      <c r="BS371" s="142"/>
      <c r="BT371" s="142"/>
      <c r="BU371" s="142"/>
      <c r="BV371" s="142"/>
      <c r="BW371" s="142"/>
      <c r="BX371" s="212">
        <f>AA371*BR371</f>
        <v>393119.99999999994</v>
      </c>
      <c r="BY371" s="212"/>
      <c r="BZ371" s="212"/>
      <c r="CA371" s="212"/>
      <c r="CB371" s="213"/>
    </row>
    <row r="372" spans="2:80" x14ac:dyDescent="0.2">
      <c r="B372" s="71" t="s">
        <v>496</v>
      </c>
      <c r="C372" s="72"/>
      <c r="D372" s="72"/>
      <c r="E372" s="72"/>
      <c r="F372" s="72"/>
      <c r="G372" s="72"/>
      <c r="H372" s="72"/>
      <c r="I372" s="72"/>
      <c r="J372" s="72"/>
      <c r="K372" s="72"/>
      <c r="L372" s="72"/>
      <c r="M372" s="72"/>
      <c r="N372" s="72"/>
      <c r="O372" s="196">
        <f>+F290</f>
        <v>16</v>
      </c>
      <c r="P372" s="197"/>
      <c r="Q372" s="202">
        <f>+H290</f>
        <v>26</v>
      </c>
      <c r="R372" s="202"/>
      <c r="S372" s="11" t="s">
        <v>272</v>
      </c>
      <c r="T372" s="11"/>
      <c r="U372" s="11"/>
      <c r="V372" s="11" t="s">
        <v>498</v>
      </c>
      <c r="W372" s="61">
        <f>+G291</f>
        <v>1.3</v>
      </c>
      <c r="X372" s="61"/>
      <c r="Y372" s="11" t="s">
        <v>0</v>
      </c>
      <c r="Z372" s="11"/>
      <c r="AA372" s="11"/>
      <c r="AB372" s="61">
        <f>(C239+1)*2+12</f>
        <v>28</v>
      </c>
      <c r="AC372" s="61"/>
      <c r="AD372" s="11" t="s">
        <v>499</v>
      </c>
      <c r="AE372" s="11"/>
      <c r="AF372" s="11"/>
      <c r="AG372" s="11"/>
      <c r="AH372" s="11"/>
      <c r="AI372" s="11"/>
      <c r="AJ372" s="11"/>
      <c r="AK372" s="11"/>
      <c r="AL372" s="11"/>
      <c r="AM372" s="11"/>
      <c r="AN372" s="11"/>
      <c r="AO372" s="11"/>
      <c r="AP372" s="11"/>
      <c r="AQ372" s="11"/>
      <c r="AR372" s="11"/>
      <c r="AS372" s="11"/>
      <c r="AT372" s="11"/>
      <c r="AU372" s="11"/>
      <c r="AV372" s="11"/>
      <c r="AW372" s="11"/>
      <c r="AX372" s="11"/>
      <c r="AY372" s="11"/>
      <c r="AZ372" s="11"/>
      <c r="BA372" s="12"/>
      <c r="BB372" s="62">
        <f>ROUND(PI()*Q372^2/4*7.85/1000,3)</f>
        <v>4.1680000000000001</v>
      </c>
      <c r="BC372" s="62"/>
      <c r="BD372" s="62"/>
      <c r="BE372" s="63">
        <f>O372*AB372</f>
        <v>448</v>
      </c>
      <c r="BF372" s="63"/>
      <c r="BG372" s="63"/>
      <c r="BH372" s="83">
        <f>+W372</f>
        <v>1.3</v>
      </c>
      <c r="BI372" s="83"/>
      <c r="BJ372" s="83"/>
      <c r="BK372" s="134">
        <f t="shared" ref="BK372:BK374" si="32">+BE372*BH372</f>
        <v>582.4</v>
      </c>
      <c r="BL372" s="135"/>
      <c r="BM372" s="136"/>
      <c r="BN372" s="83">
        <f t="shared" ref="BN372:BN374" si="33">BB372*(BE372*BH372)</f>
        <v>2427.4432000000002</v>
      </c>
      <c r="BO372" s="83"/>
      <c r="BP372" s="83"/>
      <c r="BQ372" s="83"/>
      <c r="BR372" s="96">
        <v>25</v>
      </c>
      <c r="BS372" s="96"/>
      <c r="BT372" s="96"/>
      <c r="BU372" s="96"/>
      <c r="BV372" s="96"/>
      <c r="BW372" s="96"/>
      <c r="BX372" s="65">
        <f t="shared" ref="BX372:BX376" si="34">BR372*BN372</f>
        <v>60686.080000000002</v>
      </c>
      <c r="BY372" s="65"/>
      <c r="BZ372" s="65"/>
      <c r="CA372" s="65"/>
      <c r="CB372" s="66"/>
    </row>
    <row r="373" spans="2:80" x14ac:dyDescent="0.2">
      <c r="B373" s="71" t="s">
        <v>500</v>
      </c>
      <c r="C373" s="72"/>
      <c r="D373" s="72"/>
      <c r="E373" s="72"/>
      <c r="F373" s="72"/>
      <c r="G373" s="72"/>
      <c r="H373" s="72"/>
      <c r="I373" s="72"/>
      <c r="J373" s="72"/>
      <c r="K373" s="72"/>
      <c r="L373" s="72"/>
      <c r="M373" s="72"/>
      <c r="N373" s="72"/>
      <c r="O373" s="196">
        <f>+Q289</f>
        <v>9</v>
      </c>
      <c r="P373" s="197"/>
      <c r="Q373" s="215">
        <f>+R289</f>
        <v>8</v>
      </c>
      <c r="R373" s="215"/>
      <c r="S373" s="208">
        <f>+T289</f>
        <v>100</v>
      </c>
      <c r="T373" s="208"/>
      <c r="U373" s="11" t="s">
        <v>272</v>
      </c>
      <c r="V373" s="11"/>
      <c r="W373" s="11"/>
      <c r="X373" s="11" t="s">
        <v>498</v>
      </c>
      <c r="Y373" s="61">
        <f>+R290</f>
        <v>3.3</v>
      </c>
      <c r="Z373" s="61"/>
      <c r="AA373" s="11" t="s">
        <v>0</v>
      </c>
      <c r="AB373" s="11"/>
      <c r="AC373" s="11" t="s">
        <v>498</v>
      </c>
      <c r="AD373" s="61">
        <f>+R291</f>
        <v>2.23</v>
      </c>
      <c r="AE373" s="61"/>
      <c r="AF373" s="11" t="s">
        <v>0</v>
      </c>
      <c r="AI373" s="11"/>
      <c r="AJ373" s="61">
        <f>+AB372</f>
        <v>28</v>
      </c>
      <c r="AK373" s="61"/>
      <c r="AL373" s="11" t="s">
        <v>499</v>
      </c>
      <c r="AM373" s="11"/>
      <c r="AN373" s="11"/>
      <c r="AO373" s="11"/>
      <c r="AP373" s="11"/>
      <c r="AQ373" s="11"/>
      <c r="AR373" s="11"/>
      <c r="AS373" s="11"/>
      <c r="AT373" s="11"/>
      <c r="AU373" s="11"/>
      <c r="AV373" s="11"/>
      <c r="AW373" s="11"/>
      <c r="AX373" s="11"/>
      <c r="AY373" s="11"/>
      <c r="AZ373" s="11"/>
      <c r="BA373" s="12"/>
      <c r="BB373" s="62">
        <f>ROUND(PI()*Q373^2/4*7.85/1000,3)</f>
        <v>0.39500000000000002</v>
      </c>
      <c r="BC373" s="62"/>
      <c r="BD373" s="62"/>
      <c r="BE373" s="63">
        <f>O373*AJ373</f>
        <v>252</v>
      </c>
      <c r="BF373" s="63"/>
      <c r="BG373" s="63"/>
      <c r="BH373" s="83">
        <f>+Y373+2*AD373</f>
        <v>7.76</v>
      </c>
      <c r="BI373" s="83"/>
      <c r="BJ373" s="83"/>
      <c r="BK373" s="134">
        <f t="shared" si="32"/>
        <v>1955.52</v>
      </c>
      <c r="BL373" s="135"/>
      <c r="BM373" s="136"/>
      <c r="BN373" s="83">
        <f t="shared" si="33"/>
        <v>772.43040000000008</v>
      </c>
      <c r="BO373" s="83"/>
      <c r="BP373" s="83"/>
      <c r="BQ373" s="83"/>
      <c r="BR373" s="96">
        <v>25</v>
      </c>
      <c r="BS373" s="96"/>
      <c r="BT373" s="96"/>
      <c r="BU373" s="96"/>
      <c r="BV373" s="96"/>
      <c r="BW373" s="96"/>
      <c r="BX373" s="65">
        <f t="shared" si="34"/>
        <v>19310.760000000002</v>
      </c>
      <c r="BY373" s="65"/>
      <c r="BZ373" s="65"/>
      <c r="CA373" s="65"/>
      <c r="CB373" s="66"/>
    </row>
    <row r="374" spans="2:80" x14ac:dyDescent="0.2">
      <c r="B374" s="71" t="s">
        <v>497</v>
      </c>
      <c r="C374" s="72"/>
      <c r="D374" s="72"/>
      <c r="E374" s="72"/>
      <c r="F374" s="72"/>
      <c r="G374" s="72"/>
      <c r="H374" s="72"/>
      <c r="I374" s="72"/>
      <c r="J374" s="72"/>
      <c r="K374" s="72"/>
      <c r="L374" s="72"/>
      <c r="M374" s="72"/>
      <c r="N374" s="72"/>
      <c r="O374" s="196">
        <f>+L293</f>
        <v>18</v>
      </c>
      <c r="P374" s="197"/>
      <c r="Q374" s="214">
        <f>+N293</f>
        <v>16</v>
      </c>
      <c r="R374" s="214"/>
      <c r="S374" s="107">
        <f>+P293</f>
        <v>250</v>
      </c>
      <c r="T374" s="107"/>
      <c r="U374" s="11" t="s">
        <v>272</v>
      </c>
      <c r="X374" s="11" t="s">
        <v>498</v>
      </c>
      <c r="Y374" s="61">
        <f>+M294</f>
        <v>2.5</v>
      </c>
      <c r="Z374" s="61"/>
      <c r="AA374" s="11" t="s">
        <v>0</v>
      </c>
      <c r="AB374" s="11"/>
      <c r="AC374" s="11"/>
      <c r="AD374" s="61">
        <f>+AB372</f>
        <v>28</v>
      </c>
      <c r="AE374" s="61"/>
      <c r="AF374" s="11" t="s">
        <v>499</v>
      </c>
      <c r="AG374" s="11"/>
      <c r="AH374" s="11"/>
      <c r="AI374" s="11"/>
      <c r="AJ374" s="11"/>
      <c r="AK374" s="11"/>
      <c r="AV374" s="11"/>
      <c r="AW374" s="11"/>
      <c r="AX374" s="11"/>
      <c r="AY374" s="11"/>
      <c r="AZ374" s="11"/>
      <c r="BA374" s="12"/>
      <c r="BB374" s="62">
        <f>ROUND(PI()*Q374^2/4*7.85/1000,3)</f>
        <v>1.5780000000000001</v>
      </c>
      <c r="BC374" s="62"/>
      <c r="BD374" s="62"/>
      <c r="BE374" s="63">
        <f>O374*AD374</f>
        <v>504</v>
      </c>
      <c r="BF374" s="63"/>
      <c r="BG374" s="63"/>
      <c r="BH374" s="83">
        <f>+Y374</f>
        <v>2.5</v>
      </c>
      <c r="BI374" s="83"/>
      <c r="BJ374" s="83"/>
      <c r="BK374" s="134">
        <f t="shared" si="32"/>
        <v>1260</v>
      </c>
      <c r="BL374" s="135"/>
      <c r="BM374" s="136"/>
      <c r="BN374" s="83">
        <f t="shared" si="33"/>
        <v>1988.2800000000002</v>
      </c>
      <c r="BO374" s="83"/>
      <c r="BP374" s="83"/>
      <c r="BQ374" s="83"/>
      <c r="BR374" s="96">
        <v>25</v>
      </c>
      <c r="BS374" s="96"/>
      <c r="BT374" s="96"/>
      <c r="BU374" s="96"/>
      <c r="BV374" s="96"/>
      <c r="BW374" s="96"/>
      <c r="BX374" s="65">
        <f t="shared" si="34"/>
        <v>49707.000000000007</v>
      </c>
      <c r="BY374" s="65"/>
      <c r="BZ374" s="65"/>
      <c r="CA374" s="65"/>
      <c r="CB374" s="66"/>
    </row>
    <row r="375" spans="2:80" x14ac:dyDescent="0.2">
      <c r="B375" s="41" t="s">
        <v>505</v>
      </c>
      <c r="C375" s="42"/>
      <c r="D375" s="42"/>
      <c r="E375" s="42"/>
      <c r="F375" s="42"/>
      <c r="G375" s="42"/>
      <c r="H375" s="218" t="s">
        <v>530</v>
      </c>
      <c r="I375" s="218"/>
      <c r="J375" s="218"/>
      <c r="K375" s="95" cm="1">
        <f t="array" ref="K375">INDEX(BQ292:BQ301,MATCH(H375,AZ292:AZ301,0),0)</f>
        <v>3.47</v>
      </c>
      <c r="L375" s="95"/>
      <c r="M375" s="42" t="s">
        <v>504</v>
      </c>
      <c r="N375" s="43"/>
      <c r="O375" s="13" t="s">
        <v>506</v>
      </c>
      <c r="P375" s="11"/>
      <c r="Q375" s="11"/>
      <c r="R375" s="11"/>
      <c r="S375" s="61">
        <f>+S212</f>
        <v>24</v>
      </c>
      <c r="T375" s="61"/>
      <c r="U375" s="61"/>
      <c r="V375" s="11" t="s">
        <v>0</v>
      </c>
      <c r="W375" s="19" t="s">
        <v>491</v>
      </c>
      <c r="X375" s="61">
        <f>+C229</f>
        <v>42</v>
      </c>
      <c r="Y375" s="61"/>
      <c r="Z375" s="61"/>
      <c r="AA375" s="11" t="s">
        <v>0</v>
      </c>
      <c r="AB375" s="48" t="s">
        <v>501</v>
      </c>
      <c r="AC375" s="73">
        <v>5</v>
      </c>
      <c r="AD375" s="73"/>
      <c r="AE375" s="11" t="s">
        <v>0</v>
      </c>
      <c r="AF375" s="19" t="s">
        <v>491</v>
      </c>
      <c r="AG375" s="73">
        <v>2.15</v>
      </c>
      <c r="AH375" s="73"/>
      <c r="AI375" s="11" t="s">
        <v>0</v>
      </c>
      <c r="AJ375" s="11" t="s">
        <v>502</v>
      </c>
      <c r="AK375" s="11" t="s">
        <v>503</v>
      </c>
      <c r="AL375" s="11"/>
      <c r="AM375" s="11"/>
      <c r="AN375" s="11"/>
      <c r="AO375" s="73">
        <v>0.3</v>
      </c>
      <c r="AP375" s="73"/>
      <c r="AQ375" s="11" t="s">
        <v>0</v>
      </c>
      <c r="AR375" s="11"/>
      <c r="AS375" s="11" t="s">
        <v>506</v>
      </c>
      <c r="AT375" s="11"/>
      <c r="AU375" s="11"/>
      <c r="AV375" s="11"/>
      <c r="AW375" s="61">
        <f>(INT((((S375-AC375)/(AC375-AO375))+1))*BA375*AC375*AG375)+(IF(S375-INT((((S375-AC375)/(AC375-AO375))+1))*(AC375-AO375)&lt;=AO375,0,+BA375)*IF(S375-INT((((S375-AC375)/(AC375-AO375))+1))*(AC375-AO375)&lt;=AO375,0,S375-INT((((S375-AC375)/(AC375-AO375))+1))*(AC375-AO375))*IF(S375-INT((((S375-AC375)/(AC375-AO375))+1))*(AC375-AO375)&lt;=AO375,0,+AG375))+((IF(X375-BA375*(AG375-AO375)&lt;=AO375,0,+INT((((S375-AC375)/(AC375-AO375))+1))))*(IF(X375-BA375*(AG375-AO375)&lt;=AO375,0,X375-BA375*(AG375-AO375)))*(IF(X375-BA375*(AG375-AO375)&lt;=AO375,0,+AC375)))+(IF(OR(IF(S375-INT((((S375-AC375)/(AC375-AO375))+1))*(AC375-AO375)&lt;=AO375,0,S375-INT((((S375-AC375)/(AC375-AO375))+1))*(AC375-AO375))=0,IF(X375-BA375*(AG375-AO375)&lt;=AO375,0,X375-BA375*(AG375-AO375))=0),0,IF(X375-BA375*(AG375-AO375)&lt;=AO375,0,X375-BA375*(AG375-AO375)))*IF(OR(IF(S375-INT((((S375-AC375)/(AC375-AO375))+1))*(AC375-AO375)&lt;=AO375,0,S375-INT((((S375-AC375)/(AC375-AO375))+1))*(AC375-AO375))=0,IF(X375-BA375*(AG375-AO375)&lt;=AO375,0,X375-BA375*(AG375-AO375))=0),0,IF(S375-INT((((S375-AC375)/(AC375-AO375))+1))*(AC375-AO375)&lt;=AO375,0,S375-INT((((S375-AC375)/(AC375-AO375))+1))*(AC375-AO375))))</f>
        <v>1239.3000000000002</v>
      </c>
      <c r="AX375" s="61"/>
      <c r="AY375" s="61"/>
      <c r="AZ375" s="11" t="s">
        <v>294</v>
      </c>
      <c r="BA375" s="49">
        <f>INT((((X375-AG375)/(AG375-AO375))+1))</f>
        <v>22</v>
      </c>
      <c r="BB375" s="63" t="s">
        <v>276</v>
      </c>
      <c r="BC375" s="63"/>
      <c r="BD375" s="63"/>
      <c r="BE375" s="63">
        <v>1</v>
      </c>
      <c r="BF375" s="63"/>
      <c r="BG375" s="63"/>
      <c r="BH375" s="62" t="s">
        <v>276</v>
      </c>
      <c r="BI375" s="62"/>
      <c r="BJ375" s="62"/>
      <c r="BK375" s="62" t="s">
        <v>276</v>
      </c>
      <c r="BL375" s="62"/>
      <c r="BM375" s="62"/>
      <c r="BN375" s="83">
        <f>+AW375*K375</f>
        <v>4300.371000000001</v>
      </c>
      <c r="BO375" s="83"/>
      <c r="BP375" s="83"/>
      <c r="BQ375" s="83"/>
      <c r="BR375" s="96">
        <v>25</v>
      </c>
      <c r="BS375" s="96"/>
      <c r="BT375" s="96"/>
      <c r="BU375" s="96"/>
      <c r="BV375" s="96"/>
      <c r="BW375" s="96"/>
      <c r="BX375" s="65">
        <f t="shared" si="34"/>
        <v>107509.27500000002</v>
      </c>
      <c r="BY375" s="65"/>
      <c r="BZ375" s="65"/>
      <c r="CA375" s="65"/>
      <c r="CB375" s="66"/>
    </row>
    <row r="376" spans="2:80" x14ac:dyDescent="0.2">
      <c r="B376" s="41" t="s">
        <v>540</v>
      </c>
      <c r="C376" s="42"/>
      <c r="D376" s="42"/>
      <c r="E376" s="42"/>
      <c r="F376" s="42"/>
      <c r="G376" s="42"/>
      <c r="H376" s="219" t="s">
        <v>521</v>
      </c>
      <c r="I376" s="219"/>
      <c r="J376" s="219"/>
      <c r="K376" s="95" cm="1">
        <f t="array" ref="K376">INDEX(BQ283:BQ291,MATCH(H376,AZ283:AZ291,0),0)</f>
        <v>2.35</v>
      </c>
      <c r="L376" s="95"/>
      <c r="M376" s="42" t="s">
        <v>504</v>
      </c>
      <c r="N376" s="43"/>
      <c r="O376" s="13" t="s">
        <v>506</v>
      </c>
      <c r="P376" s="11"/>
      <c r="Q376" s="11"/>
      <c r="R376" s="11"/>
      <c r="S376" s="61">
        <f>+W370</f>
        <v>106.80000000000001</v>
      </c>
      <c r="T376" s="61"/>
      <c r="U376" s="61"/>
      <c r="V376" s="11" t="s">
        <v>0</v>
      </c>
      <c r="W376" s="19" t="s">
        <v>491</v>
      </c>
      <c r="X376" s="61">
        <f>+Q283+Q279-0.1</f>
        <v>1.1000000000000001</v>
      </c>
      <c r="Y376" s="61"/>
      <c r="Z376" s="61"/>
      <c r="AA376" s="11" t="s">
        <v>0</v>
      </c>
      <c r="AB376" s="48" t="s">
        <v>501</v>
      </c>
      <c r="AC376" s="73">
        <v>5</v>
      </c>
      <c r="AD376" s="73"/>
      <c r="AE376" s="11" t="s">
        <v>0</v>
      </c>
      <c r="AF376" s="19" t="s">
        <v>491</v>
      </c>
      <c r="AG376" s="73">
        <v>2.15</v>
      </c>
      <c r="AH376" s="73"/>
      <c r="AI376" s="11" t="s">
        <v>0</v>
      </c>
      <c r="AJ376" s="11" t="s">
        <v>502</v>
      </c>
      <c r="AK376" s="11" t="s">
        <v>503</v>
      </c>
      <c r="AL376" s="11"/>
      <c r="AM376" s="11"/>
      <c r="AN376" s="11"/>
      <c r="AO376" s="73">
        <v>0.3</v>
      </c>
      <c r="AP376" s="73"/>
      <c r="AQ376" s="11" t="s">
        <v>0</v>
      </c>
      <c r="AR376" s="11"/>
      <c r="AS376" s="11" t="s">
        <v>506</v>
      </c>
      <c r="AT376" s="11"/>
      <c r="AU376" s="11"/>
      <c r="AV376" s="11"/>
      <c r="AW376" s="61">
        <f>(INT((((S376-AC376)/(AC376-AO376))+1))*BA376*AC376*AG376)+(IF(S376-INT((((S376-AC376)/(AC376-AO376))+1))*(AC376-AO376)&lt;=AO376,0,+BA376)*IF(S376-INT((((S376-AC376)/(AC376-AO376))+1))*(AC376-AO376)&lt;=AO376,0,S376-INT((((S376-AC376)/(AC376-AO376))+1))*(AC376-AO376))*IF(S376-INT((((S376-AC376)/(AC376-AO376))+1))*(AC376-AO376)&lt;=AO376,0,+AG376))+((IF(X376-BA376*(AG376-AO376)&lt;=AO376,0,+INT((((S376-AC376)/(AC376-AO376))+1))))*(IF(X376-BA376*(AG376-AO376)&lt;=AO376,0,X376-BA376*(AG376-AO376)))*(IF(X376-BA376*(AG376-AO376)&lt;=AO376,0,+AC376)))+(IF(OR(IF(S376-INT((((S376-AC376)/(AC376-AO376))+1))*(AC376-AO376)&lt;=AO376,0,S376-INT((((S376-AC376)/(AC376-AO376))+1))*(AC376-AO376))=0,IF(X376-BA376*(AG376-AO376)&lt;=AO376,0,X376-BA376*(AG376-AO376))=0),0,IF(X376-BA376*(AG376-AO376)&lt;=AO376,0,X376-BA376*(AG376-AO376)))*IF(OR(IF(S376-INT((((S376-AC376)/(AC376-AO376))+1))*(AC376-AO376)&lt;=AO376,0,S376-INT((((S376-AC376)/(AC376-AO376))+1))*(AC376-AO376))=0,IF(X376-BA376*(AG376-AO376)&lt;=AO376,0,X376-BA376*(AG376-AO376))=0),0,IF(S376-INT((((S376-AC376)/(AC376-AO376))+1))*(AC376-AO376)&lt;=AO376,0,S376-INT((((S376-AC376)/(AC376-AO376))+1))*(AC376-AO376))))</f>
        <v>124.74000000000002</v>
      </c>
      <c r="AX376" s="61"/>
      <c r="AY376" s="61"/>
      <c r="AZ376" s="11" t="s">
        <v>294</v>
      </c>
      <c r="BA376" s="49">
        <f>INT((((X376-AG376)/(AG376-AO376))+1))</f>
        <v>0</v>
      </c>
      <c r="BB376" s="63" t="s">
        <v>276</v>
      </c>
      <c r="BC376" s="63"/>
      <c r="BD376" s="63"/>
      <c r="BE376" s="63">
        <v>1</v>
      </c>
      <c r="BF376" s="63"/>
      <c r="BG376" s="63"/>
      <c r="BH376" s="62" t="s">
        <v>276</v>
      </c>
      <c r="BI376" s="62"/>
      <c r="BJ376" s="62"/>
      <c r="BK376" s="62" t="s">
        <v>276</v>
      </c>
      <c r="BL376" s="62"/>
      <c r="BM376" s="62"/>
      <c r="BN376" s="83">
        <f>+AW376*K376</f>
        <v>293.13900000000007</v>
      </c>
      <c r="BO376" s="83"/>
      <c r="BP376" s="83"/>
      <c r="BQ376" s="83"/>
      <c r="BR376" s="96">
        <v>25</v>
      </c>
      <c r="BS376" s="96"/>
      <c r="BT376" s="96"/>
      <c r="BU376" s="96"/>
      <c r="BV376" s="96"/>
      <c r="BW376" s="96"/>
      <c r="BX376" s="65">
        <f t="shared" si="34"/>
        <v>7328.4750000000013</v>
      </c>
      <c r="BY376" s="65"/>
      <c r="BZ376" s="65"/>
      <c r="CA376" s="65"/>
      <c r="CB376" s="66"/>
    </row>
    <row r="377" spans="2:80" x14ac:dyDescent="0.2">
      <c r="B377" s="14"/>
      <c r="AD377" s="1" t="s">
        <v>507</v>
      </c>
      <c r="BG377" s="206" t="s">
        <v>301</v>
      </c>
      <c r="BH377" s="206"/>
      <c r="BI377" s="206"/>
      <c r="BJ377" s="206"/>
      <c r="BK377" s="206"/>
      <c r="BL377" s="206"/>
      <c r="BM377" s="206"/>
      <c r="BN377" s="207">
        <f>SUM(BN368:BQ376)</f>
        <v>9781.6635999999999</v>
      </c>
      <c r="BO377" s="206"/>
      <c r="BP377" s="206"/>
      <c r="BQ377" s="206"/>
      <c r="BS377" s="206" t="s">
        <v>484</v>
      </c>
      <c r="BT377" s="206"/>
      <c r="BU377" s="206"/>
      <c r="BV377" s="206"/>
      <c r="BW377" s="206"/>
      <c r="BX377" s="203">
        <f>SUM(BX368:CB376)</f>
        <v>846493.59</v>
      </c>
      <c r="BY377" s="203"/>
      <c r="BZ377" s="203"/>
      <c r="CA377" s="203"/>
      <c r="CB377" s="204"/>
    </row>
    <row r="378" spans="2:80" x14ac:dyDescent="0.2">
      <c r="B378" s="14"/>
      <c r="BG378" s="133" t="s">
        <v>302</v>
      </c>
      <c r="BH378" s="133"/>
      <c r="BI378" s="133"/>
      <c r="BJ378" s="133"/>
      <c r="BK378" s="133"/>
      <c r="BL378" s="133"/>
      <c r="BM378" s="133"/>
      <c r="BN378" s="132">
        <f>+BN377/1000</f>
        <v>9.7816635999999999</v>
      </c>
      <c r="BO378" s="133"/>
      <c r="BP378" s="133"/>
      <c r="BQ378" s="133"/>
      <c r="BS378" s="133" t="s">
        <v>485</v>
      </c>
      <c r="BT378" s="133"/>
      <c r="BU378" s="133"/>
      <c r="BV378" s="133"/>
      <c r="BW378" s="133"/>
      <c r="BX378" s="138">
        <f>BX377*0.18</f>
        <v>152368.8462</v>
      </c>
      <c r="BY378" s="138"/>
      <c r="BZ378" s="138"/>
      <c r="CA378" s="138"/>
      <c r="CB378" s="139"/>
    </row>
    <row r="379" spans="2:80" x14ac:dyDescent="0.2">
      <c r="B379" s="14"/>
      <c r="BG379" s="133" t="s">
        <v>550</v>
      </c>
      <c r="BH379" s="133"/>
      <c r="BI379" s="133"/>
      <c r="BJ379" s="133"/>
      <c r="BK379" s="133"/>
      <c r="BL379" s="133"/>
      <c r="BM379" s="133"/>
      <c r="BN379" s="186">
        <f>+AF368+AF369+AS370+AA371</f>
        <v>231.52</v>
      </c>
      <c r="BO379" s="186"/>
      <c r="BP379" s="186"/>
      <c r="BQ379" s="186"/>
      <c r="BS379" s="133" t="s">
        <v>486</v>
      </c>
      <c r="BT379" s="133"/>
      <c r="BU379" s="133"/>
      <c r="BV379" s="133"/>
      <c r="BW379" s="133"/>
      <c r="BX379" s="140">
        <f>+BX378+BX377</f>
        <v>998862.4362</v>
      </c>
      <c r="BY379" s="140"/>
      <c r="BZ379" s="140"/>
      <c r="CA379" s="140"/>
      <c r="CB379" s="141"/>
    </row>
    <row r="380" spans="2:80" x14ac:dyDescent="0.2">
      <c r="B380" s="14"/>
      <c r="BG380" s="133" t="s">
        <v>551</v>
      </c>
      <c r="BH380" s="133"/>
      <c r="BI380" s="133"/>
      <c r="BJ380" s="133"/>
      <c r="BK380" s="133"/>
      <c r="BL380" s="133"/>
      <c r="BM380" s="133"/>
      <c r="BN380" s="137">
        <f>+BN377/BN379</f>
        <v>42.249756392536277</v>
      </c>
      <c r="BO380" s="137"/>
      <c r="BP380" s="137"/>
      <c r="BQ380" s="137"/>
      <c r="BR380" s="97" t="s">
        <v>544</v>
      </c>
      <c r="BS380" s="95"/>
      <c r="BT380" s="95"/>
      <c r="BU380" s="95"/>
      <c r="BV380" s="95"/>
      <c r="BW380" s="98"/>
      <c r="BX380" s="140">
        <f>+BX366+BX379</f>
        <v>5318714.7704230789</v>
      </c>
      <c r="BY380" s="140"/>
      <c r="BZ380" s="140"/>
      <c r="CA380" s="140"/>
      <c r="CB380" s="141"/>
    </row>
    <row r="381" spans="2:80" ht="12" thickBot="1" x14ac:dyDescent="0.25">
      <c r="B381" s="16"/>
      <c r="C381" s="17"/>
      <c r="D381" s="17"/>
      <c r="E381" s="17"/>
      <c r="F381" s="17"/>
      <c r="G381" s="17"/>
      <c r="H381" s="17"/>
      <c r="I381" s="17"/>
      <c r="J381" s="17"/>
      <c r="K381" s="17"/>
      <c r="L381" s="17"/>
      <c r="M381" s="17"/>
      <c r="N381" s="17"/>
      <c r="O381" s="17"/>
      <c r="P381" s="17"/>
      <c r="Q381" s="17"/>
      <c r="R381" s="17"/>
      <c r="S381" s="17"/>
      <c r="T381" s="17"/>
      <c r="U381" s="17"/>
      <c r="V381" s="17"/>
      <c r="W381" s="17"/>
      <c r="X381" s="17"/>
      <c r="Y381" s="17"/>
      <c r="Z381" s="17"/>
      <c r="AA381" s="17"/>
      <c r="AB381" s="17"/>
      <c r="AC381" s="17"/>
      <c r="AD381" s="17"/>
      <c r="AE381" s="17"/>
      <c r="AF381" s="17"/>
      <c r="AG381" s="17"/>
      <c r="AH381" s="17"/>
      <c r="AI381" s="17"/>
      <c r="AJ381" s="17"/>
      <c r="AK381" s="17"/>
      <c r="AL381" s="17"/>
      <c r="AM381" s="17"/>
      <c r="AN381" s="17"/>
      <c r="AO381" s="17"/>
      <c r="AP381" s="17"/>
      <c r="AQ381" s="17"/>
      <c r="AR381" s="17"/>
      <c r="AS381" s="17"/>
      <c r="AT381" s="17"/>
      <c r="AU381" s="17"/>
      <c r="AV381" s="17"/>
      <c r="AW381" s="17"/>
      <c r="AX381" s="17"/>
      <c r="AY381" s="17"/>
      <c r="AZ381" s="17"/>
      <c r="BA381" s="17"/>
      <c r="BB381" s="17"/>
      <c r="BC381" s="17"/>
      <c r="BD381" s="17"/>
      <c r="BE381" s="17"/>
      <c r="BF381" s="17"/>
      <c r="BG381" s="17"/>
      <c r="BH381" s="17"/>
      <c r="BI381" s="17"/>
      <c r="BJ381" s="17"/>
      <c r="BK381" s="17"/>
      <c r="BL381" s="17"/>
      <c r="BM381" s="17"/>
      <c r="BN381" s="17"/>
      <c r="BO381" s="17"/>
      <c r="BP381" s="17"/>
      <c r="BQ381" s="17"/>
      <c r="BR381" s="17"/>
      <c r="BS381" s="17"/>
      <c r="BT381" s="17"/>
      <c r="BU381" s="17"/>
      <c r="BV381" s="17"/>
      <c r="BW381" s="17"/>
      <c r="BX381" s="17"/>
      <c r="BY381" s="17"/>
      <c r="BZ381" s="17"/>
      <c r="CA381" s="17"/>
      <c r="CB381" s="18"/>
    </row>
    <row r="382" spans="2:80" ht="12" thickBot="1" x14ac:dyDescent="0.25"/>
    <row r="383" spans="2:80" ht="41.25" customHeight="1" x14ac:dyDescent="0.2">
      <c r="B383" s="187" t="s">
        <v>468</v>
      </c>
      <c r="C383" s="188"/>
      <c r="D383" s="188"/>
      <c r="E383" s="188"/>
      <c r="F383" s="188"/>
      <c r="G383" s="188"/>
      <c r="H383" s="188"/>
      <c r="I383" s="188"/>
      <c r="J383" s="188"/>
      <c r="K383" s="188"/>
      <c r="L383" s="188"/>
      <c r="M383" s="188"/>
      <c r="N383" s="188"/>
      <c r="O383" s="188"/>
      <c r="P383" s="188"/>
      <c r="Q383" s="188"/>
      <c r="R383" s="188"/>
      <c r="S383" s="188"/>
      <c r="T383" s="188"/>
      <c r="U383" s="188"/>
      <c r="V383" s="188"/>
      <c r="W383" s="188"/>
      <c r="X383" s="188"/>
      <c r="Y383" s="188"/>
      <c r="Z383" s="188"/>
      <c r="AA383" s="188"/>
      <c r="AB383" s="188"/>
      <c r="AC383" s="188"/>
      <c r="AD383" s="188"/>
      <c r="AE383" s="188"/>
      <c r="AF383" s="188"/>
      <c r="AG383" s="188"/>
      <c r="AH383" s="188"/>
      <c r="AI383" s="188"/>
      <c r="AJ383" s="188"/>
      <c r="AK383" s="188"/>
      <c r="AL383" s="188"/>
      <c r="AM383" s="188"/>
      <c r="AN383" s="188"/>
      <c r="AO383" s="188"/>
      <c r="AP383" s="188"/>
      <c r="AQ383" s="188"/>
      <c r="AR383" s="188"/>
      <c r="AS383" s="188"/>
      <c r="AT383" s="188"/>
      <c r="AU383" s="188"/>
      <c r="AV383" s="188"/>
      <c r="AW383" s="188"/>
      <c r="AX383" s="188"/>
      <c r="AY383" s="188"/>
      <c r="AZ383" s="188"/>
      <c r="BA383" s="188"/>
      <c r="BB383" s="188"/>
      <c r="BC383" s="188"/>
      <c r="BD383" s="188"/>
      <c r="BE383" s="188"/>
      <c r="BF383" s="188"/>
      <c r="BG383" s="188"/>
      <c r="BH383" s="188"/>
      <c r="BI383" s="188"/>
      <c r="BJ383" s="188"/>
      <c r="BK383" s="188"/>
      <c r="BL383" s="188"/>
      <c r="BM383" s="188"/>
      <c r="BN383" s="188"/>
      <c r="BO383" s="188"/>
      <c r="BP383" s="188"/>
      <c r="BQ383" s="188"/>
      <c r="BR383" s="188"/>
      <c r="BS383" s="188"/>
      <c r="BT383" s="188"/>
      <c r="BU383" s="188"/>
      <c r="BV383" s="188"/>
      <c r="BW383" s="188"/>
      <c r="BX383" s="188"/>
      <c r="BY383" s="188"/>
      <c r="BZ383" s="188"/>
      <c r="CA383" s="188"/>
      <c r="CB383" s="189"/>
    </row>
    <row r="384" spans="2:80" x14ac:dyDescent="0.2">
      <c r="B384" s="14"/>
      <c r="D384" s="31" t="s">
        <v>280</v>
      </c>
      <c r="AB384" s="32"/>
      <c r="AC384" s="5"/>
      <c r="AD384" s="5"/>
      <c r="AE384" s="5"/>
      <c r="AF384" s="5"/>
      <c r="AG384" s="5"/>
      <c r="AH384" s="33"/>
      <c r="AI384" s="34"/>
      <c r="AJ384" s="34"/>
      <c r="AK384" s="34"/>
      <c r="AL384" s="34"/>
      <c r="AM384" s="34"/>
      <c r="AN384" s="34"/>
      <c r="AO384" s="5"/>
      <c r="AP384" s="5"/>
      <c r="AQ384" s="5"/>
      <c r="AR384" s="5"/>
      <c r="AS384" s="5"/>
      <c r="CB384" s="15"/>
    </row>
    <row r="385" spans="2:80" ht="11.25" customHeight="1" x14ac:dyDescent="0.2">
      <c r="B385" s="14"/>
      <c r="Q385" s="35" t="s">
        <v>5</v>
      </c>
      <c r="R385" s="35"/>
      <c r="AX385" s="35" t="s">
        <v>290</v>
      </c>
      <c r="BI385" s="1" t="s">
        <v>8</v>
      </c>
      <c r="CB385" s="15"/>
    </row>
    <row r="386" spans="2:80" x14ac:dyDescent="0.2">
      <c r="B386" s="14"/>
      <c r="Z386" s="60">
        <f>SQRT(E388^2+N400^2)</f>
        <v>12.059850745345068</v>
      </c>
      <c r="AA386" s="60"/>
      <c r="AB386" s="1" t="s">
        <v>0</v>
      </c>
      <c r="CB386" s="15"/>
    </row>
    <row r="387" spans="2:80" x14ac:dyDescent="0.2">
      <c r="B387" s="14"/>
      <c r="E387" s="36" t="s">
        <v>0</v>
      </c>
      <c r="X387" s="1" t="s">
        <v>463</v>
      </c>
      <c r="CB387" s="15"/>
    </row>
    <row r="388" spans="2:80" x14ac:dyDescent="0.2">
      <c r="B388" s="14"/>
      <c r="E388" s="122">
        <v>1.2</v>
      </c>
      <c r="AJ388" s="60">
        <f>+E388</f>
        <v>1.2</v>
      </c>
      <c r="AK388" s="60"/>
      <c r="AL388" s="1" t="s">
        <v>0</v>
      </c>
      <c r="BQ388" s="1" t="s">
        <v>466</v>
      </c>
      <c r="CB388" s="15"/>
    </row>
    <row r="389" spans="2:80" x14ac:dyDescent="0.2">
      <c r="B389" s="14"/>
      <c r="E389" s="122"/>
      <c r="J389" s="1" t="s">
        <v>430</v>
      </c>
      <c r="AC389" s="60">
        <f>ATAN(E388/N400)*180/PI()</f>
        <v>5.7105931374996421</v>
      </c>
      <c r="AD389" s="60"/>
      <c r="AE389" s="37" t="s">
        <v>6</v>
      </c>
      <c r="CB389" s="15"/>
    </row>
    <row r="390" spans="2:80" x14ac:dyDescent="0.2">
      <c r="B390" s="14"/>
      <c r="E390" s="122"/>
      <c r="CB390" s="15"/>
    </row>
    <row r="391" spans="2:80" ht="11.25" customHeight="1" x14ac:dyDescent="0.2">
      <c r="B391" s="14"/>
      <c r="C391" s="36" t="s">
        <v>0</v>
      </c>
      <c r="I391" s="38" t="s">
        <v>431</v>
      </c>
      <c r="K391" s="1" t="s">
        <v>422</v>
      </c>
      <c r="AF391" s="91">
        <v>0.6</v>
      </c>
      <c r="AG391" s="91"/>
      <c r="AH391" s="183" t="s">
        <v>0</v>
      </c>
      <c r="CB391" s="15"/>
    </row>
    <row r="392" spans="2:80" x14ac:dyDescent="0.2">
      <c r="B392" s="14"/>
      <c r="C392" s="121">
        <f>+E388+E394</f>
        <v>9.1999999999999993</v>
      </c>
      <c r="AF392" s="91"/>
      <c r="AG392" s="91"/>
      <c r="AH392" s="183"/>
      <c r="AJ392" s="60">
        <f>+E394/3</f>
        <v>2.6666666666666665</v>
      </c>
      <c r="AK392" s="60"/>
      <c r="AL392" s="1" t="s">
        <v>0</v>
      </c>
      <c r="CB392" s="15"/>
    </row>
    <row r="393" spans="2:80" x14ac:dyDescent="0.2">
      <c r="B393" s="14"/>
      <c r="C393" s="121"/>
      <c r="E393" s="36" t="s">
        <v>0</v>
      </c>
      <c r="J393" s="60" t="s">
        <v>237</v>
      </c>
      <c r="K393" s="60"/>
      <c r="CB393" s="15"/>
    </row>
    <row r="394" spans="2:80" x14ac:dyDescent="0.2">
      <c r="B394" s="14"/>
      <c r="C394" s="121"/>
      <c r="E394" s="122">
        <v>8</v>
      </c>
      <c r="L394" s="60">
        <f>+S402/X395</f>
        <v>2</v>
      </c>
      <c r="M394" s="60"/>
      <c r="N394" s="1" t="s">
        <v>0</v>
      </c>
      <c r="AJ394" s="60">
        <f>+AJ392</f>
        <v>2.6666666666666665</v>
      </c>
      <c r="AK394" s="60"/>
      <c r="AL394" s="183" t="s">
        <v>0</v>
      </c>
      <c r="BQ394" s="1" t="s">
        <v>7</v>
      </c>
      <c r="CB394" s="15"/>
    </row>
    <row r="395" spans="2:80" x14ac:dyDescent="0.2">
      <c r="B395" s="14"/>
      <c r="E395" s="122"/>
      <c r="R395" s="1" t="s">
        <v>432</v>
      </c>
      <c r="X395" s="91">
        <v>12</v>
      </c>
      <c r="Y395" s="91"/>
      <c r="Z395" s="1" t="s">
        <v>433</v>
      </c>
      <c r="AD395" s="1" t="s">
        <v>13</v>
      </c>
      <c r="AJ395" s="60"/>
      <c r="AK395" s="60"/>
      <c r="AL395" s="183"/>
      <c r="CB395" s="15"/>
    </row>
    <row r="396" spans="2:80" x14ac:dyDescent="0.2">
      <c r="B396" s="14"/>
      <c r="E396" s="122"/>
      <c r="CB396" s="15"/>
    </row>
    <row r="397" spans="2:80" x14ac:dyDescent="0.2">
      <c r="B397" s="14"/>
      <c r="AJ397" s="60">
        <f>+AJ394</f>
        <v>2.6666666666666665</v>
      </c>
      <c r="AK397" s="60"/>
      <c r="AL397" s="1" t="s">
        <v>0</v>
      </c>
      <c r="CB397" s="15"/>
    </row>
    <row r="398" spans="2:80" x14ac:dyDescent="0.2">
      <c r="B398" s="14"/>
      <c r="CB398" s="15"/>
    </row>
    <row r="399" spans="2:80" ht="11.25" customHeight="1" x14ac:dyDescent="0.2">
      <c r="B399" s="14"/>
      <c r="CB399" s="15"/>
    </row>
    <row r="400" spans="2:80" x14ac:dyDescent="0.2">
      <c r="B400" s="14"/>
      <c r="N400" s="60">
        <f>+S402/2</f>
        <v>12</v>
      </c>
      <c r="O400" s="60"/>
      <c r="P400" s="1" t="s">
        <v>0</v>
      </c>
      <c r="Y400" s="60">
        <f>+S402/2</f>
        <v>12</v>
      </c>
      <c r="Z400" s="60"/>
      <c r="AA400" s="1" t="s">
        <v>0</v>
      </c>
      <c r="AO400" s="60">
        <f>+E411</f>
        <v>6</v>
      </c>
      <c r="AP400" s="60"/>
      <c r="AQ400" s="1" t="s">
        <v>0</v>
      </c>
      <c r="AS400" s="60">
        <f>+AO400</f>
        <v>6</v>
      </c>
      <c r="AT400" s="60"/>
      <c r="AU400" s="1" t="s">
        <v>0</v>
      </c>
      <c r="AW400" s="60">
        <f>+AS400</f>
        <v>6</v>
      </c>
      <c r="AX400" s="60"/>
      <c r="AY400" s="1" t="s">
        <v>0</v>
      </c>
      <c r="BA400" s="60">
        <f>+AW400</f>
        <v>6</v>
      </c>
      <c r="BB400" s="60"/>
      <c r="BE400" s="60">
        <f>+BA400</f>
        <v>6</v>
      </c>
      <c r="BF400" s="60"/>
      <c r="BI400" s="60">
        <f>+BE400</f>
        <v>6</v>
      </c>
      <c r="BJ400" s="60"/>
      <c r="BM400" s="60">
        <f>+BI400</f>
        <v>6</v>
      </c>
      <c r="BN400" s="60"/>
      <c r="CB400" s="15"/>
    </row>
    <row r="401" spans="2:80" x14ac:dyDescent="0.2">
      <c r="B401" s="14"/>
      <c r="CB401" s="15"/>
    </row>
    <row r="402" spans="2:80" x14ac:dyDescent="0.2">
      <c r="B402" s="14"/>
      <c r="S402" s="91">
        <v>24</v>
      </c>
      <c r="T402" s="91"/>
      <c r="U402" s="1" t="s">
        <v>0</v>
      </c>
      <c r="BA402" s="60">
        <f>+C422</f>
        <v>42</v>
      </c>
      <c r="BB402" s="60"/>
      <c r="BC402" s="60"/>
      <c r="BD402" s="1" t="s">
        <v>0</v>
      </c>
      <c r="CB402" s="15"/>
    </row>
    <row r="403" spans="2:80" x14ac:dyDescent="0.2">
      <c r="B403" s="14"/>
      <c r="CB403" s="15"/>
    </row>
    <row r="404" spans="2:80" x14ac:dyDescent="0.2">
      <c r="B404" s="14"/>
      <c r="S404" s="35" t="s">
        <v>3</v>
      </c>
      <c r="AO404" s="1" t="s">
        <v>471</v>
      </c>
      <c r="BI404" s="1" t="s">
        <v>9</v>
      </c>
      <c r="CB404" s="15"/>
    </row>
    <row r="405" spans="2:80" x14ac:dyDescent="0.2">
      <c r="B405" s="14"/>
      <c r="R405" s="25"/>
      <c r="S405" s="60">
        <f>+S402</f>
        <v>24</v>
      </c>
      <c r="T405" s="60"/>
      <c r="U405" s="1" t="s">
        <v>0</v>
      </c>
      <c r="V405" s="25"/>
      <c r="CB405" s="15"/>
    </row>
    <row r="406" spans="2:80" x14ac:dyDescent="0.2">
      <c r="B406" s="14"/>
      <c r="S406" s="35"/>
      <c r="AH406" s="1" t="s">
        <v>385</v>
      </c>
      <c r="CB406" s="15"/>
    </row>
    <row r="407" spans="2:80" x14ac:dyDescent="0.2">
      <c r="B407" s="14"/>
      <c r="H407" s="60">
        <f>+S405/(AL414-2)</f>
        <v>2</v>
      </c>
      <c r="I407" s="60"/>
      <c r="J407" s="1" t="s">
        <v>0</v>
      </c>
      <c r="K407" s="60">
        <f>+H407</f>
        <v>2</v>
      </c>
      <c r="L407" s="60"/>
      <c r="M407" s="1" t="s">
        <v>0</v>
      </c>
      <c r="N407" s="60">
        <f>+K407</f>
        <v>2</v>
      </c>
      <c r="O407" s="60"/>
      <c r="P407" s="1" t="s">
        <v>0</v>
      </c>
      <c r="Q407" s="60">
        <f>+N407</f>
        <v>2</v>
      </c>
      <c r="R407" s="60"/>
      <c r="S407" s="1" t="s">
        <v>0</v>
      </c>
      <c r="T407" s="60">
        <f>+Q407</f>
        <v>2</v>
      </c>
      <c r="U407" s="60"/>
      <c r="V407" s="1" t="s">
        <v>0</v>
      </c>
      <c r="W407" s="60">
        <f>+T407</f>
        <v>2</v>
      </c>
      <c r="X407" s="60"/>
      <c r="Y407" s="1" t="s">
        <v>0</v>
      </c>
      <c r="Z407" s="60">
        <f>+W407</f>
        <v>2</v>
      </c>
      <c r="AA407" s="60"/>
      <c r="AB407" s="1" t="s">
        <v>0</v>
      </c>
      <c r="AC407" s="60">
        <f>+Z407</f>
        <v>2</v>
      </c>
      <c r="AD407" s="60"/>
      <c r="AE407" s="1" t="s">
        <v>0</v>
      </c>
      <c r="AN407" s="1" t="s">
        <v>483</v>
      </c>
      <c r="AY407" s="184" t="s">
        <v>422</v>
      </c>
      <c r="AZ407" s="184"/>
      <c r="BA407" s="184" t="s">
        <v>431</v>
      </c>
      <c r="BB407" s="184"/>
      <c r="BC407" s="184" t="s">
        <v>430</v>
      </c>
      <c r="BD407" s="184"/>
      <c r="BE407" s="184" t="s">
        <v>422</v>
      </c>
      <c r="BF407" s="184"/>
      <c r="BG407" s="184" t="s">
        <v>431</v>
      </c>
      <c r="BH407" s="184"/>
      <c r="BI407" s="184" t="s">
        <v>237</v>
      </c>
      <c r="BJ407" s="184"/>
      <c r="BK407" s="184" t="s">
        <v>283</v>
      </c>
      <c r="BL407" s="184"/>
      <c r="BM407" s="184" t="s">
        <v>283</v>
      </c>
      <c r="BN407" s="184"/>
      <c r="BO407" s="40"/>
      <c r="BP407" s="40"/>
      <c r="BQ407" s="40"/>
      <c r="BR407" s="40"/>
      <c r="BS407" s="40"/>
      <c r="BT407" s="40"/>
      <c r="BU407" s="40"/>
      <c r="BV407" s="40"/>
      <c r="BW407" s="40"/>
      <c r="BX407" s="40"/>
      <c r="CB407" s="15"/>
    </row>
    <row r="408" spans="2:80" x14ac:dyDescent="0.2">
      <c r="B408" s="14"/>
      <c r="AY408" s="184">
        <f t="shared" ref="AY408:AY425" si="35">IF(BA408=0,0,SQRT($L$394^2+IF(BA409=0,$AF$391,BA409)^2))</f>
        <v>2.5612496949731396</v>
      </c>
      <c r="AZ408" s="184"/>
      <c r="BA408" s="184">
        <f>E388+AF391</f>
        <v>1.7999999999999998</v>
      </c>
      <c r="BB408" s="184"/>
      <c r="BC408" s="184">
        <f>2*SQRT(E388^2+N400^2)</f>
        <v>24.119701490690137</v>
      </c>
      <c r="BD408" s="184"/>
      <c r="BE408" s="184">
        <f>+AY408*2</f>
        <v>5.1224993899462792</v>
      </c>
      <c r="BF408" s="184"/>
      <c r="BG408" s="184">
        <f>+BA408</f>
        <v>1.7999999999999998</v>
      </c>
      <c r="BH408" s="184"/>
      <c r="BI408" s="184">
        <f>S402</f>
        <v>24</v>
      </c>
      <c r="BJ408" s="184"/>
      <c r="BK408" s="184">
        <f>2*(X395+1)</f>
        <v>26</v>
      </c>
      <c r="BL408" s="184"/>
      <c r="BM408" s="184">
        <f>X395*3+(X395-1)</f>
        <v>47</v>
      </c>
      <c r="BN408" s="184"/>
      <c r="BO408" s="40"/>
      <c r="BP408" s="40"/>
      <c r="BQ408" s="40"/>
      <c r="BR408" s="40"/>
      <c r="BS408" s="40"/>
      <c r="BT408" s="40"/>
      <c r="BU408" s="40"/>
      <c r="BV408" s="40"/>
      <c r="BW408" s="40"/>
      <c r="BX408" s="40"/>
      <c r="CB408" s="15"/>
    </row>
    <row r="409" spans="2:80" x14ac:dyDescent="0.2">
      <c r="B409" s="14"/>
      <c r="AY409" s="184">
        <f t="shared" si="35"/>
        <v>2.4413111231467406</v>
      </c>
      <c r="AZ409" s="184"/>
      <c r="BA409" s="184">
        <f t="shared" ref="BA409:BA425" si="36">IF((BA408-$L$394*TAN($AC$389*PI()/180))&gt;$AF$391,(BA408-$L$394*TAN($AC$389*PI()/180)),0)</f>
        <v>1.5999999999999999</v>
      </c>
      <c r="BB409" s="184"/>
      <c r="BC409" s="39"/>
      <c r="BD409" s="39"/>
      <c r="BE409" s="184">
        <f t="shared" ref="BE409:BE425" si="37">+AY409*2</f>
        <v>4.8826222462934812</v>
      </c>
      <c r="BF409" s="184"/>
      <c r="BG409" s="184">
        <f>+BA409*2</f>
        <v>3.1999999999999997</v>
      </c>
      <c r="BH409" s="184"/>
      <c r="BI409" s="39"/>
      <c r="BJ409" s="39"/>
      <c r="BK409" s="39"/>
      <c r="BL409" s="39"/>
      <c r="BM409" s="39"/>
      <c r="BN409" s="39"/>
      <c r="BO409" s="40"/>
      <c r="BP409" s="40"/>
      <c r="BQ409" s="40"/>
      <c r="BR409" s="40"/>
      <c r="BS409" s="40"/>
      <c r="BT409" s="40"/>
      <c r="BU409" s="40"/>
      <c r="BV409" s="40"/>
      <c r="BW409" s="40"/>
      <c r="BX409" s="40"/>
      <c r="CB409" s="15"/>
    </row>
    <row r="410" spans="2:80" x14ac:dyDescent="0.2">
      <c r="B410" s="14"/>
      <c r="E410" s="36" t="s">
        <v>0</v>
      </c>
      <c r="AY410" s="184">
        <f t="shared" si="35"/>
        <v>2.3323807579381199</v>
      </c>
      <c r="AZ410" s="184"/>
      <c r="BA410" s="184">
        <f t="shared" si="36"/>
        <v>1.4</v>
      </c>
      <c r="BB410" s="184"/>
      <c r="BC410" s="39"/>
      <c r="BD410" s="39"/>
      <c r="BE410" s="184">
        <f t="shared" si="37"/>
        <v>4.6647615158762399</v>
      </c>
      <c r="BF410" s="184"/>
      <c r="BG410" s="184">
        <f t="shared" ref="BG410:BG425" si="38">+BA410*2</f>
        <v>2.8</v>
      </c>
      <c r="BH410" s="184"/>
      <c r="BI410" s="39"/>
      <c r="BJ410" s="39"/>
      <c r="BK410" s="39"/>
      <c r="BL410" s="39"/>
      <c r="BM410" s="39"/>
      <c r="BN410" s="39"/>
      <c r="BO410" s="40"/>
      <c r="BP410" s="40"/>
      <c r="BQ410" s="40"/>
      <c r="BR410" s="40"/>
      <c r="BS410" s="40"/>
      <c r="BT410" s="40"/>
      <c r="BU410" s="40"/>
      <c r="BV410" s="40"/>
      <c r="BW410" s="40"/>
      <c r="BX410" s="40"/>
      <c r="CB410" s="15"/>
    </row>
    <row r="411" spans="2:80" x14ac:dyDescent="0.2">
      <c r="B411" s="14"/>
      <c r="E411" s="122">
        <v>6</v>
      </c>
      <c r="AY411" s="184">
        <f t="shared" si="35"/>
        <v>2.2360679774997898</v>
      </c>
      <c r="AZ411" s="184"/>
      <c r="BA411" s="184">
        <f t="shared" si="36"/>
        <v>1.2</v>
      </c>
      <c r="BB411" s="184"/>
      <c r="BC411" s="39"/>
      <c r="BD411" s="39"/>
      <c r="BE411" s="184">
        <f t="shared" si="37"/>
        <v>4.4721359549995796</v>
      </c>
      <c r="BF411" s="184"/>
      <c r="BG411" s="184">
        <f t="shared" si="38"/>
        <v>2.4</v>
      </c>
      <c r="BH411" s="184"/>
      <c r="BI411" s="39"/>
      <c r="BJ411" s="39"/>
      <c r="BK411" s="39"/>
      <c r="BL411" s="39"/>
      <c r="BM411" s="39"/>
      <c r="BN411" s="39"/>
      <c r="BO411" s="40"/>
      <c r="BP411" s="40"/>
      <c r="BQ411" s="40"/>
      <c r="BR411" s="40"/>
      <c r="BS411" s="40"/>
      <c r="BT411" s="40"/>
      <c r="BU411" s="40"/>
      <c r="BV411" s="40"/>
      <c r="BW411" s="40"/>
      <c r="BX411" s="40"/>
      <c r="CB411" s="15"/>
    </row>
    <row r="412" spans="2:80" x14ac:dyDescent="0.2">
      <c r="B412" s="14"/>
      <c r="E412" s="122"/>
      <c r="AY412" s="184">
        <f t="shared" si="35"/>
        <v>2.1540659228538019</v>
      </c>
      <c r="AZ412" s="184"/>
      <c r="BA412" s="184">
        <f t="shared" si="36"/>
        <v>1</v>
      </c>
      <c r="BB412" s="184"/>
      <c r="BC412" s="39"/>
      <c r="BD412" s="39"/>
      <c r="BE412" s="184">
        <f t="shared" si="37"/>
        <v>4.3081318457076039</v>
      </c>
      <c r="BF412" s="184"/>
      <c r="BG412" s="184">
        <f t="shared" si="38"/>
        <v>2</v>
      </c>
      <c r="BH412" s="184"/>
      <c r="BI412" s="39"/>
      <c r="BJ412" s="39"/>
      <c r="BK412" s="39"/>
      <c r="BL412" s="39"/>
      <c r="BM412" s="39"/>
      <c r="BN412" s="39"/>
      <c r="BO412" s="40"/>
      <c r="BP412" s="40"/>
      <c r="BQ412" s="40"/>
      <c r="BR412" s="40"/>
      <c r="BS412" s="40"/>
      <c r="BT412" s="40"/>
      <c r="BU412" s="40"/>
      <c r="BV412" s="40"/>
      <c r="BW412" s="40"/>
      <c r="BX412" s="40"/>
      <c r="CB412" s="15"/>
    </row>
    <row r="413" spans="2:80" x14ac:dyDescent="0.2">
      <c r="B413" s="14"/>
      <c r="E413" s="122"/>
      <c r="AY413" s="184">
        <f t="shared" si="35"/>
        <v>2.0880613017821101</v>
      </c>
      <c r="AZ413" s="184"/>
      <c r="BA413" s="184">
        <f t="shared" si="36"/>
        <v>0.8</v>
      </c>
      <c r="BB413" s="184"/>
      <c r="BC413" s="39"/>
      <c r="BD413" s="39"/>
      <c r="BE413" s="184">
        <f t="shared" si="37"/>
        <v>4.1761226035642203</v>
      </c>
      <c r="BF413" s="184"/>
      <c r="BG413" s="184">
        <f t="shared" si="38"/>
        <v>1.6</v>
      </c>
      <c r="BH413" s="184"/>
      <c r="BI413" s="39"/>
      <c r="BJ413" s="39"/>
      <c r="BK413" s="39"/>
      <c r="BL413" s="39"/>
      <c r="BM413" s="39"/>
      <c r="BN413" s="39"/>
      <c r="BO413" s="40"/>
      <c r="BP413" s="40"/>
      <c r="BQ413" s="40"/>
      <c r="BR413" s="40"/>
      <c r="BS413" s="40"/>
      <c r="BT413" s="40"/>
      <c r="BU413" s="40"/>
      <c r="BV413" s="40"/>
      <c r="BW413" s="40"/>
      <c r="BX413" s="40"/>
      <c r="CB413" s="15"/>
    </row>
    <row r="414" spans="2:80" x14ac:dyDescent="0.2">
      <c r="B414" s="14"/>
      <c r="AH414" s="1" t="s">
        <v>307</v>
      </c>
      <c r="AL414" s="60">
        <f>+X395+2</f>
        <v>14</v>
      </c>
      <c r="AM414" s="60"/>
      <c r="AN414" s="1" t="s">
        <v>265</v>
      </c>
      <c r="AY414" s="184">
        <f t="shared" si="35"/>
        <v>0</v>
      </c>
      <c r="AZ414" s="184"/>
      <c r="BA414" s="184">
        <f t="shared" si="36"/>
        <v>0</v>
      </c>
      <c r="BB414" s="184"/>
      <c r="BC414" s="39"/>
      <c r="BD414" s="39"/>
      <c r="BE414" s="184">
        <f t="shared" si="37"/>
        <v>0</v>
      </c>
      <c r="BF414" s="184"/>
      <c r="BG414" s="184">
        <f t="shared" si="38"/>
        <v>0</v>
      </c>
      <c r="BH414" s="184"/>
      <c r="BI414" s="39"/>
      <c r="BJ414" s="39"/>
      <c r="BK414" s="39"/>
      <c r="BL414" s="39"/>
      <c r="BM414" s="39"/>
      <c r="BN414" s="39"/>
      <c r="BO414" s="40"/>
      <c r="BP414" s="40"/>
      <c r="BQ414" s="40"/>
      <c r="BR414" s="40"/>
      <c r="BS414" s="40"/>
      <c r="BT414" s="40"/>
      <c r="BU414" s="40"/>
      <c r="BV414" s="40"/>
      <c r="BW414" s="40"/>
      <c r="BX414" s="40"/>
      <c r="CB414" s="15"/>
    </row>
    <row r="415" spans="2:80" x14ac:dyDescent="0.2">
      <c r="B415" s="14"/>
      <c r="E415" s="36" t="s">
        <v>0</v>
      </c>
      <c r="G415" s="1" t="s">
        <v>4</v>
      </c>
      <c r="AF415" s="38" t="s">
        <v>4</v>
      </c>
      <c r="AH415" s="1" t="s">
        <v>445</v>
      </c>
      <c r="AY415" s="184">
        <f t="shared" si="35"/>
        <v>0</v>
      </c>
      <c r="AZ415" s="184"/>
      <c r="BA415" s="184">
        <f t="shared" si="36"/>
        <v>0</v>
      </c>
      <c r="BB415" s="184"/>
      <c r="BC415" s="39"/>
      <c r="BD415" s="39"/>
      <c r="BE415" s="184">
        <f t="shared" si="37"/>
        <v>0</v>
      </c>
      <c r="BF415" s="184"/>
      <c r="BG415" s="184">
        <f t="shared" si="38"/>
        <v>0</v>
      </c>
      <c r="BH415" s="184"/>
      <c r="BI415" s="39"/>
      <c r="BJ415" s="39"/>
      <c r="BK415" s="39"/>
      <c r="BL415" s="39"/>
      <c r="BM415" s="39"/>
      <c r="BN415" s="39"/>
      <c r="BO415" s="40"/>
      <c r="BP415" s="40"/>
      <c r="BQ415" s="40"/>
      <c r="BR415" s="40"/>
      <c r="BS415" s="40"/>
      <c r="BT415" s="40"/>
      <c r="BU415" s="40"/>
      <c r="BV415" s="40"/>
      <c r="BW415" s="40"/>
      <c r="BX415" s="40"/>
      <c r="CB415" s="15"/>
    </row>
    <row r="416" spans="2:80" x14ac:dyDescent="0.2">
      <c r="B416" s="14"/>
      <c r="E416" s="121">
        <f>+E411</f>
        <v>6</v>
      </c>
      <c r="AY416" s="184">
        <f t="shared" si="35"/>
        <v>0</v>
      </c>
      <c r="AZ416" s="184"/>
      <c r="BA416" s="184">
        <f t="shared" si="36"/>
        <v>0</v>
      </c>
      <c r="BB416" s="184"/>
      <c r="BC416" s="39"/>
      <c r="BD416" s="39"/>
      <c r="BE416" s="184">
        <f t="shared" si="37"/>
        <v>0</v>
      </c>
      <c r="BF416" s="184"/>
      <c r="BG416" s="184">
        <f t="shared" si="38"/>
        <v>0</v>
      </c>
      <c r="BH416" s="184"/>
      <c r="BI416" s="39"/>
      <c r="BJ416" s="39"/>
      <c r="BK416" s="39"/>
      <c r="BL416" s="39"/>
      <c r="BM416" s="39"/>
      <c r="BN416" s="39"/>
      <c r="BO416" s="40"/>
      <c r="BP416" s="40"/>
      <c r="BQ416" s="40"/>
      <c r="BR416" s="40"/>
      <c r="BS416" s="40"/>
      <c r="BT416" s="40"/>
      <c r="BU416" s="40"/>
      <c r="BV416" s="40"/>
      <c r="BW416" s="40"/>
      <c r="BX416" s="40"/>
      <c r="CB416" s="15"/>
    </row>
    <row r="417" spans="2:80" x14ac:dyDescent="0.2">
      <c r="B417" s="14"/>
      <c r="E417" s="121"/>
      <c r="AY417" s="184">
        <f t="shared" si="35"/>
        <v>0</v>
      </c>
      <c r="AZ417" s="184"/>
      <c r="BA417" s="184">
        <f t="shared" si="36"/>
        <v>0</v>
      </c>
      <c r="BB417" s="184"/>
      <c r="BC417" s="39"/>
      <c r="BD417" s="39"/>
      <c r="BE417" s="184">
        <f t="shared" si="37"/>
        <v>0</v>
      </c>
      <c r="BF417" s="184"/>
      <c r="BG417" s="184">
        <f t="shared" si="38"/>
        <v>0</v>
      </c>
      <c r="BH417" s="184"/>
      <c r="BI417" s="39"/>
      <c r="BJ417" s="39"/>
      <c r="BK417" s="39"/>
      <c r="BL417" s="39"/>
      <c r="BM417" s="39"/>
      <c r="BN417" s="39"/>
      <c r="BO417" s="40"/>
      <c r="BP417" s="40"/>
      <c r="BQ417" s="40"/>
      <c r="BR417" s="40"/>
      <c r="BS417" s="40"/>
      <c r="BT417" s="40"/>
      <c r="BU417" s="40"/>
      <c r="BV417" s="40"/>
      <c r="BW417" s="40"/>
      <c r="BX417" s="40"/>
      <c r="CB417" s="15"/>
    </row>
    <row r="418" spans="2:80" x14ac:dyDescent="0.2">
      <c r="B418" s="14"/>
      <c r="E418" s="121"/>
      <c r="AY418" s="184">
        <f t="shared" si="35"/>
        <v>0</v>
      </c>
      <c r="AZ418" s="184"/>
      <c r="BA418" s="184">
        <f t="shared" si="36"/>
        <v>0</v>
      </c>
      <c r="BB418" s="184"/>
      <c r="BC418" s="39"/>
      <c r="BD418" s="39"/>
      <c r="BE418" s="184">
        <f t="shared" si="37"/>
        <v>0</v>
      </c>
      <c r="BF418" s="184"/>
      <c r="BG418" s="184">
        <f t="shared" si="38"/>
        <v>0</v>
      </c>
      <c r="BH418" s="184"/>
      <c r="BI418" s="39"/>
      <c r="BJ418" s="39"/>
      <c r="BK418" s="39"/>
      <c r="BL418" s="39"/>
      <c r="BM418" s="39"/>
      <c r="BN418" s="39"/>
      <c r="BO418" s="40"/>
      <c r="BP418" s="40"/>
      <c r="BQ418" s="40"/>
      <c r="BR418" s="40"/>
      <c r="BS418" s="40"/>
      <c r="BT418" s="40"/>
      <c r="BU418" s="40"/>
      <c r="BV418" s="40"/>
      <c r="BW418" s="40"/>
      <c r="BX418" s="40"/>
      <c r="CB418" s="15"/>
    </row>
    <row r="419" spans="2:80" x14ac:dyDescent="0.2">
      <c r="B419" s="14"/>
      <c r="AH419" s="1" t="s">
        <v>15</v>
      </c>
      <c r="AY419" s="184">
        <f t="shared" si="35"/>
        <v>0</v>
      </c>
      <c r="AZ419" s="184"/>
      <c r="BA419" s="184">
        <f t="shared" si="36"/>
        <v>0</v>
      </c>
      <c r="BB419" s="184"/>
      <c r="BC419" s="39"/>
      <c r="BD419" s="39"/>
      <c r="BE419" s="184">
        <f t="shared" si="37"/>
        <v>0</v>
      </c>
      <c r="BF419" s="184"/>
      <c r="BG419" s="184">
        <f t="shared" si="38"/>
        <v>0</v>
      </c>
      <c r="BH419" s="184"/>
      <c r="BI419" s="39"/>
      <c r="BJ419" s="39"/>
      <c r="BK419" s="39"/>
      <c r="BL419" s="39"/>
      <c r="BM419" s="39"/>
      <c r="BN419" s="39"/>
      <c r="BO419" s="40"/>
      <c r="BP419" s="40"/>
      <c r="BQ419" s="40"/>
      <c r="BR419" s="40"/>
      <c r="BS419" s="40"/>
      <c r="BT419" s="40"/>
      <c r="BU419" s="40"/>
      <c r="BV419" s="40"/>
      <c r="BW419" s="40"/>
      <c r="BX419" s="40"/>
      <c r="CB419" s="15"/>
    </row>
    <row r="420" spans="2:80" x14ac:dyDescent="0.2">
      <c r="B420" s="14"/>
      <c r="E420" s="36" t="s">
        <v>0</v>
      </c>
      <c r="AY420" s="184">
        <f t="shared" si="35"/>
        <v>0</v>
      </c>
      <c r="AZ420" s="184"/>
      <c r="BA420" s="184">
        <f t="shared" si="36"/>
        <v>0</v>
      </c>
      <c r="BB420" s="184"/>
      <c r="BC420" s="39"/>
      <c r="BD420" s="39"/>
      <c r="BE420" s="184">
        <f t="shared" si="37"/>
        <v>0</v>
      </c>
      <c r="BF420" s="184"/>
      <c r="BG420" s="184">
        <f t="shared" si="38"/>
        <v>0</v>
      </c>
      <c r="BH420" s="184"/>
      <c r="BI420" s="39"/>
      <c r="BJ420" s="39"/>
      <c r="BK420" s="39"/>
      <c r="BL420" s="39"/>
      <c r="BM420" s="39"/>
      <c r="BN420" s="39"/>
      <c r="BO420" s="40"/>
      <c r="BP420" s="40"/>
      <c r="BQ420" s="40"/>
      <c r="BR420" s="40"/>
      <c r="BS420" s="40"/>
      <c r="BT420" s="40"/>
      <c r="BU420" s="40"/>
      <c r="BV420" s="40"/>
      <c r="BW420" s="40"/>
      <c r="BX420" s="40"/>
      <c r="CB420" s="15"/>
    </row>
    <row r="421" spans="2:80" x14ac:dyDescent="0.2">
      <c r="B421" s="14"/>
      <c r="C421" s="36" t="s">
        <v>0</v>
      </c>
      <c r="E421" s="121">
        <f>+E416</f>
        <v>6</v>
      </c>
      <c r="AY421" s="184">
        <f t="shared" si="35"/>
        <v>0</v>
      </c>
      <c r="AZ421" s="184"/>
      <c r="BA421" s="184">
        <f t="shared" si="36"/>
        <v>0</v>
      </c>
      <c r="BB421" s="184"/>
      <c r="BC421" s="39"/>
      <c r="BD421" s="39"/>
      <c r="BE421" s="184">
        <f t="shared" si="37"/>
        <v>0</v>
      </c>
      <c r="BF421" s="184"/>
      <c r="BG421" s="184">
        <f t="shared" si="38"/>
        <v>0</v>
      </c>
      <c r="BH421" s="184"/>
      <c r="BI421" s="39"/>
      <c r="BJ421" s="39"/>
      <c r="BK421" s="39"/>
      <c r="BL421" s="39"/>
      <c r="BM421" s="39"/>
      <c r="BN421" s="39"/>
      <c r="BO421" s="40"/>
      <c r="BP421" s="40"/>
      <c r="BQ421" s="40"/>
      <c r="BR421" s="40"/>
      <c r="BS421" s="40"/>
      <c r="BT421" s="40"/>
      <c r="BU421" s="40"/>
      <c r="BV421" s="40"/>
      <c r="BW421" s="40"/>
      <c r="BX421" s="40"/>
      <c r="CB421" s="15"/>
    </row>
    <row r="422" spans="2:80" x14ac:dyDescent="0.2">
      <c r="B422" s="14"/>
      <c r="C422" s="121">
        <f>+C432*C427</f>
        <v>42</v>
      </c>
      <c r="E422" s="121"/>
      <c r="AY422" s="184">
        <f t="shared" si="35"/>
        <v>0</v>
      </c>
      <c r="AZ422" s="184"/>
      <c r="BA422" s="184">
        <f t="shared" si="36"/>
        <v>0</v>
      </c>
      <c r="BB422" s="184"/>
      <c r="BC422" s="39"/>
      <c r="BD422" s="39"/>
      <c r="BE422" s="184">
        <f t="shared" si="37"/>
        <v>0</v>
      </c>
      <c r="BF422" s="184"/>
      <c r="BG422" s="184">
        <f t="shared" si="38"/>
        <v>0</v>
      </c>
      <c r="BH422" s="184"/>
      <c r="BI422" s="39"/>
      <c r="BJ422" s="39"/>
      <c r="BK422" s="39"/>
      <c r="BL422" s="39"/>
      <c r="BM422" s="39"/>
      <c r="BN422" s="39"/>
      <c r="BO422" s="40"/>
      <c r="BP422" s="40"/>
      <c r="BQ422" s="40"/>
      <c r="BR422" s="40"/>
      <c r="BS422" s="40"/>
      <c r="BT422" s="40"/>
      <c r="BU422" s="40"/>
      <c r="BV422" s="40"/>
      <c r="BW422" s="40"/>
      <c r="BX422" s="40"/>
      <c r="CB422" s="15"/>
    </row>
    <row r="423" spans="2:80" x14ac:dyDescent="0.2">
      <c r="B423" s="14"/>
      <c r="C423" s="121"/>
      <c r="E423" s="121"/>
      <c r="AY423" s="184">
        <f t="shared" si="35"/>
        <v>0</v>
      </c>
      <c r="AZ423" s="184"/>
      <c r="BA423" s="184">
        <f t="shared" si="36"/>
        <v>0</v>
      </c>
      <c r="BB423" s="184"/>
      <c r="BC423" s="39"/>
      <c r="BD423" s="39"/>
      <c r="BE423" s="184">
        <f t="shared" si="37"/>
        <v>0</v>
      </c>
      <c r="BF423" s="184"/>
      <c r="BG423" s="184">
        <f t="shared" si="38"/>
        <v>0</v>
      </c>
      <c r="BH423" s="184"/>
      <c r="BI423" s="39"/>
      <c r="BJ423" s="39"/>
      <c r="BK423" s="39"/>
      <c r="BL423" s="39"/>
      <c r="BM423" s="39"/>
      <c r="BN423" s="39"/>
      <c r="BO423" s="40"/>
      <c r="BP423" s="40"/>
      <c r="BQ423" s="40"/>
      <c r="BR423" s="40"/>
      <c r="BS423" s="40"/>
      <c r="BT423" s="40"/>
      <c r="BU423" s="40"/>
      <c r="BV423" s="40"/>
      <c r="BW423" s="40"/>
      <c r="BX423" s="40"/>
      <c r="CB423" s="15"/>
    </row>
    <row r="424" spans="2:80" x14ac:dyDescent="0.2">
      <c r="B424" s="14"/>
      <c r="C424" s="121"/>
      <c r="AY424" s="184">
        <f t="shared" si="35"/>
        <v>0</v>
      </c>
      <c r="AZ424" s="184"/>
      <c r="BA424" s="184">
        <f t="shared" si="36"/>
        <v>0</v>
      </c>
      <c r="BB424" s="184"/>
      <c r="BC424" s="39"/>
      <c r="BD424" s="39"/>
      <c r="BE424" s="184">
        <f t="shared" si="37"/>
        <v>0</v>
      </c>
      <c r="BF424" s="184"/>
      <c r="BG424" s="184">
        <f t="shared" si="38"/>
        <v>0</v>
      </c>
      <c r="BH424" s="184"/>
      <c r="BI424" s="39"/>
      <c r="BJ424" s="39"/>
      <c r="BK424" s="39"/>
      <c r="BL424" s="39"/>
      <c r="BM424" s="39"/>
      <c r="BN424" s="39"/>
      <c r="BO424" s="40"/>
      <c r="BP424" s="40"/>
      <c r="BQ424" s="40"/>
      <c r="BR424" s="40"/>
      <c r="BS424" s="40"/>
      <c r="BT424" s="40"/>
      <c r="BU424" s="40"/>
      <c r="BV424" s="40"/>
      <c r="BW424" s="40"/>
      <c r="BX424" s="40"/>
      <c r="CB424" s="15"/>
    </row>
    <row r="425" spans="2:80" x14ac:dyDescent="0.2">
      <c r="B425" s="14"/>
      <c r="C425" s="36" t="s">
        <v>2</v>
      </c>
      <c r="E425" s="36" t="s">
        <v>0</v>
      </c>
      <c r="AH425" s="1" t="s">
        <v>466</v>
      </c>
      <c r="AY425" s="184">
        <f t="shared" si="35"/>
        <v>0</v>
      </c>
      <c r="AZ425" s="184"/>
      <c r="BA425" s="184">
        <f t="shared" si="36"/>
        <v>0</v>
      </c>
      <c r="BB425" s="184"/>
      <c r="BC425" s="39"/>
      <c r="BD425" s="39"/>
      <c r="BE425" s="184">
        <f t="shared" si="37"/>
        <v>0</v>
      </c>
      <c r="BF425" s="184"/>
      <c r="BG425" s="184">
        <f t="shared" si="38"/>
        <v>0</v>
      </c>
      <c r="BH425" s="184"/>
      <c r="BI425" s="39"/>
      <c r="BJ425" s="39"/>
      <c r="BK425" s="39"/>
      <c r="BL425" s="39"/>
      <c r="BM425" s="39"/>
      <c r="BN425" s="39"/>
      <c r="BO425" s="40"/>
      <c r="BP425" s="40"/>
      <c r="BQ425" s="40"/>
      <c r="BR425" s="40"/>
      <c r="BS425" s="40"/>
      <c r="BT425" s="40"/>
      <c r="BU425" s="40"/>
      <c r="BV425" s="40"/>
      <c r="BW425" s="40"/>
      <c r="BX425" s="40"/>
      <c r="CB425" s="15"/>
    </row>
    <row r="426" spans="2:80" x14ac:dyDescent="0.2">
      <c r="B426" s="14"/>
      <c r="C426" s="36" t="s">
        <v>0</v>
      </c>
      <c r="E426" s="121">
        <f>+E421</f>
        <v>6</v>
      </c>
      <c r="AY426" s="39"/>
      <c r="AZ426" s="39"/>
      <c r="BA426" s="39"/>
      <c r="BB426" s="39"/>
      <c r="BC426" s="39"/>
      <c r="BD426" s="39"/>
      <c r="BE426" s="184">
        <f>SUM(BE408:BF425)</f>
        <v>27.626273556387403</v>
      </c>
      <c r="BF426" s="184"/>
      <c r="BG426" s="184">
        <f>SUM(BG408:BH425)</f>
        <v>13.799999999999999</v>
      </c>
      <c r="BH426" s="184"/>
      <c r="BI426" s="39"/>
      <c r="BJ426" s="39"/>
      <c r="BK426" s="39"/>
      <c r="BL426" s="39"/>
      <c r="BM426" s="39"/>
      <c r="BN426" s="39"/>
      <c r="BO426" s="40"/>
      <c r="BP426" s="40"/>
      <c r="BQ426" s="40"/>
      <c r="BR426" s="40"/>
      <c r="BS426" s="40"/>
      <c r="BT426" s="40"/>
      <c r="BU426" s="40"/>
      <c r="BV426" s="40"/>
      <c r="BW426" s="40"/>
      <c r="BX426" s="40"/>
      <c r="CB426" s="15"/>
    </row>
    <row r="427" spans="2:80" x14ac:dyDescent="0.2">
      <c r="B427" s="14"/>
      <c r="C427" s="121">
        <f>+E411</f>
        <v>6</v>
      </c>
      <c r="E427" s="121"/>
      <c r="AY427" s="40"/>
      <c r="AZ427" s="40"/>
      <c r="BA427" s="40"/>
      <c r="BB427" s="40"/>
      <c r="BC427" s="40"/>
      <c r="BD427" s="40"/>
      <c r="BE427" s="40"/>
      <c r="BF427" s="40"/>
      <c r="BG427" s="40"/>
      <c r="BH427" s="40"/>
      <c r="BI427" s="40"/>
      <c r="BJ427" s="40"/>
      <c r="BK427" s="40"/>
      <c r="BL427" s="40"/>
      <c r="BM427" s="40"/>
      <c r="BN427" s="40"/>
      <c r="BO427" s="40"/>
      <c r="BP427" s="40"/>
      <c r="BQ427" s="40"/>
      <c r="BR427" s="40"/>
      <c r="BS427" s="40"/>
      <c r="BT427" s="40"/>
      <c r="BU427" s="40"/>
      <c r="BV427" s="40"/>
      <c r="BW427" s="40"/>
      <c r="BX427" s="40"/>
      <c r="CB427" s="15"/>
    </row>
    <row r="428" spans="2:80" x14ac:dyDescent="0.2">
      <c r="B428" s="14"/>
      <c r="C428" s="121"/>
      <c r="E428" s="121"/>
      <c r="CB428" s="15"/>
    </row>
    <row r="429" spans="2:80" x14ac:dyDescent="0.2">
      <c r="B429" s="14"/>
      <c r="C429" s="121"/>
      <c r="CB429" s="15"/>
    </row>
    <row r="430" spans="2:80" x14ac:dyDescent="0.2">
      <c r="B430" s="14"/>
      <c r="C430" s="121" t="s">
        <v>1</v>
      </c>
      <c r="E430" s="36" t="s">
        <v>0</v>
      </c>
      <c r="AH430" s="1" t="s">
        <v>7</v>
      </c>
      <c r="CB430" s="15"/>
    </row>
    <row r="431" spans="2:80" x14ac:dyDescent="0.2">
      <c r="B431" s="14"/>
      <c r="C431" s="121"/>
      <c r="E431" s="121">
        <f>+E426</f>
        <v>6</v>
      </c>
      <c r="CB431" s="15"/>
    </row>
    <row r="432" spans="2:80" x14ac:dyDescent="0.2">
      <c r="B432" s="14"/>
      <c r="C432" s="122">
        <v>7</v>
      </c>
      <c r="E432" s="121"/>
      <c r="CB432" s="15"/>
    </row>
    <row r="433" spans="2:80" x14ac:dyDescent="0.2">
      <c r="B433" s="14"/>
      <c r="C433" s="122"/>
      <c r="E433" s="121"/>
      <c r="AZ433" s="35" t="s">
        <v>416</v>
      </c>
      <c r="BJ433" s="35" t="s">
        <v>414</v>
      </c>
      <c r="CB433" s="15"/>
    </row>
    <row r="434" spans="2:80" x14ac:dyDescent="0.2">
      <c r="B434" s="14"/>
      <c r="CB434" s="15"/>
    </row>
    <row r="435" spans="2:80" x14ac:dyDescent="0.2">
      <c r="B435" s="14"/>
      <c r="E435" s="36" t="s">
        <v>0</v>
      </c>
      <c r="CB435" s="15"/>
    </row>
    <row r="436" spans="2:80" x14ac:dyDescent="0.2">
      <c r="B436" s="14"/>
      <c r="E436" s="121">
        <f>+E431</f>
        <v>6</v>
      </c>
      <c r="CB436" s="15"/>
    </row>
    <row r="437" spans="2:80" x14ac:dyDescent="0.2">
      <c r="B437" s="14"/>
      <c r="E437" s="121"/>
      <c r="AW437" s="1" t="s">
        <v>420</v>
      </c>
      <c r="BD437" s="25" t="s">
        <v>421</v>
      </c>
      <c r="BH437" s="1" t="s">
        <v>422</v>
      </c>
      <c r="BO437" s="25" t="s">
        <v>421</v>
      </c>
      <c r="CB437" s="15"/>
    </row>
    <row r="438" spans="2:80" x14ac:dyDescent="0.2">
      <c r="B438" s="14"/>
      <c r="E438" s="121"/>
      <c r="CB438" s="15"/>
    </row>
    <row r="439" spans="2:80" x14ac:dyDescent="0.2">
      <c r="B439" s="14"/>
      <c r="CB439" s="15"/>
    </row>
    <row r="440" spans="2:80" x14ac:dyDescent="0.2">
      <c r="B440" s="14"/>
      <c r="E440" s="36" t="s">
        <v>0</v>
      </c>
      <c r="CB440" s="15"/>
    </row>
    <row r="441" spans="2:80" x14ac:dyDescent="0.2">
      <c r="B441" s="14"/>
      <c r="E441" s="121">
        <f>+E436</f>
        <v>6</v>
      </c>
      <c r="BA441" s="60" t="s">
        <v>418</v>
      </c>
      <c r="BB441" s="60"/>
      <c r="CB441" s="15"/>
    </row>
    <row r="442" spans="2:80" x14ac:dyDescent="0.2">
      <c r="B442" s="14"/>
      <c r="E442" s="121"/>
      <c r="CB442" s="15"/>
    </row>
    <row r="443" spans="2:80" x14ac:dyDescent="0.2">
      <c r="B443" s="14"/>
      <c r="E443" s="121"/>
      <c r="CB443" s="15"/>
    </row>
    <row r="444" spans="2:80" x14ac:dyDescent="0.2">
      <c r="B444" s="14"/>
      <c r="BO444" s="185" t="s">
        <v>427</v>
      </c>
      <c r="BP444" s="185" t="s">
        <v>425</v>
      </c>
      <c r="BQ444" s="185" t="s">
        <v>426</v>
      </c>
      <c r="BR444" s="39"/>
      <c r="CB444" s="15"/>
    </row>
    <row r="445" spans="2:80" x14ac:dyDescent="0.2">
      <c r="B445" s="14"/>
      <c r="BO445" s="185"/>
      <c r="BP445" s="185"/>
      <c r="BQ445" s="185"/>
      <c r="BR445" s="39"/>
      <c r="CB445" s="15"/>
    </row>
    <row r="446" spans="2:80" x14ac:dyDescent="0.2">
      <c r="B446" s="14"/>
      <c r="J446" s="1" t="s">
        <v>269</v>
      </c>
      <c r="P446" s="35" t="s">
        <v>291</v>
      </c>
      <c r="BO446" s="185"/>
      <c r="BP446" s="185"/>
      <c r="BQ446" s="185"/>
      <c r="BR446" s="39"/>
      <c r="CB446" s="15"/>
    </row>
    <row r="447" spans="2:80" x14ac:dyDescent="0.2">
      <c r="B447" s="14"/>
      <c r="I447" s="1" t="s">
        <v>11</v>
      </c>
      <c r="Y447" s="1" t="s">
        <v>270</v>
      </c>
      <c r="AH447" s="1" t="s">
        <v>386</v>
      </c>
      <c r="BO447" s="185"/>
      <c r="BP447" s="185"/>
      <c r="BQ447" s="185"/>
      <c r="BR447" s="39"/>
      <c r="CB447" s="15"/>
    </row>
    <row r="448" spans="2:80" x14ac:dyDescent="0.2">
      <c r="B448" s="14"/>
      <c r="AA448" s="1" t="s">
        <v>10</v>
      </c>
      <c r="AZ448" s="35" t="s">
        <v>444</v>
      </c>
      <c r="BO448" s="185"/>
      <c r="BP448" s="185"/>
      <c r="BQ448" s="185"/>
      <c r="BR448" s="39"/>
      <c r="CB448" s="15"/>
    </row>
    <row r="449" spans="2:80" x14ac:dyDescent="0.2">
      <c r="B449" s="14"/>
      <c r="E449" s="36" t="s">
        <v>0</v>
      </c>
      <c r="BE449" s="1" t="s">
        <v>418</v>
      </c>
      <c r="BO449" s="185"/>
      <c r="BP449" s="185"/>
      <c r="BQ449" s="185"/>
      <c r="BR449" s="39"/>
      <c r="CB449" s="15"/>
    </row>
    <row r="450" spans="2:80" x14ac:dyDescent="0.2">
      <c r="B450" s="14"/>
      <c r="E450" s="121">
        <f>+E388</f>
        <v>1.2</v>
      </c>
      <c r="BO450" s="39">
        <v>4</v>
      </c>
      <c r="BP450" s="39">
        <v>2</v>
      </c>
      <c r="BQ450" s="39">
        <v>2</v>
      </c>
      <c r="BR450" s="39"/>
      <c r="CB450" s="15"/>
    </row>
    <row r="451" spans="2:80" x14ac:dyDescent="0.2">
      <c r="B451" s="14"/>
      <c r="E451" s="121"/>
      <c r="BO451" s="39">
        <v>7</v>
      </c>
      <c r="BP451" s="39">
        <v>3</v>
      </c>
      <c r="BQ451" s="39">
        <v>4</v>
      </c>
      <c r="BR451" s="39"/>
      <c r="CB451" s="15"/>
    </row>
    <row r="452" spans="2:80" x14ac:dyDescent="0.2">
      <c r="B452" s="14"/>
      <c r="E452" s="121"/>
      <c r="BH452" s="60" t="s">
        <v>424</v>
      </c>
      <c r="BO452" s="39">
        <v>10</v>
      </c>
      <c r="BP452" s="39">
        <v>4</v>
      </c>
      <c r="BQ452" s="39">
        <v>6</v>
      </c>
      <c r="BR452" s="39"/>
      <c r="CB452" s="15"/>
    </row>
    <row r="453" spans="2:80" x14ac:dyDescent="0.2">
      <c r="B453" s="14"/>
      <c r="C453" s="36" t="s">
        <v>0</v>
      </c>
      <c r="AD453" s="37"/>
      <c r="AK453" s="78" t="s">
        <v>575</v>
      </c>
      <c r="AL453" s="78"/>
      <c r="AM453" s="78"/>
      <c r="AN453" s="78"/>
      <c r="AO453" s="78"/>
      <c r="AP453" s="78"/>
      <c r="AQ453" s="78"/>
      <c r="AR453" s="78"/>
      <c r="AS453" s="78"/>
      <c r="AT453" s="78"/>
      <c r="BH453" s="60"/>
      <c r="BO453" s="39">
        <v>13</v>
      </c>
      <c r="BP453" s="39">
        <v>5</v>
      </c>
      <c r="BQ453" s="39">
        <v>8</v>
      </c>
      <c r="BR453" s="39"/>
      <c r="CB453" s="15"/>
    </row>
    <row r="454" spans="2:80" x14ac:dyDescent="0.2">
      <c r="B454" s="14"/>
      <c r="C454" s="121">
        <f>+C392</f>
        <v>9.1999999999999993</v>
      </c>
      <c r="D454" s="60">
        <f>+E394/3</f>
        <v>2.6666666666666665</v>
      </c>
      <c r="E454" s="60"/>
      <c r="F454" s="1" t="s">
        <v>0</v>
      </c>
      <c r="AK454" s="78"/>
      <c r="AL454" s="78"/>
      <c r="AM454" s="78"/>
      <c r="AN454" s="78"/>
      <c r="AO454" s="78"/>
      <c r="AP454" s="78"/>
      <c r="AQ454" s="78"/>
      <c r="AR454" s="78"/>
      <c r="AS454" s="78"/>
      <c r="AT454" s="78"/>
      <c r="BO454" s="39">
        <v>16</v>
      </c>
      <c r="BP454" s="39">
        <v>6</v>
      </c>
      <c r="BQ454" s="39">
        <v>10</v>
      </c>
      <c r="BR454" s="39"/>
      <c r="CB454" s="15"/>
    </row>
    <row r="455" spans="2:80" x14ac:dyDescent="0.2">
      <c r="B455" s="14"/>
      <c r="C455" s="121"/>
      <c r="AK455" s="78"/>
      <c r="AL455" s="78"/>
      <c r="AM455" s="78"/>
      <c r="AN455" s="78"/>
      <c r="AO455" s="78"/>
      <c r="AP455" s="78"/>
      <c r="AQ455" s="78"/>
      <c r="AR455" s="78"/>
      <c r="AS455" s="78"/>
      <c r="AT455" s="78"/>
      <c r="BC455" s="1" t="s">
        <v>421</v>
      </c>
      <c r="BO455" s="39">
        <v>19</v>
      </c>
      <c r="BP455" s="39">
        <v>7</v>
      </c>
      <c r="BQ455" s="39">
        <v>12</v>
      </c>
      <c r="BR455" s="39"/>
      <c r="CB455" s="15"/>
    </row>
    <row r="456" spans="2:80" x14ac:dyDescent="0.2">
      <c r="B456" s="14"/>
      <c r="C456" s="121"/>
      <c r="D456" s="60">
        <f>+D454</f>
        <v>2.6666666666666665</v>
      </c>
      <c r="E456" s="60"/>
      <c r="F456" s="183" t="s">
        <v>0</v>
      </c>
      <c r="AH456" s="36" t="s">
        <v>0</v>
      </c>
      <c r="AK456" s="78"/>
      <c r="AL456" s="78"/>
      <c r="AM456" s="78"/>
      <c r="AN456" s="78"/>
      <c r="AO456" s="78"/>
      <c r="AP456" s="78"/>
      <c r="AQ456" s="78"/>
      <c r="AR456" s="78"/>
      <c r="AS456" s="78"/>
      <c r="AT456" s="78"/>
      <c r="BA456" s="1" t="s">
        <v>420</v>
      </c>
      <c r="BO456" s="39">
        <v>22</v>
      </c>
      <c r="BP456" s="39">
        <v>8</v>
      </c>
      <c r="BQ456" s="39">
        <v>14</v>
      </c>
      <c r="BR456" s="39"/>
      <c r="CB456" s="15"/>
    </row>
    <row r="457" spans="2:80" x14ac:dyDescent="0.2">
      <c r="B457" s="14"/>
      <c r="D457" s="60"/>
      <c r="E457" s="60"/>
      <c r="F457" s="183"/>
      <c r="AH457" s="122">
        <v>4.5</v>
      </c>
      <c r="AK457" s="78"/>
      <c r="AL457" s="78"/>
      <c r="AM457" s="78"/>
      <c r="AN457" s="78"/>
      <c r="AO457" s="78"/>
      <c r="AP457" s="78"/>
      <c r="AQ457" s="78"/>
      <c r="AR457" s="78"/>
      <c r="AS457" s="78"/>
      <c r="AT457" s="78"/>
      <c r="BO457" s="39">
        <v>25</v>
      </c>
      <c r="BP457" s="39">
        <v>9</v>
      </c>
      <c r="BQ457" s="39">
        <v>16</v>
      </c>
      <c r="BR457" s="39"/>
      <c r="CB457" s="15"/>
    </row>
    <row r="458" spans="2:80" x14ac:dyDescent="0.2">
      <c r="B458" s="14"/>
      <c r="AH458" s="122"/>
      <c r="BO458" s="39">
        <v>28</v>
      </c>
      <c r="BP458" s="39">
        <v>10</v>
      </c>
      <c r="BQ458" s="39">
        <v>18</v>
      </c>
      <c r="BR458" s="39"/>
      <c r="CB458" s="15"/>
    </row>
    <row r="459" spans="2:80" x14ac:dyDescent="0.2">
      <c r="B459" s="14"/>
      <c r="D459" s="60">
        <f>+D456</f>
        <v>2.6666666666666665</v>
      </c>
      <c r="E459" s="60"/>
      <c r="F459" s="1" t="s">
        <v>0</v>
      </c>
      <c r="AH459" s="122"/>
      <c r="BO459" s="39">
        <v>31</v>
      </c>
      <c r="BP459" s="39">
        <v>11</v>
      </c>
      <c r="BQ459" s="39">
        <v>20</v>
      </c>
      <c r="BR459" s="39"/>
      <c r="CB459" s="15"/>
    </row>
    <row r="460" spans="2:80" x14ac:dyDescent="0.2">
      <c r="B460" s="14"/>
      <c r="BO460" s="39">
        <v>34</v>
      </c>
      <c r="BP460" s="39">
        <v>12</v>
      </c>
      <c r="BQ460" s="39">
        <v>22</v>
      </c>
      <c r="BR460" s="39"/>
      <c r="CB460" s="15"/>
    </row>
    <row r="461" spans="2:80" x14ac:dyDescent="0.2">
      <c r="B461" s="14"/>
      <c r="BO461" s="40"/>
      <c r="BP461" s="40"/>
      <c r="BQ461" s="40"/>
      <c r="BR461" s="40"/>
      <c r="CB461" s="15"/>
    </row>
    <row r="462" spans="2:80" x14ac:dyDescent="0.2">
      <c r="B462" s="14"/>
      <c r="H462" s="60">
        <f>+K462</f>
        <v>3.1666666666666665</v>
      </c>
      <c r="I462" s="60"/>
      <c r="J462" s="1" t="s">
        <v>0</v>
      </c>
      <c r="K462" s="60">
        <f>+N462</f>
        <v>3.1666666666666665</v>
      </c>
      <c r="L462" s="60"/>
      <c r="M462" s="1" t="s">
        <v>0</v>
      </c>
      <c r="N462" s="60">
        <f>(S464-S462)/2/3</f>
        <v>3.1666666666666665</v>
      </c>
      <c r="O462" s="60"/>
      <c r="P462" s="1" t="s">
        <v>0</v>
      </c>
      <c r="S462" s="91">
        <v>5</v>
      </c>
      <c r="T462" s="91"/>
      <c r="U462" s="1" t="s">
        <v>0</v>
      </c>
      <c r="X462" s="60">
        <f>+N462</f>
        <v>3.1666666666666665</v>
      </c>
      <c r="Y462" s="60"/>
      <c r="Z462" s="1" t="s">
        <v>0</v>
      </c>
      <c r="AA462" s="60">
        <f>+N462</f>
        <v>3.1666666666666665</v>
      </c>
      <c r="AB462" s="60"/>
      <c r="AC462" s="1" t="s">
        <v>0</v>
      </c>
      <c r="AD462" s="60">
        <f>+N462</f>
        <v>3.1666666666666665</v>
      </c>
      <c r="AE462" s="60"/>
      <c r="AF462" s="1" t="s">
        <v>0</v>
      </c>
      <c r="BO462" s="40"/>
      <c r="BP462" s="40"/>
      <c r="BQ462" s="40"/>
      <c r="BR462" s="40"/>
      <c r="CB462" s="15"/>
    </row>
    <row r="463" spans="2:80" x14ac:dyDescent="0.2">
      <c r="B463" s="14"/>
      <c r="BO463" s="40"/>
      <c r="BP463" s="40"/>
      <c r="BQ463" s="40"/>
      <c r="BR463" s="40"/>
      <c r="CB463" s="15"/>
    </row>
    <row r="464" spans="2:80" x14ac:dyDescent="0.2">
      <c r="B464" s="14"/>
      <c r="S464" s="60">
        <f>+S402</f>
        <v>24</v>
      </c>
      <c r="T464" s="60"/>
      <c r="U464" s="1" t="s">
        <v>0</v>
      </c>
      <c r="BO464" s="40"/>
      <c r="BP464" s="40"/>
      <c r="BQ464" s="40"/>
      <c r="BR464" s="40"/>
      <c r="CB464" s="15"/>
    </row>
    <row r="465" spans="2:80" x14ac:dyDescent="0.2">
      <c r="B465" s="14"/>
      <c r="BO465" s="40"/>
      <c r="BP465" s="40"/>
      <c r="BQ465" s="40"/>
      <c r="BR465" s="40"/>
      <c r="CB465" s="15"/>
    </row>
    <row r="466" spans="2:80" ht="11.25" customHeight="1" x14ac:dyDescent="0.2">
      <c r="B466" s="14"/>
      <c r="H466" s="35" t="s">
        <v>542</v>
      </c>
      <c r="Q466" s="1" t="s">
        <v>549</v>
      </c>
      <c r="AH466" s="35" t="s">
        <v>489</v>
      </c>
      <c r="CB466" s="15"/>
    </row>
    <row r="467" spans="2:80" ht="11.25" customHeight="1" x14ac:dyDescent="0.2">
      <c r="B467" s="14"/>
      <c r="E467" s="1" t="s">
        <v>508</v>
      </c>
      <c r="P467" s="1" t="s">
        <v>487</v>
      </c>
      <c r="CB467" s="15"/>
    </row>
    <row r="468" spans="2:80" ht="11.25" customHeight="1" x14ac:dyDescent="0.2">
      <c r="B468" s="14"/>
      <c r="G468" s="1" t="s">
        <v>546</v>
      </c>
      <c r="CB468" s="15"/>
    </row>
    <row r="469" spans="2:80" ht="11.25" customHeight="1" x14ac:dyDescent="0.2">
      <c r="B469" s="14"/>
      <c r="D469" s="91">
        <v>0.15</v>
      </c>
      <c r="E469" s="91"/>
      <c r="F469" s="1" t="s">
        <v>0</v>
      </c>
      <c r="CB469" s="15"/>
    </row>
    <row r="470" spans="2:80" ht="11.25" customHeight="1" x14ac:dyDescent="0.2">
      <c r="B470" s="14"/>
      <c r="CB470" s="15"/>
    </row>
    <row r="471" spans="2:80" ht="11.25" customHeight="1" x14ac:dyDescent="0.2">
      <c r="B471" s="14"/>
      <c r="CB471" s="15"/>
    </row>
    <row r="472" spans="2:80" ht="11.25" customHeight="1" x14ac:dyDescent="0.2">
      <c r="B472" s="14"/>
      <c r="Q472" s="91">
        <v>0.8</v>
      </c>
      <c r="R472" s="91"/>
      <c r="S472" s="1" t="s">
        <v>0</v>
      </c>
      <c r="AZ472" s="88" t="s">
        <v>539</v>
      </c>
      <c r="BA472" s="89"/>
      <c r="BB472" s="89"/>
      <c r="BC472" s="89"/>
      <c r="BD472" s="89"/>
      <c r="BE472" s="89"/>
      <c r="BF472" s="89"/>
      <c r="BG472" s="89"/>
      <c r="BH472" s="89"/>
      <c r="BI472" s="89"/>
      <c r="BJ472" s="89"/>
      <c r="BK472" s="89"/>
      <c r="BL472" s="89"/>
      <c r="BM472" s="89"/>
      <c r="BN472" s="89"/>
      <c r="BO472" s="89"/>
      <c r="BP472" s="89"/>
      <c r="BQ472" s="89"/>
      <c r="BR472" s="90"/>
      <c r="CB472" s="15"/>
    </row>
    <row r="473" spans="2:80" ht="11.25" customHeight="1" x14ac:dyDescent="0.2">
      <c r="B473" s="14"/>
      <c r="O473" s="1" t="s">
        <v>488</v>
      </c>
      <c r="AZ473" s="92" t="s">
        <v>509</v>
      </c>
      <c r="BA473" s="92"/>
      <c r="BB473" s="92"/>
      <c r="BC473" s="162" t="s">
        <v>510</v>
      </c>
      <c r="BD473" s="162"/>
      <c r="BE473" s="92" t="s">
        <v>511</v>
      </c>
      <c r="BF473" s="92"/>
      <c r="BG473" s="92"/>
      <c r="BH473" s="92"/>
      <c r="BI473" s="92" t="s">
        <v>512</v>
      </c>
      <c r="BJ473" s="92"/>
      <c r="BK473" s="92"/>
      <c r="BL473" s="92"/>
      <c r="BM473" s="92" t="s">
        <v>513</v>
      </c>
      <c r="BN473" s="92"/>
      <c r="BO473" s="92"/>
      <c r="BP473" s="92"/>
      <c r="BQ473" s="97" t="s">
        <v>538</v>
      </c>
      <c r="BR473" s="98"/>
      <c r="CB473" s="15"/>
    </row>
    <row r="474" spans="2:80" ht="11.25" customHeight="1" x14ac:dyDescent="0.2">
      <c r="B474" s="14"/>
      <c r="AZ474" s="92"/>
      <c r="BA474" s="92"/>
      <c r="BB474" s="92"/>
      <c r="BC474" s="162"/>
      <c r="BD474" s="162"/>
      <c r="BE474" s="92" t="s">
        <v>514</v>
      </c>
      <c r="BF474" s="92"/>
      <c r="BG474" s="92" t="s">
        <v>515</v>
      </c>
      <c r="BH474" s="92"/>
      <c r="BI474" s="92" t="s">
        <v>514</v>
      </c>
      <c r="BJ474" s="92"/>
      <c r="BK474" s="92" t="s">
        <v>515</v>
      </c>
      <c r="BL474" s="92"/>
      <c r="BM474" s="92" t="s">
        <v>514</v>
      </c>
      <c r="BN474" s="92"/>
      <c r="BO474" s="92" t="s">
        <v>515</v>
      </c>
      <c r="BP474" s="92"/>
      <c r="BQ474" s="97"/>
      <c r="BR474" s="98"/>
      <c r="BU474" s="1" t="s">
        <v>558</v>
      </c>
      <c r="CB474" s="15"/>
    </row>
    <row r="475" spans="2:80" ht="11.25" customHeight="1" thickBot="1" x14ac:dyDescent="0.25">
      <c r="B475" s="14"/>
      <c r="AZ475" s="155"/>
      <c r="BA475" s="155"/>
      <c r="BB475" s="155"/>
      <c r="BC475" s="99" t="s">
        <v>516</v>
      </c>
      <c r="BD475" s="100"/>
      <c r="BE475" s="99" t="s">
        <v>419</v>
      </c>
      <c r="BF475" s="100"/>
      <c r="BG475" s="99" t="s">
        <v>419</v>
      </c>
      <c r="BH475" s="100"/>
      <c r="BI475" s="99" t="s">
        <v>419</v>
      </c>
      <c r="BJ475" s="100"/>
      <c r="BK475" s="99" t="s">
        <v>419</v>
      </c>
      <c r="BL475" s="100"/>
      <c r="BM475" s="99" t="s">
        <v>517</v>
      </c>
      <c r="BN475" s="100"/>
      <c r="BO475" s="99" t="s">
        <v>517</v>
      </c>
      <c r="BP475" s="100"/>
      <c r="BQ475" s="99" t="s">
        <v>412</v>
      </c>
      <c r="BR475" s="100"/>
      <c r="CB475" s="15"/>
    </row>
    <row r="476" spans="2:80" ht="11.25" customHeight="1" thickTop="1" x14ac:dyDescent="0.2">
      <c r="B476" s="14"/>
      <c r="Q476" s="91">
        <v>0.4</v>
      </c>
      <c r="R476" s="91"/>
      <c r="S476" s="1" t="s">
        <v>0</v>
      </c>
      <c r="AZ476" s="108" t="s">
        <v>518</v>
      </c>
      <c r="BA476" s="108"/>
      <c r="BB476" s="108"/>
      <c r="BE476" s="109">
        <v>150</v>
      </c>
      <c r="BF476" s="109"/>
      <c r="BG476" s="109">
        <v>250</v>
      </c>
      <c r="BH476" s="109"/>
      <c r="BI476" s="109">
        <v>5</v>
      </c>
      <c r="BJ476" s="109"/>
      <c r="BK476" s="109">
        <v>5</v>
      </c>
      <c r="BL476" s="109"/>
      <c r="BM476" s="109">
        <v>131</v>
      </c>
      <c r="BN476" s="109"/>
      <c r="BO476" s="109">
        <v>78</v>
      </c>
      <c r="BP476" s="109"/>
      <c r="BQ476" s="101">
        <v>1.64</v>
      </c>
      <c r="BR476" s="102"/>
      <c r="CB476" s="15"/>
    </row>
    <row r="477" spans="2:80" ht="11.25" customHeight="1" x14ac:dyDescent="0.2">
      <c r="B477" s="14"/>
      <c r="AZ477" s="92" t="s">
        <v>519</v>
      </c>
      <c r="BA477" s="92"/>
      <c r="BB477" s="92"/>
      <c r="BE477" s="63">
        <v>150</v>
      </c>
      <c r="BF477" s="63"/>
      <c r="BG477" s="63">
        <v>250</v>
      </c>
      <c r="BH477" s="63"/>
      <c r="BI477" s="63">
        <v>5.5</v>
      </c>
      <c r="BJ477" s="63"/>
      <c r="BK477" s="63">
        <v>5.5</v>
      </c>
      <c r="BL477" s="63"/>
      <c r="BM477" s="63">
        <v>158</v>
      </c>
      <c r="BN477" s="63"/>
      <c r="BO477" s="63">
        <v>78</v>
      </c>
      <c r="BP477" s="63"/>
      <c r="BQ477" s="69">
        <v>1.86</v>
      </c>
      <c r="BR477" s="70"/>
      <c r="CB477" s="15"/>
    </row>
    <row r="478" spans="2:80" ht="11.25" customHeight="1" x14ac:dyDescent="0.2">
      <c r="B478" s="14"/>
      <c r="AZ478" s="92" t="s">
        <v>520</v>
      </c>
      <c r="BA478" s="92"/>
      <c r="BB478" s="92"/>
      <c r="BE478" s="63">
        <v>150</v>
      </c>
      <c r="BF478" s="63"/>
      <c r="BG478" s="63">
        <v>250</v>
      </c>
      <c r="BH478" s="63"/>
      <c r="BI478" s="63">
        <v>6</v>
      </c>
      <c r="BJ478" s="63"/>
      <c r="BK478" s="63">
        <v>5</v>
      </c>
      <c r="BL478" s="63"/>
      <c r="BM478" s="63">
        <v>188</v>
      </c>
      <c r="BN478" s="63"/>
      <c r="BO478" s="63">
        <v>78</v>
      </c>
      <c r="BP478" s="63"/>
      <c r="BQ478" s="69">
        <v>2.1</v>
      </c>
      <c r="BR478" s="70"/>
      <c r="BX478" s="1" t="s">
        <v>559</v>
      </c>
      <c r="CB478" s="15"/>
    </row>
    <row r="479" spans="2:80" ht="11.25" customHeight="1" x14ac:dyDescent="0.2">
      <c r="B479" s="14"/>
      <c r="K479" s="60">
        <f>+R494</f>
        <v>2</v>
      </c>
      <c r="L479" s="60"/>
      <c r="M479" s="1" t="s">
        <v>0</v>
      </c>
      <c r="AF479" s="78" t="s">
        <v>556</v>
      </c>
      <c r="AG479" s="78"/>
      <c r="AH479" s="78"/>
      <c r="AI479" s="78"/>
      <c r="AJ479" s="78"/>
      <c r="AK479" s="78"/>
      <c r="AL479" s="78"/>
      <c r="AM479" s="78"/>
      <c r="AZ479" s="92" t="s">
        <v>521</v>
      </c>
      <c r="BA479" s="92"/>
      <c r="BB479" s="92"/>
      <c r="BE479" s="63">
        <v>150</v>
      </c>
      <c r="BF479" s="63"/>
      <c r="BG479" s="63">
        <v>250</v>
      </c>
      <c r="BH479" s="63"/>
      <c r="BI479" s="63">
        <v>6.5</v>
      </c>
      <c r="BJ479" s="63"/>
      <c r="BK479" s="63">
        <v>5</v>
      </c>
      <c r="BL479" s="63"/>
      <c r="BM479" s="63">
        <v>221</v>
      </c>
      <c r="BN479" s="63"/>
      <c r="BO479" s="63">
        <v>78</v>
      </c>
      <c r="BP479" s="63"/>
      <c r="BQ479" s="69">
        <v>2.35</v>
      </c>
      <c r="BR479" s="70"/>
      <c r="CB479" s="15"/>
    </row>
    <row r="480" spans="2:80" ht="11.25" customHeight="1" x14ac:dyDescent="0.2">
      <c r="B480" s="14"/>
      <c r="AF480" s="78"/>
      <c r="AG480" s="78"/>
      <c r="AH480" s="78"/>
      <c r="AI480" s="78"/>
      <c r="AJ480" s="78"/>
      <c r="AK480" s="78"/>
      <c r="AL480" s="78"/>
      <c r="AM480" s="78"/>
      <c r="AZ480" s="92" t="s">
        <v>522</v>
      </c>
      <c r="BA480" s="92"/>
      <c r="BB480" s="92"/>
      <c r="BE480" s="63">
        <v>150</v>
      </c>
      <c r="BF480" s="63"/>
      <c r="BG480" s="63">
        <v>250</v>
      </c>
      <c r="BH480" s="63"/>
      <c r="BI480" s="63">
        <v>7</v>
      </c>
      <c r="BJ480" s="63"/>
      <c r="BK480" s="63">
        <v>5</v>
      </c>
      <c r="BL480" s="63"/>
      <c r="BM480" s="63">
        <v>257</v>
      </c>
      <c r="BN480" s="63"/>
      <c r="BO480" s="63">
        <v>78</v>
      </c>
      <c r="BP480" s="63"/>
      <c r="BQ480" s="69">
        <v>2.63</v>
      </c>
      <c r="BR480" s="70"/>
      <c r="CB480" s="15"/>
    </row>
    <row r="481" spans="2:80" ht="11.25" customHeight="1" x14ac:dyDescent="0.2">
      <c r="B481" s="14"/>
      <c r="Q481" s="1" t="s">
        <v>574</v>
      </c>
      <c r="AF481" s="78"/>
      <c r="AG481" s="78"/>
      <c r="AH481" s="78"/>
      <c r="AI481" s="78"/>
      <c r="AJ481" s="78"/>
      <c r="AK481" s="78"/>
      <c r="AL481" s="78"/>
      <c r="AM481" s="78"/>
      <c r="AZ481" s="92" t="s">
        <v>523</v>
      </c>
      <c r="BA481" s="92"/>
      <c r="BB481" s="92"/>
      <c r="BC481" s="127">
        <v>5</v>
      </c>
      <c r="BD481" s="127"/>
      <c r="BE481" s="63">
        <v>150</v>
      </c>
      <c r="BF481" s="63"/>
      <c r="BG481" s="63">
        <v>250</v>
      </c>
      <c r="BH481" s="63"/>
      <c r="BI481" s="63">
        <v>7.5</v>
      </c>
      <c r="BJ481" s="63"/>
      <c r="BK481" s="63">
        <v>5</v>
      </c>
      <c r="BL481" s="63"/>
      <c r="BM481" s="63">
        <v>295</v>
      </c>
      <c r="BN481" s="63"/>
      <c r="BO481" s="63">
        <v>78</v>
      </c>
      <c r="BP481" s="63"/>
      <c r="BQ481" s="69">
        <v>2.93</v>
      </c>
      <c r="BR481" s="70"/>
      <c r="CB481" s="15"/>
    </row>
    <row r="482" spans="2:80" ht="11.25" customHeight="1" x14ac:dyDescent="0.2">
      <c r="B482" s="14"/>
      <c r="F482" s="31" t="str">
        <f>IF((C494*1000*K504*1000*0.01)&gt;(F483*PI()*H483^2/4),"artır.","")</f>
        <v/>
      </c>
      <c r="Q482" s="38">
        <f>(ROUNDUP(Q472/(T482/1000),0)+1)</f>
        <v>9</v>
      </c>
      <c r="R482" s="118">
        <v>8</v>
      </c>
      <c r="S482" s="118"/>
      <c r="T482" s="110">
        <v>100</v>
      </c>
      <c r="U482" s="110"/>
      <c r="AF482" s="78"/>
      <c r="AG482" s="78"/>
      <c r="AH482" s="78"/>
      <c r="AI482" s="78"/>
      <c r="AJ482" s="78"/>
      <c r="AK482" s="78"/>
      <c r="AL482" s="78"/>
      <c r="AM482" s="78"/>
      <c r="AZ482" s="92" t="s">
        <v>524</v>
      </c>
      <c r="BA482" s="92"/>
      <c r="BB482" s="92"/>
      <c r="BC482" s="67">
        <v>2.15</v>
      </c>
      <c r="BD482" s="68"/>
      <c r="BE482" s="63">
        <v>150</v>
      </c>
      <c r="BF482" s="63"/>
      <c r="BG482" s="63">
        <v>250</v>
      </c>
      <c r="BH482" s="63"/>
      <c r="BI482" s="63">
        <v>7.8</v>
      </c>
      <c r="BJ482" s="63"/>
      <c r="BK482" s="63">
        <v>5</v>
      </c>
      <c r="BL482" s="63"/>
      <c r="BM482" s="63">
        <v>317</v>
      </c>
      <c r="BN482" s="63"/>
      <c r="BO482" s="63">
        <v>78</v>
      </c>
      <c r="BP482" s="63"/>
      <c r="BQ482" s="69">
        <v>3.12</v>
      </c>
      <c r="BR482" s="70"/>
      <c r="CB482" s="15"/>
    </row>
    <row r="483" spans="2:80" ht="11.25" customHeight="1" x14ac:dyDescent="0.2">
      <c r="B483" s="14"/>
      <c r="F483" s="119">
        <v>16</v>
      </c>
      <c r="G483" s="119"/>
      <c r="H483" s="116">
        <v>26</v>
      </c>
      <c r="I483" s="116"/>
      <c r="Q483" s="1" t="s">
        <v>498</v>
      </c>
      <c r="R483" s="60">
        <f>ROUNDUP(4*(C494-0.1)+2*MAX(6*R482,8)/1000,2)</f>
        <v>3.3</v>
      </c>
      <c r="S483" s="60"/>
      <c r="T483" s="1" t="s">
        <v>0</v>
      </c>
      <c r="AF483" s="78"/>
      <c r="AG483" s="78"/>
      <c r="AH483" s="78"/>
      <c r="AI483" s="78"/>
      <c r="AJ483" s="78"/>
      <c r="AK483" s="78"/>
      <c r="AL483" s="78"/>
      <c r="AM483" s="78"/>
      <c r="AZ483" s="92" t="s">
        <v>525</v>
      </c>
      <c r="BA483" s="92"/>
      <c r="BB483" s="92"/>
      <c r="BE483" s="63">
        <v>150</v>
      </c>
      <c r="BF483" s="63"/>
      <c r="BG483" s="63">
        <v>250</v>
      </c>
      <c r="BH483" s="63"/>
      <c r="BI483" s="63">
        <v>8</v>
      </c>
      <c r="BJ483" s="63"/>
      <c r="BK483" s="63">
        <v>5</v>
      </c>
      <c r="BL483" s="63"/>
      <c r="BM483" s="63">
        <v>335</v>
      </c>
      <c r="BN483" s="63"/>
      <c r="BO483" s="63">
        <v>78</v>
      </c>
      <c r="BP483" s="63"/>
      <c r="BQ483" s="69">
        <v>3.25</v>
      </c>
      <c r="BR483" s="70"/>
      <c r="CB483" s="15"/>
    </row>
    <row r="484" spans="2:80" ht="11.25" customHeight="1" x14ac:dyDescent="0.2">
      <c r="B484" s="14"/>
      <c r="F484" s="1" t="s">
        <v>498</v>
      </c>
      <c r="G484" s="60">
        <f>+Q476+Q472-0.1+0.2</f>
        <v>1.3</v>
      </c>
      <c r="H484" s="60"/>
      <c r="I484" s="1" t="s">
        <v>0</v>
      </c>
      <c r="Q484" s="1" t="s">
        <v>498</v>
      </c>
      <c r="R484" s="60">
        <f>ROUNDUP(((C494-0.1)*2)+((C494-0.1)/3*2)+2*MAX(6*R482,8)/1000,2)</f>
        <v>2.23</v>
      </c>
      <c r="S484" s="60"/>
      <c r="T484" s="1" t="s">
        <v>0</v>
      </c>
      <c r="AF484" s="78"/>
      <c r="AG484" s="78"/>
      <c r="AH484" s="78"/>
      <c r="AI484" s="78"/>
      <c r="AJ484" s="78"/>
      <c r="AK484" s="78"/>
      <c r="AL484" s="78"/>
      <c r="AM484" s="78"/>
      <c r="AZ484" s="92" t="s">
        <v>526</v>
      </c>
      <c r="BA484" s="92"/>
      <c r="BB484" s="92"/>
      <c r="BE484" s="63">
        <v>150</v>
      </c>
      <c r="BF484" s="63"/>
      <c r="BG484" s="63">
        <v>250</v>
      </c>
      <c r="BH484" s="63"/>
      <c r="BI484" s="63">
        <v>8.5</v>
      </c>
      <c r="BJ484" s="63"/>
      <c r="BK484" s="63">
        <v>5</v>
      </c>
      <c r="BL484" s="63"/>
      <c r="BM484" s="63">
        <v>377</v>
      </c>
      <c r="BN484" s="63"/>
      <c r="BO484" s="63">
        <v>78</v>
      </c>
      <c r="BP484" s="63"/>
      <c r="BQ484" s="69">
        <v>3.86</v>
      </c>
      <c r="BR484" s="70"/>
      <c r="CB484" s="15"/>
    </row>
    <row r="485" spans="2:80" ht="11.25" customHeight="1" x14ac:dyDescent="0.2">
      <c r="B485" s="14"/>
      <c r="AF485" s="78"/>
      <c r="AG485" s="78"/>
      <c r="AH485" s="78"/>
      <c r="AI485" s="78"/>
      <c r="AJ485" s="78"/>
      <c r="AK485" s="78"/>
      <c r="AL485" s="78"/>
      <c r="AM485" s="78"/>
      <c r="AZ485" s="92" t="s">
        <v>527</v>
      </c>
      <c r="BA485" s="92"/>
      <c r="BB485" s="92"/>
      <c r="BC485" s="50"/>
      <c r="BD485" s="47"/>
      <c r="BE485" s="63">
        <v>150</v>
      </c>
      <c r="BF485" s="63"/>
      <c r="BG485" s="63">
        <v>150</v>
      </c>
      <c r="BH485" s="63"/>
      <c r="BI485" s="63">
        <v>5</v>
      </c>
      <c r="BJ485" s="63"/>
      <c r="BK485" s="63">
        <v>5</v>
      </c>
      <c r="BL485" s="63"/>
      <c r="BM485" s="63">
        <v>131</v>
      </c>
      <c r="BN485" s="63"/>
      <c r="BO485" s="63">
        <v>131</v>
      </c>
      <c r="BP485" s="63"/>
      <c r="BQ485" s="69">
        <v>2.06</v>
      </c>
      <c r="BR485" s="70"/>
      <c r="CB485" s="15"/>
    </row>
    <row r="486" spans="2:80" ht="11.25" customHeight="1" x14ac:dyDescent="0.2">
      <c r="B486" s="14"/>
      <c r="L486" s="117">
        <f>MAX(2*ROUNDUP((0.002*R494*1000*(Q476*1000-50))/(PI()*N486^2/4),0),2*(ROUNDUP((R494-0.1)/(P486/1000),0)+1))</f>
        <v>18</v>
      </c>
      <c r="M486" s="117"/>
      <c r="N486" s="116">
        <v>16</v>
      </c>
      <c r="O486" s="116"/>
      <c r="P486" s="110">
        <v>250</v>
      </c>
      <c r="Q486" s="110"/>
      <c r="R486" s="1" t="s">
        <v>272</v>
      </c>
      <c r="AF486" s="78"/>
      <c r="AG486" s="78"/>
      <c r="AH486" s="78"/>
      <c r="AI486" s="78"/>
      <c r="AJ486" s="78"/>
      <c r="AK486" s="78"/>
      <c r="AL486" s="78"/>
      <c r="AM486" s="78"/>
      <c r="AZ486" s="92" t="s">
        <v>528</v>
      </c>
      <c r="BA486" s="92"/>
      <c r="BB486" s="92"/>
      <c r="BC486" s="51"/>
      <c r="BD486" s="52"/>
      <c r="BE486" s="63">
        <v>150</v>
      </c>
      <c r="BF486" s="63"/>
      <c r="BG486" s="63">
        <v>150</v>
      </c>
      <c r="BH486" s="63"/>
      <c r="BI486" s="63">
        <v>5.5</v>
      </c>
      <c r="BJ486" s="63"/>
      <c r="BK486" s="63">
        <v>5.5</v>
      </c>
      <c r="BL486" s="63"/>
      <c r="BM486" s="63">
        <v>158</v>
      </c>
      <c r="BN486" s="63"/>
      <c r="BO486" s="63">
        <v>158</v>
      </c>
      <c r="BP486" s="63"/>
      <c r="BQ486" s="69">
        <v>2.4900000000000002</v>
      </c>
      <c r="BR486" s="70"/>
      <c r="CB486" s="15"/>
    </row>
    <row r="487" spans="2:80" ht="11.25" customHeight="1" x14ac:dyDescent="0.2">
      <c r="B487" s="14"/>
      <c r="L487" s="1" t="s">
        <v>498</v>
      </c>
      <c r="M487" s="60">
        <f>K479-0.1+2*(Q476-0.1)</f>
        <v>2.5</v>
      </c>
      <c r="N487" s="60"/>
      <c r="O487" s="1" t="s">
        <v>0</v>
      </c>
      <c r="Q487" s="31" t="str">
        <f>IF(P486&gt;250,"aralık azalt.","")</f>
        <v/>
      </c>
      <c r="AF487" s="78"/>
      <c r="AG487" s="78"/>
      <c r="AH487" s="78"/>
      <c r="AI487" s="78"/>
      <c r="AJ487" s="78"/>
      <c r="AK487" s="78"/>
      <c r="AL487" s="78"/>
      <c r="AM487" s="78"/>
      <c r="AZ487" s="92" t="s">
        <v>529</v>
      </c>
      <c r="BA487" s="92"/>
      <c r="BB487" s="92"/>
      <c r="BC487" s="51"/>
      <c r="BD487" s="52"/>
      <c r="BE487" s="63">
        <v>150</v>
      </c>
      <c r="BF487" s="63"/>
      <c r="BG487" s="63">
        <v>150</v>
      </c>
      <c r="BH487" s="63"/>
      <c r="BI487" s="63">
        <v>6</v>
      </c>
      <c r="BJ487" s="63"/>
      <c r="BK487" s="63">
        <v>6</v>
      </c>
      <c r="BL487" s="63"/>
      <c r="BM487" s="63">
        <v>188</v>
      </c>
      <c r="BN487" s="63"/>
      <c r="BO487" s="63">
        <v>188</v>
      </c>
      <c r="BP487" s="63"/>
      <c r="BQ487" s="69">
        <v>2.96</v>
      </c>
      <c r="BR487" s="70"/>
      <c r="CB487" s="15"/>
    </row>
    <row r="488" spans="2:80" ht="11.25" customHeight="1" x14ac:dyDescent="0.2">
      <c r="B488" s="14"/>
      <c r="H488" s="35" t="s">
        <v>541</v>
      </c>
      <c r="AF488" s="78"/>
      <c r="AG488" s="78"/>
      <c r="AH488" s="78"/>
      <c r="AI488" s="78"/>
      <c r="AJ488" s="78"/>
      <c r="AK488" s="78"/>
      <c r="AL488" s="78"/>
      <c r="AM488" s="78"/>
      <c r="AZ488" s="92" t="s">
        <v>530</v>
      </c>
      <c r="BA488" s="92"/>
      <c r="BB488" s="92"/>
      <c r="BC488" s="51"/>
      <c r="BD488" s="52"/>
      <c r="BE488" s="63">
        <v>150</v>
      </c>
      <c r="BF488" s="63"/>
      <c r="BG488" s="63">
        <v>150</v>
      </c>
      <c r="BH488" s="63"/>
      <c r="BI488" s="63">
        <v>6.5</v>
      </c>
      <c r="BJ488" s="63"/>
      <c r="BK488" s="63">
        <v>6.5</v>
      </c>
      <c r="BL488" s="63"/>
      <c r="BM488" s="63">
        <v>221</v>
      </c>
      <c r="BN488" s="63"/>
      <c r="BO488" s="63">
        <v>221</v>
      </c>
      <c r="BP488" s="63"/>
      <c r="BQ488" s="69">
        <v>3.47</v>
      </c>
      <c r="BR488" s="70"/>
      <c r="CB488" s="15"/>
    </row>
    <row r="489" spans="2:80" ht="11.25" customHeight="1" x14ac:dyDescent="0.2">
      <c r="B489" s="14"/>
      <c r="AF489" s="78"/>
      <c r="AG489" s="78"/>
      <c r="AH489" s="78"/>
      <c r="AI489" s="78"/>
      <c r="AJ489" s="78"/>
      <c r="AK489" s="78"/>
      <c r="AL489" s="78"/>
      <c r="AM489" s="78"/>
      <c r="AZ489" s="92" t="s">
        <v>531</v>
      </c>
      <c r="BA489" s="92"/>
      <c r="BB489" s="92"/>
      <c r="BC489" s="51"/>
      <c r="BD489" s="52"/>
      <c r="BE489" s="63">
        <v>150</v>
      </c>
      <c r="BF489" s="63"/>
      <c r="BG489" s="63">
        <v>150</v>
      </c>
      <c r="BH489" s="63"/>
      <c r="BI489" s="63">
        <v>7</v>
      </c>
      <c r="BJ489" s="63"/>
      <c r="BK489" s="63">
        <v>7</v>
      </c>
      <c r="BL489" s="63"/>
      <c r="BM489" s="63">
        <v>257</v>
      </c>
      <c r="BN489" s="63"/>
      <c r="BO489" s="63">
        <v>257</v>
      </c>
      <c r="BP489" s="63"/>
      <c r="BQ489" s="69">
        <v>4.03</v>
      </c>
      <c r="BR489" s="70"/>
      <c r="CB489" s="15"/>
    </row>
    <row r="490" spans="2:80" ht="11.25" customHeight="1" x14ac:dyDescent="0.2">
      <c r="B490" s="14"/>
      <c r="AF490" s="78"/>
      <c r="AG490" s="78"/>
      <c r="AH490" s="78"/>
      <c r="AI490" s="78"/>
      <c r="AJ490" s="78"/>
      <c r="AK490" s="78"/>
      <c r="AL490" s="78"/>
      <c r="AM490" s="78"/>
      <c r="AZ490" s="92" t="s">
        <v>532</v>
      </c>
      <c r="BA490" s="92"/>
      <c r="BB490" s="92"/>
      <c r="BC490" s="93">
        <v>5</v>
      </c>
      <c r="BD490" s="94"/>
      <c r="BE490" s="63">
        <v>150</v>
      </c>
      <c r="BF490" s="63"/>
      <c r="BG490" s="63">
        <v>150</v>
      </c>
      <c r="BH490" s="63"/>
      <c r="BI490" s="63">
        <v>7.5</v>
      </c>
      <c r="BJ490" s="63"/>
      <c r="BK490" s="63">
        <v>7.5</v>
      </c>
      <c r="BL490" s="63"/>
      <c r="BM490" s="63">
        <v>295</v>
      </c>
      <c r="BN490" s="63"/>
      <c r="BO490" s="63">
        <v>295</v>
      </c>
      <c r="BP490" s="63"/>
      <c r="BQ490" s="69">
        <v>4.62</v>
      </c>
      <c r="BR490" s="70"/>
      <c r="CB490" s="15"/>
    </row>
    <row r="491" spans="2:80" ht="11.25" customHeight="1" x14ac:dyDescent="0.2">
      <c r="B491" s="14"/>
      <c r="AF491" s="78"/>
      <c r="AG491" s="78"/>
      <c r="AH491" s="78"/>
      <c r="AI491" s="78"/>
      <c r="AJ491" s="78"/>
      <c r="AK491" s="78"/>
      <c r="AL491" s="78"/>
      <c r="AM491" s="78"/>
      <c r="AZ491" s="92" t="s">
        <v>533</v>
      </c>
      <c r="BA491" s="92"/>
      <c r="BB491" s="92"/>
      <c r="BC491" s="67">
        <v>2.15</v>
      </c>
      <c r="BD491" s="68"/>
      <c r="BE491" s="63">
        <v>150</v>
      </c>
      <c r="BF491" s="63"/>
      <c r="BG491" s="63">
        <v>150</v>
      </c>
      <c r="BH491" s="63"/>
      <c r="BI491" s="63">
        <v>7.8</v>
      </c>
      <c r="BJ491" s="63"/>
      <c r="BK491" s="63">
        <v>6</v>
      </c>
      <c r="BL491" s="63"/>
      <c r="BM491" s="63">
        <v>317</v>
      </c>
      <c r="BN491" s="63"/>
      <c r="BO491" s="63">
        <v>188</v>
      </c>
      <c r="BP491" s="63"/>
      <c r="BQ491" s="69">
        <v>3.98</v>
      </c>
      <c r="BR491" s="70"/>
      <c r="CB491" s="15"/>
    </row>
    <row r="492" spans="2:80" ht="11.25" customHeight="1" x14ac:dyDescent="0.2">
      <c r="B492" s="14"/>
      <c r="AZ492" s="92" t="s">
        <v>534</v>
      </c>
      <c r="BA492" s="92"/>
      <c r="BB492" s="92"/>
      <c r="BC492" s="51"/>
      <c r="BD492" s="52"/>
      <c r="BE492" s="63">
        <v>150</v>
      </c>
      <c r="BF492" s="63"/>
      <c r="BG492" s="63">
        <v>150</v>
      </c>
      <c r="BH492" s="63"/>
      <c r="BI492" s="63">
        <v>8</v>
      </c>
      <c r="BJ492" s="63"/>
      <c r="BK492" s="63">
        <v>8</v>
      </c>
      <c r="BL492" s="63"/>
      <c r="BM492" s="63">
        <v>335</v>
      </c>
      <c r="BN492" s="63"/>
      <c r="BO492" s="63">
        <v>335</v>
      </c>
      <c r="BP492" s="63"/>
      <c r="BQ492" s="69">
        <v>5.26</v>
      </c>
      <c r="BR492" s="70"/>
      <c r="CB492" s="15"/>
    </row>
    <row r="493" spans="2:80" ht="11.25" customHeight="1" x14ac:dyDescent="0.2">
      <c r="B493" s="14"/>
      <c r="C493" s="36" t="s">
        <v>0</v>
      </c>
      <c r="R493" s="36" t="s">
        <v>0</v>
      </c>
      <c r="S493" s="201" t="str">
        <f>IF(R494&lt;E411,"","azalt.")</f>
        <v/>
      </c>
      <c r="AZ493" s="92" t="s">
        <v>535</v>
      </c>
      <c r="BA493" s="92"/>
      <c r="BB493" s="92"/>
      <c r="BC493" s="51"/>
      <c r="BD493" s="52"/>
      <c r="BE493" s="63">
        <v>150</v>
      </c>
      <c r="BF493" s="63"/>
      <c r="BG493" s="63">
        <v>150</v>
      </c>
      <c r="BH493" s="63"/>
      <c r="BI493" s="63">
        <v>8.5</v>
      </c>
      <c r="BJ493" s="63"/>
      <c r="BK493" s="63">
        <v>6</v>
      </c>
      <c r="BL493" s="63"/>
      <c r="BM493" s="63">
        <v>377</v>
      </c>
      <c r="BN493" s="63"/>
      <c r="BO493" s="63">
        <v>188</v>
      </c>
      <c r="BP493" s="63"/>
      <c r="BQ493" s="69">
        <v>4.45</v>
      </c>
      <c r="BR493" s="70"/>
      <c r="CB493" s="15"/>
    </row>
    <row r="494" spans="2:80" ht="11.25" customHeight="1" x14ac:dyDescent="0.2">
      <c r="B494" s="14"/>
      <c r="C494" s="121">
        <f>+K504</f>
        <v>0.9</v>
      </c>
      <c r="R494" s="122">
        <v>2</v>
      </c>
      <c r="S494" s="201"/>
      <c r="AZ494" s="92" t="s">
        <v>536</v>
      </c>
      <c r="BA494" s="92"/>
      <c r="BB494" s="92"/>
      <c r="BC494" s="51"/>
      <c r="BD494" s="52"/>
      <c r="BE494" s="63">
        <v>150</v>
      </c>
      <c r="BF494" s="63"/>
      <c r="BG494" s="63">
        <v>150</v>
      </c>
      <c r="BH494" s="63"/>
      <c r="BI494" s="63">
        <v>8.5</v>
      </c>
      <c r="BJ494" s="63"/>
      <c r="BK494" s="63">
        <v>8.5</v>
      </c>
      <c r="BL494" s="63"/>
      <c r="BM494" s="63">
        <v>377</v>
      </c>
      <c r="BN494" s="63"/>
      <c r="BO494" s="63">
        <v>377</v>
      </c>
      <c r="BP494" s="63"/>
      <c r="BQ494" s="69">
        <v>5.94</v>
      </c>
      <c r="BR494" s="70"/>
      <c r="CB494" s="15"/>
    </row>
    <row r="495" spans="2:80" ht="11.25" customHeight="1" x14ac:dyDescent="0.2">
      <c r="B495" s="14"/>
      <c r="C495" s="121"/>
      <c r="R495" s="122"/>
      <c r="S495" s="201"/>
      <c r="AZ495" s="103" t="s">
        <v>537</v>
      </c>
      <c r="BA495" s="104"/>
      <c r="BB495" s="104"/>
      <c r="BC495" s="104"/>
      <c r="BD495" s="104"/>
      <c r="BE495" s="104"/>
      <c r="BF495" s="104"/>
      <c r="BG495" s="104"/>
      <c r="BH495" s="104"/>
      <c r="BI495" s="104"/>
      <c r="BJ495" s="104"/>
      <c r="BK495" s="104"/>
      <c r="BL495" s="104"/>
      <c r="BM495" s="104"/>
      <c r="BN495" s="104"/>
      <c r="BO495" s="104"/>
      <c r="BP495" s="104"/>
      <c r="BQ495" s="104"/>
      <c r="BR495" s="105"/>
      <c r="CB495" s="15"/>
    </row>
    <row r="496" spans="2:80" ht="11.25" customHeight="1" x14ac:dyDescent="0.2">
      <c r="B496" s="14"/>
      <c r="C496" s="121"/>
      <c r="R496" s="122"/>
      <c r="S496" s="201"/>
      <c r="CB496" s="15"/>
    </row>
    <row r="497" spans="2:80" ht="11.25" customHeight="1" x14ac:dyDescent="0.2">
      <c r="B497" s="14"/>
      <c r="CB497" s="15"/>
    </row>
    <row r="498" spans="2:80" ht="11.25" customHeight="1" x14ac:dyDescent="0.2">
      <c r="B498" s="14"/>
      <c r="CB498" s="15"/>
    </row>
    <row r="499" spans="2:80" ht="11.25" customHeight="1" x14ac:dyDescent="0.2">
      <c r="B499" s="14"/>
      <c r="CB499" s="15"/>
    </row>
    <row r="500" spans="2:80" ht="11.25" customHeight="1" x14ac:dyDescent="0.2">
      <c r="B500" s="14"/>
      <c r="CB500" s="15"/>
    </row>
    <row r="501" spans="2:80" ht="11.25" customHeight="1" x14ac:dyDescent="0.2">
      <c r="B501" s="14"/>
      <c r="C501" s="78" t="s">
        <v>552</v>
      </c>
      <c r="D501" s="78"/>
      <c r="E501" s="78"/>
      <c r="F501" s="78"/>
      <c r="G501" s="78"/>
      <c r="H501" s="78"/>
      <c r="CB501" s="15"/>
    </row>
    <row r="502" spans="2:80" ht="11.25" customHeight="1" x14ac:dyDescent="0.2">
      <c r="B502" s="14"/>
      <c r="C502" s="78"/>
      <c r="D502" s="78"/>
      <c r="E502" s="78"/>
      <c r="F502" s="78"/>
      <c r="G502" s="78"/>
      <c r="H502" s="78"/>
      <c r="K502" s="123">
        <v>0.15</v>
      </c>
      <c r="L502" s="123"/>
      <c r="M502" s="1" t="s">
        <v>0</v>
      </c>
      <c r="CB502" s="15"/>
    </row>
    <row r="503" spans="2:80" ht="11.25" customHeight="1" x14ac:dyDescent="0.2">
      <c r="B503" s="14"/>
      <c r="C503" s="78"/>
      <c r="D503" s="78"/>
      <c r="E503" s="78"/>
      <c r="F503" s="78"/>
      <c r="G503" s="78"/>
      <c r="H503" s="78"/>
      <c r="CB503" s="15"/>
    </row>
    <row r="504" spans="2:80" ht="11.25" customHeight="1" x14ac:dyDescent="0.2">
      <c r="B504" s="14"/>
      <c r="C504" s="78"/>
      <c r="D504" s="78"/>
      <c r="E504" s="78"/>
      <c r="F504" s="78"/>
      <c r="G504" s="78"/>
      <c r="H504" s="78"/>
      <c r="K504" s="91">
        <v>0.9</v>
      </c>
      <c r="L504" s="91"/>
      <c r="M504" s="1" t="s">
        <v>0</v>
      </c>
      <c r="CB504" s="15"/>
    </row>
    <row r="505" spans="2:80" ht="11.25" customHeight="1" x14ac:dyDescent="0.2">
      <c r="B505" s="54"/>
      <c r="C505" s="81"/>
      <c r="D505" s="81"/>
      <c r="E505" s="81"/>
      <c r="F505" s="81"/>
      <c r="G505" s="81"/>
      <c r="H505" s="81"/>
      <c r="I505" s="30"/>
      <c r="J505" s="113" t="str">
        <f>IF(K504&gt;(MAX(P530,U530)/1000+0.04),"","artır.")</f>
        <v/>
      </c>
      <c r="K505" s="113"/>
      <c r="L505" s="113"/>
      <c r="M505" s="113"/>
      <c r="N505" s="30"/>
      <c r="O505" s="30"/>
      <c r="P505" s="30"/>
      <c r="Q505" s="30"/>
      <c r="R505" s="30"/>
      <c r="S505" s="30"/>
      <c r="T505" s="30"/>
      <c r="U505" s="30"/>
      <c r="V505" s="30"/>
      <c r="W505" s="30"/>
      <c r="X505" s="30"/>
      <c r="Y505" s="30"/>
      <c r="Z505" s="30"/>
      <c r="AA505" s="30"/>
      <c r="AB505" s="30"/>
      <c r="AC505" s="30"/>
      <c r="AD505" s="30"/>
      <c r="AE505" s="30"/>
      <c r="AF505" s="30"/>
      <c r="AG505" s="30"/>
      <c r="AH505" s="30"/>
      <c r="AI505" s="30"/>
      <c r="AJ505" s="30"/>
      <c r="AK505" s="30"/>
      <c r="AL505" s="30"/>
      <c r="AM505" s="30"/>
      <c r="AN505" s="30"/>
      <c r="AO505" s="30"/>
      <c r="AP505" s="30"/>
      <c r="AQ505" s="30"/>
      <c r="AR505" s="30"/>
      <c r="AS505" s="30"/>
      <c r="AT505" s="30"/>
      <c r="AU505" s="30"/>
      <c r="AV505" s="30"/>
      <c r="AW505" s="30"/>
      <c r="AX505" s="30"/>
      <c r="AY505" s="30"/>
      <c r="AZ505" s="30"/>
      <c r="BA505" s="30"/>
      <c r="BB505" s="30"/>
      <c r="BC505" s="30"/>
      <c r="BD505" s="30"/>
      <c r="BE505" s="30"/>
      <c r="BF505" s="30"/>
      <c r="BG505" s="30"/>
      <c r="BH505" s="30"/>
      <c r="BI505" s="30"/>
      <c r="BJ505" s="30"/>
      <c r="BK505" s="30"/>
      <c r="BL505" s="30"/>
      <c r="BM505" s="30"/>
      <c r="BN505" s="30"/>
      <c r="BO505" s="30"/>
      <c r="BP505" s="30"/>
      <c r="BQ505" s="30"/>
      <c r="BR505" s="30"/>
      <c r="BS505" s="30"/>
      <c r="BT505" s="30"/>
      <c r="BU505" s="30"/>
      <c r="BV505" s="30"/>
      <c r="BW505" s="30"/>
      <c r="BX505" s="30"/>
      <c r="BY505" s="30"/>
      <c r="BZ505" s="30"/>
      <c r="CA505" s="30"/>
      <c r="CB505" s="55"/>
    </row>
    <row r="506" spans="2:80" x14ac:dyDescent="0.2">
      <c r="B506" s="150" t="s">
        <v>305</v>
      </c>
      <c r="C506" s="151"/>
      <c r="D506" s="151"/>
      <c r="E506" s="151"/>
      <c r="F506" s="151"/>
      <c r="G506" s="151"/>
      <c r="H506" s="151"/>
      <c r="I506" s="151"/>
      <c r="J506" s="151"/>
      <c r="K506" s="151"/>
      <c r="L506" s="151"/>
      <c r="M506" s="151"/>
      <c r="N506" s="151"/>
      <c r="O506" s="151"/>
      <c r="P506" s="151"/>
      <c r="Q506" s="151"/>
      <c r="R506" s="151"/>
      <c r="S506" s="151"/>
      <c r="T506" s="151"/>
      <c r="U506" s="151"/>
      <c r="V506" s="151"/>
      <c r="W506" s="151"/>
      <c r="X506" s="151"/>
      <c r="Y506" s="151"/>
      <c r="Z506" s="151"/>
      <c r="AA506" s="151"/>
      <c r="AB506" s="151"/>
      <c r="AC506" s="151"/>
      <c r="AD506" s="151"/>
      <c r="AE506" s="151"/>
      <c r="AF506" s="151"/>
      <c r="AG506" s="151"/>
      <c r="AH506" s="151"/>
      <c r="AI506" s="151"/>
      <c r="AJ506" s="151"/>
      <c r="AK506" s="151"/>
      <c r="AL506" s="151"/>
      <c r="AM506" s="151"/>
      <c r="AN506" s="151"/>
      <c r="AO506" s="151"/>
      <c r="AP506" s="151"/>
      <c r="AQ506" s="151"/>
      <c r="AR506" s="151"/>
      <c r="AS506" s="151"/>
      <c r="AT506" s="151"/>
      <c r="AU506" s="151"/>
      <c r="AV506" s="151"/>
      <c r="AW506" s="151"/>
      <c r="AX506" s="151"/>
      <c r="AY506" s="151"/>
      <c r="AZ506" s="151"/>
      <c r="BA506" s="151"/>
      <c r="BB506" s="151"/>
      <c r="BC506" s="151"/>
      <c r="BD506" s="151"/>
      <c r="BE506" s="151"/>
      <c r="BF506" s="151"/>
      <c r="BG506" s="151"/>
      <c r="BH506" s="151"/>
      <c r="BI506" s="151"/>
      <c r="BJ506" s="151"/>
      <c r="BK506" s="151"/>
      <c r="BL506" s="151"/>
      <c r="BM506" s="151"/>
      <c r="BN506" s="151"/>
      <c r="BO506" s="151"/>
      <c r="BP506" s="151"/>
      <c r="BQ506" s="151"/>
      <c r="BR506" s="151"/>
      <c r="BS506" s="151"/>
      <c r="BT506" s="151"/>
      <c r="BU506" s="151"/>
      <c r="BV506" s="151"/>
      <c r="BW506" s="151"/>
      <c r="BX506" s="151"/>
      <c r="BY506" s="151"/>
      <c r="BZ506" s="151"/>
      <c r="CA506" s="151"/>
      <c r="CB506" s="152"/>
    </row>
    <row r="507" spans="2:80" x14ac:dyDescent="0.2">
      <c r="B507" s="150"/>
      <c r="C507" s="151"/>
      <c r="D507" s="151"/>
      <c r="E507" s="151"/>
      <c r="F507" s="151"/>
      <c r="G507" s="151"/>
      <c r="H507" s="151"/>
      <c r="I507" s="151"/>
      <c r="J507" s="151"/>
      <c r="K507" s="151"/>
      <c r="L507" s="151"/>
      <c r="M507" s="151"/>
      <c r="N507" s="151"/>
      <c r="O507" s="151"/>
      <c r="P507" s="151"/>
      <c r="Q507" s="151"/>
      <c r="R507" s="151"/>
      <c r="S507" s="151"/>
      <c r="T507" s="151"/>
      <c r="U507" s="151"/>
      <c r="V507" s="151"/>
      <c r="W507" s="151"/>
      <c r="X507" s="151"/>
      <c r="Y507" s="151"/>
      <c r="Z507" s="151"/>
      <c r="AA507" s="151"/>
      <c r="AB507" s="151"/>
      <c r="AC507" s="151"/>
      <c r="AD507" s="151"/>
      <c r="AE507" s="151"/>
      <c r="AF507" s="151"/>
      <c r="AG507" s="151"/>
      <c r="AH507" s="151"/>
      <c r="AI507" s="151"/>
      <c r="AJ507" s="151"/>
      <c r="AK507" s="151"/>
      <c r="AL507" s="151"/>
      <c r="AM507" s="151"/>
      <c r="AN507" s="151"/>
      <c r="AO507" s="151"/>
      <c r="AP507" s="151"/>
      <c r="AQ507" s="151"/>
      <c r="AR507" s="151"/>
      <c r="AS507" s="151"/>
      <c r="AT507" s="151"/>
      <c r="AU507" s="151"/>
      <c r="AV507" s="151"/>
      <c r="AW507" s="151"/>
      <c r="AX507" s="151"/>
      <c r="AY507" s="151"/>
      <c r="AZ507" s="151"/>
      <c r="BA507" s="151"/>
      <c r="BB507" s="151"/>
      <c r="BC507" s="151"/>
      <c r="BD507" s="151"/>
      <c r="BE507" s="151"/>
      <c r="BF507" s="151"/>
      <c r="BG507" s="151"/>
      <c r="BH507" s="151"/>
      <c r="BI507" s="151"/>
      <c r="BJ507" s="151"/>
      <c r="BK507" s="151"/>
      <c r="BL507" s="151"/>
      <c r="BM507" s="151"/>
      <c r="BN507" s="151"/>
      <c r="BO507" s="151"/>
      <c r="BP507" s="151"/>
      <c r="BQ507" s="151"/>
      <c r="BR507" s="151"/>
      <c r="BS507" s="151"/>
      <c r="BT507" s="151"/>
      <c r="BU507" s="151"/>
      <c r="BV507" s="151"/>
      <c r="BW507" s="151"/>
      <c r="BX507" s="151"/>
      <c r="BY507" s="151"/>
      <c r="BZ507" s="151"/>
      <c r="CA507" s="151"/>
      <c r="CB507" s="152"/>
    </row>
    <row r="508" spans="2:80" x14ac:dyDescent="0.2">
      <c r="B508" s="153" t="s">
        <v>264</v>
      </c>
      <c r="C508" s="92"/>
      <c r="D508" s="92"/>
      <c r="E508" s="92"/>
      <c r="F508" s="92"/>
      <c r="G508" s="92"/>
      <c r="H508" s="92"/>
      <c r="I508" s="92"/>
      <c r="J508" s="92"/>
      <c r="K508" s="92"/>
      <c r="L508" s="92"/>
      <c r="M508" s="92"/>
      <c r="N508" s="92"/>
      <c r="O508" s="92" t="s">
        <v>304</v>
      </c>
      <c r="P508" s="92"/>
      <c r="Q508" s="92"/>
      <c r="R508" s="92"/>
      <c r="S508" s="92"/>
      <c r="T508" s="92"/>
      <c r="U508" s="92"/>
      <c r="V508" s="92"/>
      <c r="W508" s="92"/>
      <c r="X508" s="92"/>
      <c r="Y508" s="92"/>
      <c r="Z508" s="92"/>
      <c r="AA508" s="92"/>
      <c r="AB508" s="92"/>
      <c r="AC508" s="92"/>
      <c r="AD508" s="92"/>
      <c r="AE508" s="92"/>
      <c r="AF508" s="92"/>
      <c r="AG508" s="92"/>
      <c r="AH508" s="92"/>
      <c r="AI508" s="92"/>
      <c r="AJ508" s="92"/>
      <c r="AK508" s="92"/>
      <c r="AL508" s="92"/>
      <c r="AM508" s="92"/>
      <c r="AN508" s="92"/>
      <c r="AO508" s="92"/>
      <c r="AP508" s="92"/>
      <c r="AQ508" s="92"/>
      <c r="AR508" s="92"/>
      <c r="AS508" s="92"/>
      <c r="AT508" s="92"/>
      <c r="AU508" s="92"/>
      <c r="AV508" s="92"/>
      <c r="AW508" s="92"/>
      <c r="AX508" s="92"/>
      <c r="AY508" s="92"/>
      <c r="AZ508" s="92"/>
      <c r="BA508" s="92"/>
      <c r="BB508" s="92" t="s">
        <v>262</v>
      </c>
      <c r="BC508" s="92"/>
      <c r="BD508" s="92"/>
      <c r="BE508" s="92" t="s">
        <v>266</v>
      </c>
      <c r="BF508" s="92"/>
      <c r="BG508" s="92"/>
      <c r="BH508" s="92" t="s">
        <v>263</v>
      </c>
      <c r="BI508" s="92"/>
      <c r="BJ508" s="92"/>
      <c r="BK508" s="156" t="s">
        <v>384</v>
      </c>
      <c r="BL508" s="157"/>
      <c r="BM508" s="157"/>
      <c r="BN508" s="162" t="s">
        <v>303</v>
      </c>
      <c r="BO508" s="92"/>
      <c r="BP508" s="92"/>
      <c r="BQ508" s="92"/>
      <c r="BR508" s="162" t="s">
        <v>298</v>
      </c>
      <c r="BS508" s="162"/>
      <c r="BT508" s="162"/>
      <c r="BU508" s="162"/>
      <c r="BV508" s="92"/>
      <c r="BW508" s="92"/>
      <c r="BX508" s="162" t="s">
        <v>279</v>
      </c>
      <c r="BY508" s="162"/>
      <c r="BZ508" s="162"/>
      <c r="CA508" s="162"/>
      <c r="CB508" s="163"/>
    </row>
    <row r="509" spans="2:80" x14ac:dyDescent="0.2">
      <c r="B509" s="153"/>
      <c r="C509" s="92"/>
      <c r="D509" s="92"/>
      <c r="E509" s="92"/>
      <c r="F509" s="92"/>
      <c r="G509" s="92"/>
      <c r="H509" s="92"/>
      <c r="I509" s="92"/>
      <c r="J509" s="92"/>
      <c r="K509" s="92"/>
      <c r="L509" s="92"/>
      <c r="M509" s="92"/>
      <c r="N509" s="92"/>
      <c r="O509" s="166" t="s">
        <v>17</v>
      </c>
      <c r="P509" s="167"/>
      <c r="Q509" s="167"/>
      <c r="R509" s="167"/>
      <c r="S509" s="168"/>
      <c r="T509" s="108" t="s">
        <v>417</v>
      </c>
      <c r="U509" s="108"/>
      <c r="V509" s="108"/>
      <c r="W509" s="108"/>
      <c r="X509" s="108"/>
      <c r="Y509" s="108"/>
      <c r="Z509" s="108"/>
      <c r="AA509" s="108"/>
      <c r="AB509" s="108" t="s">
        <v>414</v>
      </c>
      <c r="AC509" s="108"/>
      <c r="AD509" s="108"/>
      <c r="AE509" s="108"/>
      <c r="AF509" s="108"/>
      <c r="AG509" s="175" t="s">
        <v>429</v>
      </c>
      <c r="AH509" s="176"/>
      <c r="AI509" s="176"/>
      <c r="AJ509" s="176"/>
      <c r="AK509" s="177"/>
      <c r="AL509" s="178" t="s">
        <v>16</v>
      </c>
      <c r="AM509" s="178"/>
      <c r="AN509" s="178"/>
      <c r="AO509" s="178"/>
      <c r="AP509" s="178"/>
      <c r="AQ509" s="178"/>
      <c r="AR509" s="178" t="s">
        <v>267</v>
      </c>
      <c r="AS509" s="178"/>
      <c r="AT509" s="178"/>
      <c r="AU509" s="178"/>
      <c r="AV509" s="178"/>
      <c r="AW509" s="178" t="s">
        <v>423</v>
      </c>
      <c r="AX509" s="178"/>
      <c r="AY509" s="178"/>
      <c r="AZ509" s="178"/>
      <c r="BA509" s="178"/>
      <c r="BB509" s="92"/>
      <c r="BC509" s="92"/>
      <c r="BD509" s="92"/>
      <c r="BE509" s="92"/>
      <c r="BF509" s="92"/>
      <c r="BG509" s="92"/>
      <c r="BH509" s="92"/>
      <c r="BI509" s="92"/>
      <c r="BJ509" s="92"/>
      <c r="BK509" s="158"/>
      <c r="BL509" s="159"/>
      <c r="BM509" s="159"/>
      <c r="BN509" s="162"/>
      <c r="BO509" s="92"/>
      <c r="BP509" s="92"/>
      <c r="BQ509" s="92"/>
      <c r="BR509" s="162"/>
      <c r="BS509" s="162"/>
      <c r="BT509" s="162"/>
      <c r="BU509" s="162"/>
      <c r="BV509" s="92"/>
      <c r="BW509" s="92"/>
      <c r="BX509" s="162"/>
      <c r="BY509" s="162"/>
      <c r="BZ509" s="162"/>
      <c r="CA509" s="162"/>
      <c r="CB509" s="163"/>
    </row>
    <row r="510" spans="2:80" x14ac:dyDescent="0.2">
      <c r="B510" s="153"/>
      <c r="C510" s="92"/>
      <c r="D510" s="92"/>
      <c r="E510" s="92"/>
      <c r="F510" s="92"/>
      <c r="G510" s="92"/>
      <c r="H510" s="92"/>
      <c r="I510" s="92"/>
      <c r="J510" s="92"/>
      <c r="K510" s="92"/>
      <c r="L510" s="92"/>
      <c r="M510" s="92"/>
      <c r="N510" s="92"/>
      <c r="O510" s="169"/>
      <c r="P510" s="170"/>
      <c r="Q510" s="170"/>
      <c r="R510" s="170"/>
      <c r="S510" s="171"/>
      <c r="T510" s="97" t="s">
        <v>418</v>
      </c>
      <c r="U510" s="95"/>
      <c r="V510" s="29" t="s">
        <v>415</v>
      </c>
      <c r="W510" s="95" t="s">
        <v>420</v>
      </c>
      <c r="X510" s="95"/>
      <c r="Y510" s="29" t="s">
        <v>415</v>
      </c>
      <c r="Z510" s="95" t="s">
        <v>421</v>
      </c>
      <c r="AA510" s="98"/>
      <c r="AB510" s="97" t="s">
        <v>422</v>
      </c>
      <c r="AC510" s="95"/>
      <c r="AD510" s="29" t="s">
        <v>415</v>
      </c>
      <c r="AE510" s="95" t="s">
        <v>421</v>
      </c>
      <c r="AF510" s="98"/>
      <c r="AG510" s="97" t="s">
        <v>473</v>
      </c>
      <c r="AH510" s="95"/>
      <c r="AI510" s="95"/>
      <c r="AJ510" s="95"/>
      <c r="AK510" s="98"/>
      <c r="AL510" s="179"/>
      <c r="AM510" s="179"/>
      <c r="AN510" s="179"/>
      <c r="AO510" s="179"/>
      <c r="AP510" s="179"/>
      <c r="AQ510" s="179"/>
      <c r="AR510" s="179"/>
      <c r="AS510" s="179"/>
      <c r="AT510" s="179"/>
      <c r="AU510" s="179"/>
      <c r="AV510" s="179"/>
      <c r="AW510" s="179"/>
      <c r="AX510" s="179"/>
      <c r="AY510" s="179"/>
      <c r="AZ510" s="179"/>
      <c r="BA510" s="179"/>
      <c r="BB510" s="92"/>
      <c r="BC510" s="92"/>
      <c r="BD510" s="92"/>
      <c r="BE510" s="92"/>
      <c r="BF510" s="92"/>
      <c r="BG510" s="92"/>
      <c r="BH510" s="92"/>
      <c r="BI510" s="92"/>
      <c r="BJ510" s="92"/>
      <c r="BK510" s="158"/>
      <c r="BL510" s="159"/>
      <c r="BM510" s="159"/>
      <c r="BN510" s="92"/>
      <c r="BO510" s="92"/>
      <c r="BP510" s="92"/>
      <c r="BQ510" s="92"/>
      <c r="BR510" s="162"/>
      <c r="BS510" s="162"/>
      <c r="BT510" s="162"/>
      <c r="BU510" s="162"/>
      <c r="BV510" s="92"/>
      <c r="BW510" s="92"/>
      <c r="BX510" s="162"/>
      <c r="BY510" s="162"/>
      <c r="BZ510" s="162"/>
      <c r="CA510" s="162"/>
      <c r="CB510" s="163"/>
    </row>
    <row r="511" spans="2:80" ht="12" thickBot="1" x14ac:dyDescent="0.25">
      <c r="B511" s="154"/>
      <c r="C511" s="155"/>
      <c r="D511" s="155"/>
      <c r="E511" s="155"/>
      <c r="F511" s="155"/>
      <c r="G511" s="155"/>
      <c r="H511" s="155"/>
      <c r="I511" s="155"/>
      <c r="J511" s="155"/>
      <c r="K511" s="155"/>
      <c r="L511" s="155"/>
      <c r="M511" s="155"/>
      <c r="N511" s="155"/>
      <c r="O511" s="172"/>
      <c r="P511" s="173"/>
      <c r="Q511" s="173"/>
      <c r="R511" s="173"/>
      <c r="S511" s="174"/>
      <c r="T511" s="181" t="s">
        <v>419</v>
      </c>
      <c r="U511" s="182"/>
      <c r="V511" s="28" t="s">
        <v>415</v>
      </c>
      <c r="W511" s="182" t="s">
        <v>419</v>
      </c>
      <c r="X511" s="182"/>
      <c r="Y511" s="28" t="s">
        <v>415</v>
      </c>
      <c r="Z511" s="182" t="s">
        <v>419</v>
      </c>
      <c r="AA511" s="192"/>
      <c r="AB511" s="181" t="s">
        <v>419</v>
      </c>
      <c r="AC511" s="182"/>
      <c r="AD511" s="28" t="s">
        <v>415</v>
      </c>
      <c r="AE511" s="182" t="s">
        <v>419</v>
      </c>
      <c r="AF511" s="192"/>
      <c r="AG511" s="181" t="s">
        <v>419</v>
      </c>
      <c r="AH511" s="182"/>
      <c r="AI511" s="182"/>
      <c r="AJ511" s="182"/>
      <c r="AK511" s="192"/>
      <c r="AL511" s="180"/>
      <c r="AM511" s="180"/>
      <c r="AN511" s="180"/>
      <c r="AO511" s="180"/>
      <c r="AP511" s="180"/>
      <c r="AQ511" s="180"/>
      <c r="AR511" s="180"/>
      <c r="AS511" s="180"/>
      <c r="AT511" s="180"/>
      <c r="AU511" s="180"/>
      <c r="AV511" s="180"/>
      <c r="AW511" s="180"/>
      <c r="AX511" s="180"/>
      <c r="AY511" s="180"/>
      <c r="AZ511" s="180"/>
      <c r="BA511" s="180"/>
      <c r="BB511" s="155"/>
      <c r="BC511" s="155"/>
      <c r="BD511" s="155"/>
      <c r="BE511" s="155"/>
      <c r="BF511" s="155"/>
      <c r="BG511" s="155"/>
      <c r="BH511" s="155"/>
      <c r="BI511" s="155"/>
      <c r="BJ511" s="155"/>
      <c r="BK511" s="160"/>
      <c r="BL511" s="161"/>
      <c r="BM511" s="161"/>
      <c r="BN511" s="155"/>
      <c r="BO511" s="155"/>
      <c r="BP511" s="155"/>
      <c r="BQ511" s="155"/>
      <c r="BR511" s="155"/>
      <c r="BS511" s="155"/>
      <c r="BT511" s="155"/>
      <c r="BU511" s="155"/>
      <c r="BV511" s="155"/>
      <c r="BW511" s="155"/>
      <c r="BX511" s="164"/>
      <c r="BY511" s="164"/>
      <c r="BZ511" s="164"/>
      <c r="CA511" s="164"/>
      <c r="CB511" s="165"/>
    </row>
    <row r="512" spans="2:80" ht="12" thickTop="1" x14ac:dyDescent="0.2">
      <c r="B512" s="71" t="s">
        <v>268</v>
      </c>
      <c r="C512" s="72"/>
      <c r="D512" s="72"/>
      <c r="E512" s="72"/>
      <c r="F512" s="72"/>
      <c r="G512" s="72"/>
      <c r="H512" s="72"/>
      <c r="I512" s="72"/>
      <c r="J512" s="72"/>
      <c r="K512" s="72"/>
      <c r="L512" s="72"/>
      <c r="M512" s="72"/>
      <c r="N512" s="72"/>
      <c r="O512" s="193">
        <v>12</v>
      </c>
      <c r="P512" s="194"/>
      <c r="Q512" s="21" t="s">
        <v>272</v>
      </c>
      <c r="R512" s="21"/>
      <c r="S512" s="21"/>
      <c r="T512" s="27"/>
      <c r="U512" s="27"/>
      <c r="V512" s="27"/>
      <c r="W512" s="27"/>
      <c r="X512" s="27"/>
      <c r="Y512" s="27"/>
      <c r="Z512" s="27"/>
      <c r="AA512" s="27"/>
      <c r="AB512" s="27"/>
      <c r="AC512" s="27"/>
      <c r="AD512" s="27"/>
      <c r="AE512" s="27"/>
      <c r="AF512" s="27"/>
      <c r="AG512" s="27"/>
      <c r="AH512" s="21"/>
      <c r="AI512" s="21"/>
      <c r="AJ512" s="21"/>
      <c r="AK512" s="21"/>
      <c r="AL512" s="21"/>
      <c r="AM512" s="21"/>
      <c r="AN512" s="21"/>
      <c r="AO512" s="21"/>
      <c r="AP512" s="21"/>
      <c r="AQ512" s="21"/>
      <c r="AR512" s="21"/>
      <c r="AS512" s="21"/>
      <c r="AT512" s="21"/>
      <c r="AU512" s="21"/>
      <c r="AV512" s="21"/>
      <c r="AW512" s="21"/>
      <c r="AX512" s="21"/>
      <c r="AY512" s="21"/>
      <c r="AZ512" s="21"/>
      <c r="BA512" s="22"/>
      <c r="BB512" s="195">
        <f>ROUND(PI()*O512^2/4*7.85/1000,3)</f>
        <v>0.88800000000000001</v>
      </c>
      <c r="BC512" s="195"/>
      <c r="BD512" s="195"/>
      <c r="BE512" s="63">
        <f>C432*2</f>
        <v>14</v>
      </c>
      <c r="BF512" s="63"/>
      <c r="BG512" s="63"/>
      <c r="BH512" s="83">
        <f>2*SQRT((E426/2)^2+T407^2)+(AL414/2-2)*W407</f>
        <v>17.211102550927979</v>
      </c>
      <c r="BI512" s="83"/>
      <c r="BJ512" s="83"/>
      <c r="BK512" s="124">
        <f t="shared" ref="BK512:BK529" si="39">+BE512*BH512</f>
        <v>240.95543571299172</v>
      </c>
      <c r="BL512" s="125"/>
      <c r="BM512" s="126"/>
      <c r="BN512" s="83">
        <f t="shared" ref="BN512:BN529" si="40">BB512*(BE512*BH512)</f>
        <v>213.96842691313665</v>
      </c>
      <c r="BO512" s="83"/>
      <c r="BP512" s="83"/>
      <c r="BQ512" s="83"/>
      <c r="BR512" s="84">
        <v>25</v>
      </c>
      <c r="BS512" s="84"/>
      <c r="BT512" s="84"/>
      <c r="BU512" s="84"/>
      <c r="BV512" s="84"/>
      <c r="BW512" s="84"/>
      <c r="BX512" s="65">
        <f t="shared" ref="BX512" si="41">BR512*BN512</f>
        <v>5349.2106728284161</v>
      </c>
      <c r="BY512" s="65"/>
      <c r="BZ512" s="65"/>
      <c r="CA512" s="65"/>
      <c r="CB512" s="66"/>
    </row>
    <row r="513" spans="2:80" x14ac:dyDescent="0.2">
      <c r="B513" s="147" t="s">
        <v>14</v>
      </c>
      <c r="C513" s="148"/>
      <c r="D513" s="148"/>
      <c r="E513" s="148"/>
      <c r="F513" s="148"/>
      <c r="G513" s="148"/>
      <c r="H513" s="148"/>
      <c r="I513" s="148"/>
      <c r="J513" s="148"/>
      <c r="K513" s="148"/>
      <c r="L513" s="148"/>
      <c r="M513" s="148"/>
      <c r="N513" s="148"/>
      <c r="O513" s="120" t="s">
        <v>413</v>
      </c>
      <c r="P513" s="73"/>
      <c r="Q513" s="73"/>
      <c r="R513" s="73"/>
      <c r="S513" s="128"/>
      <c r="T513" s="129">
        <v>150</v>
      </c>
      <c r="U513" s="130"/>
      <c r="V513" s="26" t="s">
        <v>415</v>
      </c>
      <c r="W513" s="130">
        <v>150</v>
      </c>
      <c r="X513" s="130"/>
      <c r="Y513" s="26" t="s">
        <v>415</v>
      </c>
      <c r="Z513" s="130">
        <v>10</v>
      </c>
      <c r="AA513" s="131"/>
      <c r="AB513" s="129">
        <v>150</v>
      </c>
      <c r="AC513" s="130"/>
      <c r="AD513" s="26" t="s">
        <v>415</v>
      </c>
      <c r="AE513" s="130">
        <v>10</v>
      </c>
      <c r="AF513" s="131"/>
      <c r="AG513" s="129" t="s">
        <v>395</v>
      </c>
      <c r="AH513" s="130"/>
      <c r="AI513" s="130"/>
      <c r="AJ513" s="130"/>
      <c r="AK513" s="131"/>
      <c r="AL513" s="129" t="s">
        <v>306</v>
      </c>
      <c r="AM513" s="130"/>
      <c r="AN513" s="130"/>
      <c r="AO513" s="130"/>
      <c r="AP513" s="130"/>
      <c r="AQ513" s="131"/>
      <c r="AR513" s="129" t="s">
        <v>246</v>
      </c>
      <c r="AS513" s="130"/>
      <c r="AT513" s="130"/>
      <c r="AU513" s="130"/>
      <c r="AV513" s="131"/>
      <c r="AW513" s="146" t="s">
        <v>160</v>
      </c>
      <c r="AX513" s="146"/>
      <c r="AY513" s="146"/>
      <c r="AZ513" s="146"/>
      <c r="BA513" s="146"/>
      <c r="BB513" s="143" cm="1">
        <f t="array" ref="BB513">IF(O513="C profil",INDEX($CX$4:$CX$28,MATCH(AG513,$CW$4:$CW$28,0),0),IF(O513="kutu profil",(((T513*W513-4*((2*Z513)*(2*Z513)-PI()*(2*Z513)^2/4))-((T513-2*Z513)*(W513-2*Z513)-4*((1*Z513)*(1*Z513)-PI()*(1*Z513)^2/4)))/1000000*7850),IF(O513="boru profil",((PI()*AB513^2/4-PI()*(AB513-2*AE513)^2/4)/1000000*7850),IF(O513="I profil",INDEX($CN$4:$CN$118,MATCH(AL513,$CM$4:$CM$118,0),0),IF(O513="U profil",INDEX($CU$4:$CU$28,MATCH(AR513,$CT$4:$CT$28,0),0),IF(O513="korniyer",INDEX($CR$4:$CR$176,MATCH(AW513,$CQ$4:$CQ$176,0),0),"hatalı"))))))</f>
        <v>4.72</v>
      </c>
      <c r="BC513" s="143"/>
      <c r="BD513" s="143"/>
      <c r="BE513" s="109">
        <f>AL414</f>
        <v>14</v>
      </c>
      <c r="BF513" s="109"/>
      <c r="BG513" s="109"/>
      <c r="BH513" s="149">
        <f>C422</f>
        <v>42</v>
      </c>
      <c r="BI513" s="149"/>
      <c r="BJ513" s="149"/>
      <c r="BK513" s="134">
        <f t="shared" si="39"/>
        <v>588</v>
      </c>
      <c r="BL513" s="135"/>
      <c r="BM513" s="136"/>
      <c r="BN513" s="149">
        <f t="shared" si="40"/>
        <v>2775.3599999999997</v>
      </c>
      <c r="BO513" s="149"/>
      <c r="BP513" s="149"/>
      <c r="BQ513" s="149"/>
      <c r="BR513" s="84">
        <v>28</v>
      </c>
      <c r="BS513" s="84"/>
      <c r="BT513" s="84"/>
      <c r="BU513" s="84"/>
      <c r="BV513" s="84"/>
      <c r="BW513" s="84"/>
      <c r="BX513" s="85">
        <f>BR513*BN513</f>
        <v>77710.079999999987</v>
      </c>
      <c r="BY513" s="85"/>
      <c r="BZ513" s="85"/>
      <c r="CA513" s="85"/>
      <c r="CB513" s="86"/>
    </row>
    <row r="514" spans="2:80" x14ac:dyDescent="0.2">
      <c r="B514" s="41" t="s">
        <v>434</v>
      </c>
      <c r="C514" s="42"/>
      <c r="D514" s="42"/>
      <c r="E514" s="42"/>
      <c r="F514" s="42"/>
      <c r="G514" s="42"/>
      <c r="H514" s="42"/>
      <c r="I514" s="42"/>
      <c r="J514" s="73" t="s">
        <v>435</v>
      </c>
      <c r="K514" s="73"/>
      <c r="L514" s="73"/>
      <c r="M514" s="73"/>
      <c r="N514" s="43"/>
      <c r="O514" s="120" t="s">
        <v>382</v>
      </c>
      <c r="P514" s="73"/>
      <c r="Q514" s="73"/>
      <c r="R514" s="73"/>
      <c r="S514" s="128"/>
      <c r="T514" s="129">
        <v>150</v>
      </c>
      <c r="U514" s="130"/>
      <c r="V514" s="26" t="s">
        <v>415</v>
      </c>
      <c r="W514" s="130">
        <v>150</v>
      </c>
      <c r="X514" s="130"/>
      <c r="Y514" s="26" t="s">
        <v>415</v>
      </c>
      <c r="Z514" s="130">
        <v>10</v>
      </c>
      <c r="AA514" s="131"/>
      <c r="AB514" s="129">
        <v>150</v>
      </c>
      <c r="AC514" s="130"/>
      <c r="AD514" s="26" t="s">
        <v>415</v>
      </c>
      <c r="AE514" s="130">
        <v>10</v>
      </c>
      <c r="AF514" s="131"/>
      <c r="AG514" s="13"/>
      <c r="AH514" s="11"/>
      <c r="AI514" s="11"/>
      <c r="AJ514" s="11"/>
      <c r="AK514" s="12"/>
      <c r="AL514" s="129" t="s">
        <v>281</v>
      </c>
      <c r="AM514" s="130"/>
      <c r="AN514" s="130"/>
      <c r="AO514" s="130"/>
      <c r="AP514" s="130"/>
      <c r="AQ514" s="131"/>
      <c r="AR514" s="129" t="s">
        <v>246</v>
      </c>
      <c r="AS514" s="130"/>
      <c r="AT514" s="130"/>
      <c r="AU514" s="130"/>
      <c r="AV514" s="131"/>
      <c r="AW514" s="146" t="s">
        <v>189</v>
      </c>
      <c r="AX514" s="146"/>
      <c r="AY514" s="146"/>
      <c r="AZ514" s="146"/>
      <c r="BA514" s="146"/>
      <c r="BB514" s="143" cm="1">
        <f t="array" ref="BB514">IF(O514="kutu profil",(((T514*W514-4*((2*Z514)*(2*Z514)-PI()*(2*Z514)^2/4))-((T514-2*Z514)*(W514-2*Z514)-4*((1*Z514)*(1*Z514)-PI()*(1*Z514)^2/4)))/1000000*7850),IF(O514="boru profil",((PI()*AB514^2/4-PI()*(AB514-2*AE514)^2/4)/1000000*7850),IF(O514="I profil",INDEX($CN$4:$CN$118,MATCH(AL514,$CM$4:$CM$118,0),0),IF(O514="U profil",INDEX($CU$4:$CU$28,MATCH(AR514,$CT$4:$CT$28,0),0),IF(O514="korniyer",INDEX($CR$4:$CR$176,MATCH(AW514,$CQ$4:$CQ$176,0),0),"hatalı")))))</f>
        <v>11.9</v>
      </c>
      <c r="BC514" s="143"/>
      <c r="BD514" s="143"/>
      <c r="BE514" s="63">
        <f>IF(J514="tek çubuk",1,2)*(C432+1)</f>
        <v>16</v>
      </c>
      <c r="BF514" s="63"/>
      <c r="BG514" s="63"/>
      <c r="BH514" s="83">
        <f>+BC408</f>
        <v>24.119701490690137</v>
      </c>
      <c r="BI514" s="83"/>
      <c r="BJ514" s="83"/>
      <c r="BK514" s="134">
        <f t="shared" si="39"/>
        <v>385.91522385104219</v>
      </c>
      <c r="BL514" s="135"/>
      <c r="BM514" s="136"/>
      <c r="BN514" s="83">
        <f t="shared" si="40"/>
        <v>4592.3911638274021</v>
      </c>
      <c r="BO514" s="83"/>
      <c r="BP514" s="83"/>
      <c r="BQ514" s="83"/>
      <c r="BR514" s="84">
        <v>28</v>
      </c>
      <c r="BS514" s="84"/>
      <c r="BT514" s="84"/>
      <c r="BU514" s="84"/>
      <c r="BV514" s="84"/>
      <c r="BW514" s="84"/>
      <c r="BX514" s="85">
        <f t="shared" ref="BX514:BX540" si="42">BR514*BN514</f>
        <v>128586.95258716727</v>
      </c>
      <c r="BY514" s="85"/>
      <c r="BZ514" s="85"/>
      <c r="CA514" s="85"/>
      <c r="CB514" s="86"/>
    </row>
    <row r="515" spans="2:80" x14ac:dyDescent="0.2">
      <c r="B515" s="41" t="s">
        <v>436</v>
      </c>
      <c r="C515" s="42"/>
      <c r="D515" s="42"/>
      <c r="E515" s="42"/>
      <c r="F515" s="42"/>
      <c r="G515" s="42"/>
      <c r="H515" s="42"/>
      <c r="I515" s="42"/>
      <c r="J515" s="73" t="s">
        <v>435</v>
      </c>
      <c r="K515" s="73"/>
      <c r="L515" s="73"/>
      <c r="M515" s="73"/>
      <c r="N515" s="43"/>
      <c r="O515" s="120" t="s">
        <v>382</v>
      </c>
      <c r="P515" s="73"/>
      <c r="Q515" s="73"/>
      <c r="R515" s="73"/>
      <c r="S515" s="128"/>
      <c r="T515" s="129">
        <v>150</v>
      </c>
      <c r="U515" s="130"/>
      <c r="V515" s="26" t="s">
        <v>415</v>
      </c>
      <c r="W515" s="130">
        <v>150</v>
      </c>
      <c r="X515" s="130"/>
      <c r="Y515" s="26" t="s">
        <v>415</v>
      </c>
      <c r="Z515" s="130">
        <v>10</v>
      </c>
      <c r="AA515" s="131"/>
      <c r="AB515" s="129">
        <v>150</v>
      </c>
      <c r="AC515" s="130"/>
      <c r="AD515" s="26" t="s">
        <v>415</v>
      </c>
      <c r="AE515" s="130">
        <v>10</v>
      </c>
      <c r="AF515" s="131"/>
      <c r="AG515" s="13"/>
      <c r="AH515" s="11"/>
      <c r="AI515" s="11"/>
      <c r="AJ515" s="11"/>
      <c r="AK515" s="12"/>
      <c r="AL515" s="129" t="s">
        <v>281</v>
      </c>
      <c r="AM515" s="130"/>
      <c r="AN515" s="130"/>
      <c r="AO515" s="130"/>
      <c r="AP515" s="130"/>
      <c r="AQ515" s="131"/>
      <c r="AR515" s="129" t="s">
        <v>246</v>
      </c>
      <c r="AS515" s="130"/>
      <c r="AT515" s="130"/>
      <c r="AU515" s="130"/>
      <c r="AV515" s="131"/>
      <c r="AW515" s="146" t="s">
        <v>189</v>
      </c>
      <c r="AX515" s="146"/>
      <c r="AY515" s="146"/>
      <c r="AZ515" s="146"/>
      <c r="BA515" s="146"/>
      <c r="BB515" s="143" cm="1">
        <f t="array" ref="BB515">IF(O515="kutu profil",(((T515*W515-4*((2*Z515)*(2*Z515)-PI()*(2*Z515)^2/4))-((T515-2*Z515)*(W515-2*Z515)-4*((1*Z515)*(1*Z515)-PI()*(1*Z515)^2/4)))/1000000*7850),IF(O515="boru profil",((PI()*AB515^2/4-PI()*(AB515-2*AE515)^2/4)/1000000*7850),IF(O515="I profil",INDEX($CN$4:$CN$118,MATCH(AL515,$CM$4:$CM$118,0),0),IF(O515="U profil",INDEX($CU$4:$CU$28,MATCH(AR515,$CT$4:$CT$28,0),0),IF(O515="korniyer",INDEX($CR$4:$CR$176,MATCH(AW515,$CQ$4:$CQ$176,0),0),"hatalı")))))</f>
        <v>11.9</v>
      </c>
      <c r="BC515" s="143"/>
      <c r="BD515" s="143"/>
      <c r="BE515" s="63">
        <f>IF(J515="tek çubuk",1,2)*(C432+1)</f>
        <v>16</v>
      </c>
      <c r="BF515" s="63"/>
      <c r="BG515" s="63"/>
      <c r="BH515" s="83">
        <f>+BI408</f>
        <v>24</v>
      </c>
      <c r="BI515" s="83"/>
      <c r="BJ515" s="83"/>
      <c r="BK515" s="134">
        <f t="shared" si="39"/>
        <v>384</v>
      </c>
      <c r="BL515" s="135"/>
      <c r="BM515" s="136"/>
      <c r="BN515" s="83">
        <f t="shared" si="40"/>
        <v>4569.6000000000004</v>
      </c>
      <c r="BO515" s="83"/>
      <c r="BP515" s="83"/>
      <c r="BQ515" s="83"/>
      <c r="BR515" s="84">
        <v>28</v>
      </c>
      <c r="BS515" s="84"/>
      <c r="BT515" s="84"/>
      <c r="BU515" s="84"/>
      <c r="BV515" s="84"/>
      <c r="BW515" s="84"/>
      <c r="BX515" s="85">
        <f t="shared" si="42"/>
        <v>127948.80000000002</v>
      </c>
      <c r="BY515" s="85"/>
      <c r="BZ515" s="85"/>
      <c r="CA515" s="85"/>
      <c r="CB515" s="86"/>
    </row>
    <row r="516" spans="2:80" x14ac:dyDescent="0.2">
      <c r="B516" s="41" t="s">
        <v>437</v>
      </c>
      <c r="C516" s="42"/>
      <c r="D516" s="42"/>
      <c r="E516" s="42"/>
      <c r="F516" s="42"/>
      <c r="G516" s="42"/>
      <c r="H516" s="42"/>
      <c r="I516" s="42"/>
      <c r="J516" s="73" t="s">
        <v>438</v>
      </c>
      <c r="K516" s="73"/>
      <c r="L516" s="73"/>
      <c r="M516" s="73"/>
      <c r="N516" s="43"/>
      <c r="O516" s="120" t="s">
        <v>382</v>
      </c>
      <c r="P516" s="73"/>
      <c r="Q516" s="73"/>
      <c r="R516" s="73"/>
      <c r="S516" s="128"/>
      <c r="T516" s="129">
        <v>150</v>
      </c>
      <c r="U516" s="130"/>
      <c r="V516" s="26" t="s">
        <v>415</v>
      </c>
      <c r="W516" s="130">
        <v>150</v>
      </c>
      <c r="X516" s="130"/>
      <c r="Y516" s="26" t="s">
        <v>415</v>
      </c>
      <c r="Z516" s="130">
        <v>10</v>
      </c>
      <c r="AA516" s="131"/>
      <c r="AB516" s="129">
        <v>150</v>
      </c>
      <c r="AC516" s="130"/>
      <c r="AD516" s="26" t="s">
        <v>415</v>
      </c>
      <c r="AE516" s="130">
        <v>10</v>
      </c>
      <c r="AF516" s="131"/>
      <c r="AG516" s="13"/>
      <c r="AH516" s="11"/>
      <c r="AI516" s="11"/>
      <c r="AJ516" s="11"/>
      <c r="AK516" s="12"/>
      <c r="AL516" s="129" t="s">
        <v>281</v>
      </c>
      <c r="AM516" s="130"/>
      <c r="AN516" s="130"/>
      <c r="AO516" s="130"/>
      <c r="AP516" s="130"/>
      <c r="AQ516" s="131"/>
      <c r="AR516" s="129" t="s">
        <v>246</v>
      </c>
      <c r="AS516" s="130"/>
      <c r="AT516" s="130"/>
      <c r="AU516" s="130"/>
      <c r="AV516" s="131"/>
      <c r="AW516" s="146" t="s">
        <v>192</v>
      </c>
      <c r="AX516" s="146"/>
      <c r="AY516" s="146"/>
      <c r="AZ516" s="146"/>
      <c r="BA516" s="146"/>
      <c r="BB516" s="143" cm="1">
        <f t="array" ref="BB516">IF(O516="kutu profil",(((T516*W516-4*((2*Z516)*(2*Z516)-PI()*(2*Z516)^2/4))-((T516-2*Z516)*(W516-2*Z516)-4*((1*Z516)*(1*Z516)-PI()*(1*Z516)^2/4)))/1000000*7850),IF(O516="boru profil",((PI()*AB516^2/4-PI()*(AB516-2*AE516)^2/4)/1000000*7850),IF(O516="I profil",INDEX($CN$4:$CN$118,MATCH(AL516,$CM$4:$CM$118,0),0),IF(O516="U profil",INDEX($CU$4:$CU$28,MATCH(AR516,$CT$4:$CT$28,0),0),IF(O516="korniyer",INDEX($CR$4:$CR$176,MATCH(AW516,$CQ$4:$CQ$176,0),0),"hatalı")))))</f>
        <v>10.9</v>
      </c>
      <c r="BC516" s="143"/>
      <c r="BD516" s="143"/>
      <c r="BE516" s="63">
        <f>IF(J516="tek çubuk",1,2)*(C432+1)</f>
        <v>8</v>
      </c>
      <c r="BF516" s="63"/>
      <c r="BG516" s="63"/>
      <c r="BH516" s="83">
        <f>+BE426</f>
        <v>27.626273556387403</v>
      </c>
      <c r="BI516" s="83"/>
      <c r="BJ516" s="83"/>
      <c r="BK516" s="134">
        <f t="shared" si="39"/>
        <v>221.01018845109922</v>
      </c>
      <c r="BL516" s="135"/>
      <c r="BM516" s="136"/>
      <c r="BN516" s="83">
        <f t="shared" si="40"/>
        <v>2409.0110541169815</v>
      </c>
      <c r="BO516" s="83"/>
      <c r="BP516" s="83"/>
      <c r="BQ516" s="83"/>
      <c r="BR516" s="84">
        <v>28</v>
      </c>
      <c r="BS516" s="84"/>
      <c r="BT516" s="84"/>
      <c r="BU516" s="84"/>
      <c r="BV516" s="84"/>
      <c r="BW516" s="84"/>
      <c r="BX516" s="85">
        <f t="shared" si="42"/>
        <v>67452.309515275483</v>
      </c>
      <c r="BY516" s="85"/>
      <c r="BZ516" s="85"/>
      <c r="CA516" s="85"/>
      <c r="CB516" s="86"/>
    </row>
    <row r="517" spans="2:80" x14ac:dyDescent="0.2">
      <c r="B517" s="41" t="s">
        <v>439</v>
      </c>
      <c r="C517" s="42"/>
      <c r="D517" s="42"/>
      <c r="E517" s="42"/>
      <c r="F517" s="42"/>
      <c r="G517" s="42"/>
      <c r="H517" s="42"/>
      <c r="I517" s="42"/>
      <c r="J517" s="73" t="s">
        <v>438</v>
      </c>
      <c r="K517" s="73"/>
      <c r="L517" s="73"/>
      <c r="M517" s="73"/>
      <c r="N517" s="43"/>
      <c r="O517" s="120" t="s">
        <v>382</v>
      </c>
      <c r="P517" s="73"/>
      <c r="Q517" s="73"/>
      <c r="R517" s="73"/>
      <c r="S517" s="128"/>
      <c r="T517" s="129">
        <v>150</v>
      </c>
      <c r="U517" s="130"/>
      <c r="V517" s="26" t="s">
        <v>415</v>
      </c>
      <c r="W517" s="130">
        <v>150</v>
      </c>
      <c r="X517" s="130"/>
      <c r="Y517" s="26" t="s">
        <v>415</v>
      </c>
      <c r="Z517" s="130">
        <v>10</v>
      </c>
      <c r="AA517" s="131"/>
      <c r="AB517" s="129">
        <v>150</v>
      </c>
      <c r="AC517" s="130"/>
      <c r="AD517" s="26" t="s">
        <v>415</v>
      </c>
      <c r="AE517" s="130">
        <v>10</v>
      </c>
      <c r="AF517" s="131"/>
      <c r="AG517" s="13"/>
      <c r="AH517" s="11"/>
      <c r="AI517" s="11"/>
      <c r="AJ517" s="11"/>
      <c r="AK517" s="12"/>
      <c r="AL517" s="129" t="s">
        <v>281</v>
      </c>
      <c r="AM517" s="130"/>
      <c r="AN517" s="130"/>
      <c r="AO517" s="130"/>
      <c r="AP517" s="130"/>
      <c r="AQ517" s="131"/>
      <c r="AR517" s="129" t="s">
        <v>246</v>
      </c>
      <c r="AS517" s="130"/>
      <c r="AT517" s="130"/>
      <c r="AU517" s="130"/>
      <c r="AV517" s="131"/>
      <c r="AW517" s="146" t="s">
        <v>192</v>
      </c>
      <c r="AX517" s="146"/>
      <c r="AY517" s="146"/>
      <c r="AZ517" s="146"/>
      <c r="BA517" s="146"/>
      <c r="BB517" s="143" cm="1">
        <f t="array" ref="BB517">IF(O517="kutu profil",(((T517*W517-4*((2*Z517)*(2*Z517)-PI()*(2*Z517)^2/4))-((T517-2*Z517)*(W517-2*Z517)-4*((1*Z517)*(1*Z517)-PI()*(1*Z517)^2/4)))/1000000*7850),IF(O517="boru profil",((PI()*AB517^2/4-PI()*(AB517-2*AE517)^2/4)/1000000*7850),IF(O517="I profil",INDEX($CN$4:$CN$118,MATCH(AL517,$CM$4:$CM$118,0),0),IF(O517="U profil",INDEX($CU$4:$CU$28,MATCH(AR517,$CT$4:$CT$28,0),0),IF(O517="korniyer",INDEX($CR$4:$CR$176,MATCH(AW517,$CQ$4:$CQ$176,0),0),"hatalı")))))</f>
        <v>10.9</v>
      </c>
      <c r="BC517" s="143"/>
      <c r="BD517" s="143"/>
      <c r="BE517" s="63">
        <f>IF(J517="tek çubuk",1,2)*(C432+1)</f>
        <v>8</v>
      </c>
      <c r="BF517" s="63"/>
      <c r="BG517" s="63"/>
      <c r="BH517" s="83">
        <f>+BG426</f>
        <v>13.799999999999999</v>
      </c>
      <c r="BI517" s="83"/>
      <c r="BJ517" s="83"/>
      <c r="BK517" s="134">
        <f t="shared" si="39"/>
        <v>110.39999999999999</v>
      </c>
      <c r="BL517" s="135"/>
      <c r="BM517" s="136"/>
      <c r="BN517" s="83">
        <f t="shared" si="40"/>
        <v>1203.3599999999999</v>
      </c>
      <c r="BO517" s="83"/>
      <c r="BP517" s="83"/>
      <c r="BQ517" s="83"/>
      <c r="BR517" s="84">
        <v>28</v>
      </c>
      <c r="BS517" s="84"/>
      <c r="BT517" s="84"/>
      <c r="BU517" s="84"/>
      <c r="BV517" s="84"/>
      <c r="BW517" s="84"/>
      <c r="BX517" s="85">
        <f t="shared" si="42"/>
        <v>33694.079999999994</v>
      </c>
      <c r="BY517" s="85"/>
      <c r="BZ517" s="85"/>
      <c r="CA517" s="85"/>
      <c r="CB517" s="86"/>
    </row>
    <row r="518" spans="2:80" x14ac:dyDescent="0.2">
      <c r="B518" s="71" t="s">
        <v>13</v>
      </c>
      <c r="C518" s="72"/>
      <c r="D518" s="72"/>
      <c r="E518" s="72"/>
      <c r="F518" s="72"/>
      <c r="G518" s="72"/>
      <c r="H518" s="72"/>
      <c r="I518" s="72"/>
      <c r="J518" s="72"/>
      <c r="K518" s="72"/>
      <c r="L518" s="72"/>
      <c r="M518" s="72"/>
      <c r="N518" s="72"/>
      <c r="O518" s="120" t="s">
        <v>16</v>
      </c>
      <c r="P518" s="73"/>
      <c r="Q518" s="73"/>
      <c r="R518" s="73"/>
      <c r="S518" s="128"/>
      <c r="T518" s="129">
        <v>150</v>
      </c>
      <c r="U518" s="130"/>
      <c r="V518" s="26" t="s">
        <v>415</v>
      </c>
      <c r="W518" s="130">
        <v>150</v>
      </c>
      <c r="X518" s="130"/>
      <c r="Y518" s="26" t="s">
        <v>415</v>
      </c>
      <c r="Z518" s="130">
        <v>10</v>
      </c>
      <c r="AA518" s="131"/>
      <c r="AB518" s="129">
        <v>150</v>
      </c>
      <c r="AC518" s="130"/>
      <c r="AD518" s="26" t="s">
        <v>415</v>
      </c>
      <c r="AE518" s="130">
        <v>10</v>
      </c>
      <c r="AF518" s="131"/>
      <c r="AG518" s="13"/>
      <c r="AH518" s="11"/>
      <c r="AI518" s="11"/>
      <c r="AJ518" s="11"/>
      <c r="AK518" s="12"/>
      <c r="AL518" s="129" t="s">
        <v>281</v>
      </c>
      <c r="AM518" s="130"/>
      <c r="AN518" s="130"/>
      <c r="AO518" s="130"/>
      <c r="AP518" s="130"/>
      <c r="AQ518" s="131"/>
      <c r="AR518" s="129" t="s">
        <v>246</v>
      </c>
      <c r="AS518" s="130"/>
      <c r="AT518" s="130"/>
      <c r="AU518" s="130"/>
      <c r="AV518" s="131"/>
      <c r="AW518" s="146" t="s">
        <v>345</v>
      </c>
      <c r="AX518" s="146"/>
      <c r="AY518" s="146"/>
      <c r="AZ518" s="146"/>
      <c r="BA518" s="146"/>
      <c r="BB518" s="143" cm="1">
        <f t="array" ref="BB518">IF(O518="kutu profil",(((T518*W518-4*((2*Z518)*(2*Z518)-PI()*(2*Z518)^2/4))-((T518-2*Z518)*(W518-2*Z518)-4*((1*Z518)*(1*Z518)-PI()*(1*Z518)^2/4)))/1000000*7850),IF(O518="boru profil",((PI()*AB518^2/4-PI()*(AB518-2*AE518)^2/4)/1000000*7850),IF(O518="I profil",INDEX($CN$4:$CN$118,MATCH(AL518,$CM$4:$CM$118,0),0),IF(O518="U profil",INDEX($CU$4:$CU$28,MATCH(AR518,$CT$4:$CT$28,0),0),IF(O518="korniyer",INDEX($CR$4:$CR$176,MATCH(AW518,$CQ$4:$CQ$176,0),0),"hatalı")))))</f>
        <v>122</v>
      </c>
      <c r="BC518" s="143"/>
      <c r="BD518" s="143"/>
      <c r="BE518" s="63">
        <f>(C432+1)*2</f>
        <v>16</v>
      </c>
      <c r="BF518" s="63"/>
      <c r="BG518" s="63"/>
      <c r="BH518" s="83">
        <f>+E394</f>
        <v>8</v>
      </c>
      <c r="BI518" s="83"/>
      <c r="BJ518" s="83"/>
      <c r="BK518" s="134">
        <f t="shared" si="39"/>
        <v>128</v>
      </c>
      <c r="BL518" s="135"/>
      <c r="BM518" s="136"/>
      <c r="BN518" s="83">
        <f t="shared" si="40"/>
        <v>15616</v>
      </c>
      <c r="BO518" s="83"/>
      <c r="BP518" s="83"/>
      <c r="BQ518" s="83"/>
      <c r="BR518" s="84">
        <v>28</v>
      </c>
      <c r="BS518" s="84"/>
      <c r="BT518" s="84"/>
      <c r="BU518" s="84"/>
      <c r="BV518" s="84"/>
      <c r="BW518" s="84"/>
      <c r="BX518" s="85">
        <f t="shared" si="42"/>
        <v>437248</v>
      </c>
      <c r="BY518" s="85"/>
      <c r="BZ518" s="85"/>
      <c r="CA518" s="85"/>
      <c r="CB518" s="86"/>
    </row>
    <row r="519" spans="2:80" x14ac:dyDescent="0.2">
      <c r="B519" s="71" t="s">
        <v>466</v>
      </c>
      <c r="C519" s="72"/>
      <c r="D519" s="72"/>
      <c r="E519" s="72"/>
      <c r="F519" s="72"/>
      <c r="G519" s="72"/>
      <c r="H519" s="72"/>
      <c r="I519" s="72"/>
      <c r="J519" s="72"/>
      <c r="K519" s="72"/>
      <c r="L519" s="72"/>
      <c r="M519" s="72"/>
      <c r="N519" s="72"/>
      <c r="O519" s="120" t="s">
        <v>416</v>
      </c>
      <c r="P519" s="73"/>
      <c r="Q519" s="73"/>
      <c r="R519" s="73"/>
      <c r="S519" s="128"/>
      <c r="T519" s="129">
        <v>80</v>
      </c>
      <c r="U519" s="130"/>
      <c r="V519" s="26" t="s">
        <v>415</v>
      </c>
      <c r="W519" s="130">
        <v>80</v>
      </c>
      <c r="X519" s="130"/>
      <c r="Y519" s="26" t="s">
        <v>415</v>
      </c>
      <c r="Z519" s="130">
        <v>4</v>
      </c>
      <c r="AA519" s="131"/>
      <c r="AB519" s="129">
        <v>150</v>
      </c>
      <c r="AC519" s="130"/>
      <c r="AD519" s="26" t="s">
        <v>415</v>
      </c>
      <c r="AE519" s="130">
        <v>10</v>
      </c>
      <c r="AF519" s="131"/>
      <c r="AG519" s="13"/>
      <c r="AH519" s="11"/>
      <c r="AI519" s="11"/>
      <c r="AJ519" s="11"/>
      <c r="AK519" s="12"/>
      <c r="AL519" s="129" t="s">
        <v>281</v>
      </c>
      <c r="AM519" s="130"/>
      <c r="AN519" s="130"/>
      <c r="AO519" s="130"/>
      <c r="AP519" s="130"/>
      <c r="AQ519" s="131"/>
      <c r="AR519" s="129" t="s">
        <v>246</v>
      </c>
      <c r="AS519" s="130"/>
      <c r="AT519" s="130"/>
      <c r="AU519" s="130"/>
      <c r="AV519" s="131"/>
      <c r="AW519" s="146" t="s">
        <v>345</v>
      </c>
      <c r="AX519" s="146"/>
      <c r="AY519" s="146"/>
      <c r="AZ519" s="146"/>
      <c r="BA519" s="146"/>
      <c r="BB519" s="143" cm="1">
        <f t="array" ref="BB519">IF(O519="kutu profil",(((T519*W519-4*((2*Z519)*(2*Z519)-PI()*(2*Z519)^2/4))-((T519-2*Z519)*(W519-2*Z519)-4*((1*Z519)*(1*Z519)-PI()*(1*Z519)^2/4)))/1000000*7850),IF(O519="boru profil",((PI()*AB519^2/4-PI()*(AB519-2*AE519)^2/4)/1000000*7850),IF(O519="I profil",INDEX($CN$4:$CN$118,MATCH(AL519,$CM$4:$CM$118,0),0),IF(O519="U profil",INDEX($CU$4:$CU$28,MATCH(AR519,$CT$4:$CT$28,0),0),IF(O519="korniyer",INDEX($CR$4:$CR$176,MATCH(AW519,$CQ$4:$CQ$176,0),0),"hatalı")))))</f>
        <v>9.2221521118726368</v>
      </c>
      <c r="BC519" s="143"/>
      <c r="BD519" s="143"/>
      <c r="BE519" s="63" cm="1">
        <f t="array" ref="BE519">INDEX(BP450:BP460,MATCH(C432,BO450:BO460,0),0)*2*4+INDEX(BQ450:BQ460,MATCH(C432,BO450:BO460,0),0)*2*2</f>
        <v>40</v>
      </c>
      <c r="BF519" s="63"/>
      <c r="BG519" s="63"/>
      <c r="BH519" s="83">
        <f>SQRT(E411^2+(2*H407)^2)</f>
        <v>7.2111025509279782</v>
      </c>
      <c r="BI519" s="83"/>
      <c r="BJ519" s="83"/>
      <c r="BK519" s="134">
        <f t="shared" si="39"/>
        <v>288.44410203711914</v>
      </c>
      <c r="BL519" s="135"/>
      <c r="BM519" s="136"/>
      <c r="BN519" s="83">
        <f t="shared" si="40"/>
        <v>2660.0753847588244</v>
      </c>
      <c r="BO519" s="83"/>
      <c r="BP519" s="83"/>
      <c r="BQ519" s="83"/>
      <c r="BR519" s="84">
        <v>28</v>
      </c>
      <c r="BS519" s="84"/>
      <c r="BT519" s="84"/>
      <c r="BU519" s="84"/>
      <c r="BV519" s="84"/>
      <c r="BW519" s="84"/>
      <c r="BX519" s="85">
        <f t="shared" si="42"/>
        <v>74482.110773247085</v>
      </c>
      <c r="BY519" s="85"/>
      <c r="BZ519" s="85"/>
      <c r="CA519" s="85"/>
      <c r="CB519" s="86"/>
    </row>
    <row r="520" spans="2:80" x14ac:dyDescent="0.2">
      <c r="B520" s="71" t="s">
        <v>289</v>
      </c>
      <c r="C520" s="72"/>
      <c r="D520" s="72"/>
      <c r="E520" s="72"/>
      <c r="F520" s="72"/>
      <c r="G520" s="72"/>
      <c r="H520" s="72"/>
      <c r="I520" s="72"/>
      <c r="J520" s="72"/>
      <c r="K520" s="72"/>
      <c r="L520" s="72"/>
      <c r="M520" s="72"/>
      <c r="N520" s="72"/>
      <c r="O520" s="120" t="s">
        <v>416</v>
      </c>
      <c r="P520" s="73"/>
      <c r="Q520" s="73"/>
      <c r="R520" s="73"/>
      <c r="S520" s="128"/>
      <c r="T520" s="129">
        <v>150</v>
      </c>
      <c r="U520" s="130"/>
      <c r="V520" s="26" t="s">
        <v>415</v>
      </c>
      <c r="W520" s="130">
        <v>150</v>
      </c>
      <c r="X520" s="130"/>
      <c r="Y520" s="26" t="s">
        <v>415</v>
      </c>
      <c r="Z520" s="130">
        <v>5</v>
      </c>
      <c r="AA520" s="131"/>
      <c r="AB520" s="129">
        <v>150</v>
      </c>
      <c r="AC520" s="130"/>
      <c r="AD520" s="26" t="s">
        <v>415</v>
      </c>
      <c r="AE520" s="130">
        <v>10</v>
      </c>
      <c r="AF520" s="131"/>
      <c r="AG520" s="13"/>
      <c r="AH520" s="11"/>
      <c r="AI520" s="11"/>
      <c r="AJ520" s="11"/>
      <c r="AK520" s="12"/>
      <c r="AL520" s="129" t="s">
        <v>281</v>
      </c>
      <c r="AM520" s="130"/>
      <c r="AN520" s="130"/>
      <c r="AO520" s="130"/>
      <c r="AP520" s="130"/>
      <c r="AQ520" s="131"/>
      <c r="AR520" s="129" t="s">
        <v>247</v>
      </c>
      <c r="AS520" s="130"/>
      <c r="AT520" s="130"/>
      <c r="AU520" s="130"/>
      <c r="AV520" s="131"/>
      <c r="AW520" s="146" t="s">
        <v>345</v>
      </c>
      <c r="AX520" s="146"/>
      <c r="AY520" s="146"/>
      <c r="AZ520" s="146"/>
      <c r="BA520" s="146"/>
      <c r="BB520" s="143" cm="1">
        <f t="array" ref="BB520">IF(O520="kutu profil",(((T520*W520-4*((2*Z520)*(2*Z520)-PI()*(2*Z520)^2/4))-((T520-2*Z520)*(W520-2*Z520)-4*((1*Z520)*(1*Z520)-PI()*(1*Z520)^2/4)))/1000000*7850),IF(O520="boru profil",((PI()*AB520^2/4-PI()*(AB520-2*AE520)^2/4)/1000000*7850),IF(O520="I profil",INDEX($CN$4:$CN$118,MATCH(AL520,$CM$4:$CM$118,0),0),IF(O520="U profil",INDEX($CU$4:$CU$28,MATCH(AR520,$CT$4:$CT$28,0),0),IF(O520="korniyer",INDEX($CR$4:$CR$176,MATCH(AW520,$CQ$4:$CQ$176,0),0),"hatalı")))))</f>
        <v>22.259612674800998</v>
      </c>
      <c r="BC520" s="143"/>
      <c r="BD520" s="143"/>
      <c r="BE520" s="63">
        <v>2</v>
      </c>
      <c r="BF520" s="63"/>
      <c r="BG520" s="63"/>
      <c r="BH520" s="83">
        <f>+C422</f>
        <v>42</v>
      </c>
      <c r="BI520" s="83"/>
      <c r="BJ520" s="83"/>
      <c r="BK520" s="134">
        <f t="shared" si="39"/>
        <v>84</v>
      </c>
      <c r="BL520" s="135"/>
      <c r="BM520" s="136"/>
      <c r="BN520" s="83">
        <f t="shared" si="40"/>
        <v>1869.8074646832838</v>
      </c>
      <c r="BO520" s="83"/>
      <c r="BP520" s="83"/>
      <c r="BQ520" s="83"/>
      <c r="BR520" s="84">
        <v>28</v>
      </c>
      <c r="BS520" s="84"/>
      <c r="BT520" s="84"/>
      <c r="BU520" s="84"/>
      <c r="BV520" s="84"/>
      <c r="BW520" s="84"/>
      <c r="BX520" s="85">
        <f t="shared" si="42"/>
        <v>52354.60901113195</v>
      </c>
      <c r="BY520" s="85"/>
      <c r="BZ520" s="85"/>
      <c r="CA520" s="85"/>
      <c r="CB520" s="86"/>
    </row>
    <row r="521" spans="2:80" x14ac:dyDescent="0.2">
      <c r="B521" s="71" t="s">
        <v>288</v>
      </c>
      <c r="C521" s="72"/>
      <c r="D521" s="72"/>
      <c r="E521" s="72"/>
      <c r="F521" s="72"/>
      <c r="G521" s="72"/>
      <c r="H521" s="72"/>
      <c r="I521" s="72"/>
      <c r="J521" s="72"/>
      <c r="K521" s="72"/>
      <c r="L521" s="72"/>
      <c r="M521" s="72"/>
      <c r="N521" s="72"/>
      <c r="O521" s="120" t="s">
        <v>416</v>
      </c>
      <c r="P521" s="73"/>
      <c r="Q521" s="73"/>
      <c r="R521" s="73"/>
      <c r="S521" s="128"/>
      <c r="T521" s="129">
        <v>150</v>
      </c>
      <c r="U521" s="130"/>
      <c r="V521" s="26" t="s">
        <v>415</v>
      </c>
      <c r="W521" s="130">
        <v>150</v>
      </c>
      <c r="X521" s="130"/>
      <c r="Y521" s="26" t="s">
        <v>415</v>
      </c>
      <c r="Z521" s="130">
        <v>5</v>
      </c>
      <c r="AA521" s="131"/>
      <c r="AB521" s="129">
        <v>150</v>
      </c>
      <c r="AC521" s="130"/>
      <c r="AD521" s="26" t="s">
        <v>415</v>
      </c>
      <c r="AE521" s="130">
        <v>10</v>
      </c>
      <c r="AF521" s="131"/>
      <c r="AG521" s="13"/>
      <c r="AH521" s="11"/>
      <c r="AI521" s="11"/>
      <c r="AJ521" s="11"/>
      <c r="AK521" s="12"/>
      <c r="AL521" s="129" t="s">
        <v>281</v>
      </c>
      <c r="AM521" s="130"/>
      <c r="AN521" s="130"/>
      <c r="AO521" s="130"/>
      <c r="AP521" s="130"/>
      <c r="AQ521" s="131"/>
      <c r="AR521" s="129" t="s">
        <v>246</v>
      </c>
      <c r="AS521" s="130"/>
      <c r="AT521" s="130"/>
      <c r="AU521" s="130"/>
      <c r="AV521" s="131"/>
      <c r="AW521" s="146" t="s">
        <v>345</v>
      </c>
      <c r="AX521" s="146"/>
      <c r="AY521" s="146"/>
      <c r="AZ521" s="146"/>
      <c r="BA521" s="146"/>
      <c r="BB521" s="143" cm="1">
        <f t="array" ref="BB521">IF(O521="kutu profil",(((T521*W521-4*((2*Z521)*(2*Z521)-PI()*(2*Z521)^2/4))-((T521-2*Z521)*(W521-2*Z521)-4*((1*Z521)*(1*Z521)-PI()*(1*Z521)^2/4)))/1000000*7850),IF(O521="boru profil",((PI()*AB521^2/4-PI()*(AB521-2*AE521)^2/4)/1000000*7850),IF(O521="I profil",INDEX($CN$4:$CN$118,MATCH(AL521,$CM$4:$CM$118,0),0),IF(O521="U profil",INDEX($CU$4:$CU$28,MATCH(AR521,$CT$4:$CT$28,0),0),IF(O521="korniyer",INDEX($CR$4:$CR$176,MATCH(AW521,$CQ$4:$CQ$176,0),0),"hatalı")))))</f>
        <v>22.259612674800998</v>
      </c>
      <c r="BC521" s="143"/>
      <c r="BD521" s="143"/>
      <c r="BE521" s="63" cm="1">
        <f t="array" ref="BE521">INDEX(BQ450:BQ460,MATCH(C432,BO450:BO460,0),0)*2*2</f>
        <v>16</v>
      </c>
      <c r="BF521" s="63"/>
      <c r="BG521" s="63"/>
      <c r="BH521" s="83">
        <f>+AS400</f>
        <v>6</v>
      </c>
      <c r="BI521" s="83"/>
      <c r="BJ521" s="83"/>
      <c r="BK521" s="134">
        <f t="shared" si="39"/>
        <v>96</v>
      </c>
      <c r="BL521" s="135"/>
      <c r="BM521" s="136"/>
      <c r="BN521" s="83">
        <f t="shared" si="40"/>
        <v>2136.922816780896</v>
      </c>
      <c r="BO521" s="83"/>
      <c r="BP521" s="83"/>
      <c r="BQ521" s="83"/>
      <c r="BR521" s="84">
        <v>28</v>
      </c>
      <c r="BS521" s="84"/>
      <c r="BT521" s="84"/>
      <c r="BU521" s="84"/>
      <c r="BV521" s="84"/>
      <c r="BW521" s="84"/>
      <c r="BX521" s="85">
        <f t="shared" si="42"/>
        <v>59833.838869865089</v>
      </c>
      <c r="BY521" s="85"/>
      <c r="BZ521" s="85"/>
      <c r="CA521" s="85"/>
      <c r="CB521" s="86"/>
    </row>
    <row r="522" spans="2:80" x14ac:dyDescent="0.2">
      <c r="B522" s="71" t="s">
        <v>447</v>
      </c>
      <c r="C522" s="72"/>
      <c r="D522" s="72"/>
      <c r="E522" s="72"/>
      <c r="F522" s="72"/>
      <c r="G522" s="72"/>
      <c r="H522" s="72"/>
      <c r="I522" s="72"/>
      <c r="J522" s="72"/>
      <c r="K522" s="72"/>
      <c r="L522" s="72"/>
      <c r="M522" s="72"/>
      <c r="N522" s="72"/>
      <c r="O522" s="120" t="s">
        <v>414</v>
      </c>
      <c r="P522" s="73"/>
      <c r="Q522" s="73"/>
      <c r="R522" s="73"/>
      <c r="S522" s="128"/>
      <c r="T522" s="129">
        <v>150</v>
      </c>
      <c r="U522" s="130"/>
      <c r="V522" s="26" t="s">
        <v>415</v>
      </c>
      <c r="W522" s="130">
        <v>150</v>
      </c>
      <c r="X522" s="130"/>
      <c r="Y522" s="26" t="s">
        <v>415</v>
      </c>
      <c r="Z522" s="130">
        <v>8</v>
      </c>
      <c r="AA522" s="131"/>
      <c r="AB522" s="129">
        <v>101.6</v>
      </c>
      <c r="AC522" s="130"/>
      <c r="AD522" s="26" t="s">
        <v>415</v>
      </c>
      <c r="AE522" s="130">
        <v>4.6500000000000004</v>
      </c>
      <c r="AF522" s="131"/>
      <c r="AG522" s="13"/>
      <c r="AH522" s="11"/>
      <c r="AI522" s="11"/>
      <c r="AJ522" s="11"/>
      <c r="AK522" s="12"/>
      <c r="AL522" s="129" t="s">
        <v>281</v>
      </c>
      <c r="AM522" s="130"/>
      <c r="AN522" s="130"/>
      <c r="AO522" s="130"/>
      <c r="AP522" s="130"/>
      <c r="AQ522" s="131"/>
      <c r="AR522" s="129" t="s">
        <v>246</v>
      </c>
      <c r="AS522" s="130"/>
      <c r="AT522" s="130"/>
      <c r="AU522" s="130"/>
      <c r="AV522" s="131"/>
      <c r="AW522" s="146" t="s">
        <v>188</v>
      </c>
      <c r="AX522" s="146"/>
      <c r="AY522" s="146"/>
      <c r="AZ522" s="146"/>
      <c r="BA522" s="146"/>
      <c r="BB522" s="143" cm="1">
        <f t="array" ref="BB522">IF(O522="kutu profil",(((T522*W522-4*((2*Z522)*(2*Z522)-PI()*(2*Z522)^2/4))-((T522-2*Z522)*(W522-2*Z522)-4*((1*Z522)*(1*Z522)-PI()*(1*Z522)^2/4)))/1000000*7850),IF(O522="boru profil",((PI()*AB522^2/4-PI()*(AB522-2*AE522)^2/4)/1000000*7850),IF(O522="I profil",INDEX($CN$4:$CN$118,MATCH(AL522,$CM$4:$CM$118,0),0),IF(O522="U profil",INDEX($CU$4:$CU$28,MATCH(AR522,$CT$4:$CT$28,0),0),IF(O522="korniyer",INDEX($CR$4:$CR$176,MATCH(AW522,$CQ$4:$CQ$176,0),0),"hatalı")))))</f>
        <v>11.117836826961277</v>
      </c>
      <c r="BC522" s="143"/>
      <c r="BD522" s="143"/>
      <c r="BE522" s="63" cm="1">
        <f t="array" ref="BE522">INDEX(BP450:BP460,MATCH(C432,BO450:BO460,0),0)*2*3*2</f>
        <v>36</v>
      </c>
      <c r="BF522" s="63"/>
      <c r="BG522" s="63"/>
      <c r="BH522" s="83">
        <f>SQRT(AO400^2+AJ397^2)</f>
        <v>6.5659052011974035</v>
      </c>
      <c r="BI522" s="83"/>
      <c r="BJ522" s="83"/>
      <c r="BK522" s="134">
        <f t="shared" si="39"/>
        <v>236.37258724310652</v>
      </c>
      <c r="BL522" s="135"/>
      <c r="BM522" s="136"/>
      <c r="BN522" s="83">
        <f t="shared" si="40"/>
        <v>2627.9518553355269</v>
      </c>
      <c r="BO522" s="83"/>
      <c r="BP522" s="83"/>
      <c r="BQ522" s="83"/>
      <c r="BR522" s="84">
        <v>28</v>
      </c>
      <c r="BS522" s="84"/>
      <c r="BT522" s="84"/>
      <c r="BU522" s="84"/>
      <c r="BV522" s="84"/>
      <c r="BW522" s="84"/>
      <c r="BX522" s="85">
        <f t="shared" si="42"/>
        <v>73582.651949394756</v>
      </c>
      <c r="BY522" s="85"/>
      <c r="BZ522" s="85"/>
      <c r="CA522" s="85"/>
      <c r="CB522" s="86"/>
    </row>
    <row r="523" spans="2:80" x14ac:dyDescent="0.2">
      <c r="B523" s="71" t="s">
        <v>448</v>
      </c>
      <c r="C523" s="72"/>
      <c r="D523" s="72"/>
      <c r="E523" s="72"/>
      <c r="F523" s="72"/>
      <c r="G523" s="72"/>
      <c r="H523" s="72"/>
      <c r="I523" s="72"/>
      <c r="J523" s="72"/>
      <c r="K523" s="72"/>
      <c r="L523" s="72"/>
      <c r="M523" s="72"/>
      <c r="N523" s="72"/>
      <c r="O523" s="120" t="s">
        <v>416</v>
      </c>
      <c r="P523" s="73"/>
      <c r="Q523" s="73"/>
      <c r="R523" s="73"/>
      <c r="S523" s="128"/>
      <c r="T523" s="129">
        <v>140</v>
      </c>
      <c r="U523" s="130"/>
      <c r="V523" s="26" t="s">
        <v>415</v>
      </c>
      <c r="W523" s="130">
        <v>140</v>
      </c>
      <c r="X523" s="130"/>
      <c r="Y523" s="26" t="s">
        <v>415</v>
      </c>
      <c r="Z523" s="130">
        <v>8</v>
      </c>
      <c r="AA523" s="131"/>
      <c r="AB523" s="129">
        <v>150</v>
      </c>
      <c r="AC523" s="130"/>
      <c r="AD523" s="26" t="s">
        <v>415</v>
      </c>
      <c r="AE523" s="130">
        <v>10</v>
      </c>
      <c r="AF523" s="131"/>
      <c r="AG523" s="13"/>
      <c r="AH523" s="11"/>
      <c r="AI523" s="11"/>
      <c r="AJ523" s="11"/>
      <c r="AK523" s="12"/>
      <c r="AL523" s="129" t="s">
        <v>281</v>
      </c>
      <c r="AM523" s="130"/>
      <c r="AN523" s="130"/>
      <c r="AO523" s="130"/>
      <c r="AP523" s="130"/>
      <c r="AQ523" s="131"/>
      <c r="AR523" s="129" t="s">
        <v>246</v>
      </c>
      <c r="AS523" s="130"/>
      <c r="AT523" s="130"/>
      <c r="AU523" s="130"/>
      <c r="AV523" s="131"/>
      <c r="AW523" s="146" t="s">
        <v>345</v>
      </c>
      <c r="AX523" s="146"/>
      <c r="AY523" s="146"/>
      <c r="AZ523" s="146"/>
      <c r="BA523" s="146"/>
      <c r="BB523" s="143" cm="1">
        <f t="array" ref="BB523">IF(O523="kutu profil",(((T523*W523-4*((2*Z523)*(2*Z523)-PI()*(2*Z523)^2/4))-((T523-2*Z523)*(W523-2*Z523)-4*((1*Z523)*(1*Z523)-PI()*(1*Z523)^2/4)))/1000000*7850),IF(O523="boru profil",((PI()*AB523^2/4-PI()*(AB523-2*AE523)^2/4)/1000000*7850),IF(O523="I profil",INDEX($CN$4:$CN$118,MATCH(AL523,$CM$4:$CM$118,0),0),IF(O523="U profil",INDEX($CU$4:$CU$28,MATCH(AR523,$CT$4:$CT$28,0),0),IF(O523="korniyer",INDEX($CR$4:$CR$176,MATCH(AW523,$CQ$4:$CQ$176,0),0),"hatalı")))))</f>
        <v>31.86460844749055</v>
      </c>
      <c r="BC523" s="143"/>
      <c r="BD523" s="143"/>
      <c r="BE523" s="63" cm="1">
        <f t="array" ref="BE523">INDEX(BP450:BP460,MATCH(C432,BO450:BO460,0),0)*2*2</f>
        <v>12</v>
      </c>
      <c r="BF523" s="63"/>
      <c r="BG523" s="63"/>
      <c r="BH523" s="83">
        <f>+AO400</f>
        <v>6</v>
      </c>
      <c r="BI523" s="83"/>
      <c r="BJ523" s="83"/>
      <c r="BK523" s="134">
        <f t="shared" si="39"/>
        <v>72</v>
      </c>
      <c r="BL523" s="135"/>
      <c r="BM523" s="136"/>
      <c r="BN523" s="83">
        <f t="shared" si="40"/>
        <v>2294.2518082193196</v>
      </c>
      <c r="BO523" s="83"/>
      <c r="BP523" s="83"/>
      <c r="BQ523" s="83"/>
      <c r="BR523" s="84">
        <v>28</v>
      </c>
      <c r="BS523" s="84"/>
      <c r="BT523" s="84"/>
      <c r="BU523" s="84"/>
      <c r="BV523" s="84"/>
      <c r="BW523" s="84"/>
      <c r="BX523" s="85">
        <f t="shared" si="42"/>
        <v>64239.050630140948</v>
      </c>
      <c r="BY523" s="85"/>
      <c r="BZ523" s="85"/>
      <c r="CA523" s="85"/>
      <c r="CB523" s="86"/>
    </row>
    <row r="524" spans="2:80" x14ac:dyDescent="0.2">
      <c r="B524" s="71" t="s">
        <v>284</v>
      </c>
      <c r="C524" s="72"/>
      <c r="D524" s="72"/>
      <c r="E524" s="72"/>
      <c r="F524" s="72"/>
      <c r="G524" s="72"/>
      <c r="H524" s="72"/>
      <c r="I524" s="72"/>
      <c r="J524" s="72"/>
      <c r="K524" s="72"/>
      <c r="L524" s="72"/>
      <c r="M524" s="72"/>
      <c r="N524" s="72"/>
      <c r="O524" s="120" t="s">
        <v>16</v>
      </c>
      <c r="P524" s="73"/>
      <c r="Q524" s="73"/>
      <c r="R524" s="73"/>
      <c r="S524" s="128"/>
      <c r="T524" s="129">
        <v>150</v>
      </c>
      <c r="U524" s="130"/>
      <c r="V524" s="26" t="s">
        <v>415</v>
      </c>
      <c r="W524" s="130">
        <v>150</v>
      </c>
      <c r="X524" s="130"/>
      <c r="Y524" s="26" t="s">
        <v>415</v>
      </c>
      <c r="Z524" s="130">
        <v>10</v>
      </c>
      <c r="AA524" s="131"/>
      <c r="AB524" s="129">
        <v>150</v>
      </c>
      <c r="AC524" s="130"/>
      <c r="AD524" s="26" t="s">
        <v>415</v>
      </c>
      <c r="AE524" s="130">
        <v>10</v>
      </c>
      <c r="AF524" s="131"/>
      <c r="AG524" s="13"/>
      <c r="AH524" s="11"/>
      <c r="AI524" s="11"/>
      <c r="AJ524" s="11"/>
      <c r="AK524" s="12"/>
      <c r="AL524" s="129" t="s">
        <v>446</v>
      </c>
      <c r="AM524" s="130"/>
      <c r="AN524" s="130"/>
      <c r="AO524" s="130"/>
      <c r="AP524" s="130"/>
      <c r="AQ524" s="131"/>
      <c r="AR524" s="129" t="s">
        <v>246</v>
      </c>
      <c r="AS524" s="130"/>
      <c r="AT524" s="130"/>
      <c r="AU524" s="130"/>
      <c r="AV524" s="131"/>
      <c r="AW524" s="146" t="s">
        <v>345</v>
      </c>
      <c r="AX524" s="146"/>
      <c r="AY524" s="146"/>
      <c r="AZ524" s="146"/>
      <c r="BA524" s="146"/>
      <c r="BB524" s="143" cm="1">
        <f t="array" ref="BB524">IF(O524="kutu profil",(((T524*W524-4*((2*Z524)*(2*Z524)-PI()*(2*Z524)^2/4))-((T524-2*Z524)*(W524-2*Z524)-4*((1*Z524)*(1*Z524)-PI()*(1*Z524)^2/4)))/1000000*7850),IF(O524="boru profil",((PI()*AB524^2/4-PI()*(AB524-2*AE524)^2/4)/1000000*7850),IF(O524="I profil",INDEX($CN$4:$CN$118,MATCH(AL524,$CM$4:$CM$118,0),0),IF(O524="U profil",INDEX($CU$4:$CU$28,MATCH(AR524,$CT$4:$CT$28,0),0),IF(O524="korniyer",INDEX($CR$4:$CR$176,MATCH(AW524,$CQ$4:$CQ$176,0),0),"hatalı")))))</f>
        <v>22.4</v>
      </c>
      <c r="BC524" s="143"/>
      <c r="BD524" s="143"/>
      <c r="BE524" s="63">
        <v>4</v>
      </c>
      <c r="BF524" s="63"/>
      <c r="BG524" s="63"/>
      <c r="BH524" s="83">
        <f>(E394-AF391)*3</f>
        <v>22.200000000000003</v>
      </c>
      <c r="BI524" s="83"/>
      <c r="BJ524" s="83"/>
      <c r="BK524" s="134">
        <f t="shared" si="39"/>
        <v>88.800000000000011</v>
      </c>
      <c r="BL524" s="135"/>
      <c r="BM524" s="136"/>
      <c r="BN524" s="83">
        <f t="shared" si="40"/>
        <v>1989.1200000000001</v>
      </c>
      <c r="BO524" s="83"/>
      <c r="BP524" s="83"/>
      <c r="BQ524" s="83"/>
      <c r="BR524" s="84">
        <v>28</v>
      </c>
      <c r="BS524" s="84"/>
      <c r="BT524" s="84"/>
      <c r="BU524" s="84"/>
      <c r="BV524" s="84"/>
      <c r="BW524" s="84"/>
      <c r="BX524" s="85">
        <f t="shared" si="42"/>
        <v>55695.360000000001</v>
      </c>
      <c r="BY524" s="85"/>
      <c r="BZ524" s="85"/>
      <c r="CA524" s="85"/>
      <c r="CB524" s="86"/>
    </row>
    <row r="525" spans="2:80" x14ac:dyDescent="0.2">
      <c r="B525" s="71" t="s">
        <v>285</v>
      </c>
      <c r="C525" s="72"/>
      <c r="D525" s="72"/>
      <c r="E525" s="72"/>
      <c r="F525" s="72"/>
      <c r="G525" s="72"/>
      <c r="H525" s="72"/>
      <c r="I525" s="72"/>
      <c r="J525" s="72"/>
      <c r="K525" s="72"/>
      <c r="L525" s="72"/>
      <c r="M525" s="72"/>
      <c r="N525" s="72"/>
      <c r="O525" s="120" t="s">
        <v>416</v>
      </c>
      <c r="P525" s="73"/>
      <c r="Q525" s="73"/>
      <c r="R525" s="73"/>
      <c r="S525" s="128"/>
      <c r="T525" s="129">
        <v>150</v>
      </c>
      <c r="U525" s="130"/>
      <c r="V525" s="26" t="s">
        <v>415</v>
      </c>
      <c r="W525" s="130">
        <v>150</v>
      </c>
      <c r="X525" s="130"/>
      <c r="Y525" s="26" t="s">
        <v>415</v>
      </c>
      <c r="Z525" s="130">
        <v>5</v>
      </c>
      <c r="AA525" s="131"/>
      <c r="AB525" s="129">
        <v>150</v>
      </c>
      <c r="AC525" s="130"/>
      <c r="AD525" s="26" t="s">
        <v>415</v>
      </c>
      <c r="AE525" s="130">
        <v>10</v>
      </c>
      <c r="AF525" s="131"/>
      <c r="AG525" s="13"/>
      <c r="AH525" s="11"/>
      <c r="AI525" s="11"/>
      <c r="AJ525" s="11"/>
      <c r="AK525" s="12"/>
      <c r="AL525" s="129" t="s">
        <v>281</v>
      </c>
      <c r="AM525" s="130"/>
      <c r="AN525" s="130"/>
      <c r="AO525" s="130"/>
      <c r="AP525" s="130"/>
      <c r="AQ525" s="131"/>
      <c r="AR525" s="129" t="s">
        <v>246</v>
      </c>
      <c r="AS525" s="130"/>
      <c r="AT525" s="130"/>
      <c r="AU525" s="130"/>
      <c r="AV525" s="131"/>
      <c r="AW525" s="146" t="s">
        <v>345</v>
      </c>
      <c r="AX525" s="146"/>
      <c r="AY525" s="146"/>
      <c r="AZ525" s="146"/>
      <c r="BA525" s="146"/>
      <c r="BB525" s="143" cm="1">
        <f t="array" ref="BB525">IF(O525="kutu profil",(((T525*W525-4*((2*Z525)*(2*Z525)-PI()*(2*Z525)^2/4))-((T525-2*Z525)*(W525-2*Z525)-4*((1*Z525)*(1*Z525)-PI()*(1*Z525)^2/4)))/1000000*7850),IF(O525="boru profil",((PI()*AB525^2/4-PI()*(AB525-2*AE525)^2/4)/1000000*7850),IF(O525="I profil",INDEX($CN$4:$CN$118,MATCH(AL525,$CM$4:$CM$118,0),0),IF(O525="U profil",INDEX($CU$4:$CU$28,MATCH(AR525,$CT$4:$CT$28,0),0),IF(O525="korniyer",INDEX($CR$4:$CR$176,MATCH(AW525,$CQ$4:$CQ$176,0),0),"hatalı")))))</f>
        <v>22.259612674800998</v>
      </c>
      <c r="BC525" s="143"/>
      <c r="BD525" s="143"/>
      <c r="BE525" s="63">
        <v>2</v>
      </c>
      <c r="BF525" s="63"/>
      <c r="BG525" s="63"/>
      <c r="BH525" s="83">
        <f>+E394+E388-AH457-AF391</f>
        <v>4.0999999999999996</v>
      </c>
      <c r="BI525" s="83"/>
      <c r="BJ525" s="83"/>
      <c r="BK525" s="134">
        <f t="shared" si="39"/>
        <v>8.1999999999999993</v>
      </c>
      <c r="BL525" s="135"/>
      <c r="BM525" s="136"/>
      <c r="BN525" s="83">
        <f t="shared" si="40"/>
        <v>182.52882393336816</v>
      </c>
      <c r="BO525" s="83"/>
      <c r="BP525" s="83"/>
      <c r="BQ525" s="83"/>
      <c r="BR525" s="84">
        <v>28</v>
      </c>
      <c r="BS525" s="84"/>
      <c r="BT525" s="84"/>
      <c r="BU525" s="84"/>
      <c r="BV525" s="84"/>
      <c r="BW525" s="84"/>
      <c r="BX525" s="85">
        <f t="shared" si="42"/>
        <v>5110.8070701343086</v>
      </c>
      <c r="BY525" s="85"/>
      <c r="BZ525" s="85"/>
      <c r="CA525" s="85"/>
      <c r="CB525" s="86"/>
    </row>
    <row r="526" spans="2:80" x14ac:dyDescent="0.2">
      <c r="B526" s="71" t="s">
        <v>286</v>
      </c>
      <c r="C526" s="72"/>
      <c r="D526" s="72"/>
      <c r="E526" s="72"/>
      <c r="F526" s="72"/>
      <c r="G526" s="72"/>
      <c r="H526" s="72"/>
      <c r="I526" s="72"/>
      <c r="J526" s="72"/>
      <c r="K526" s="72"/>
      <c r="L526" s="72"/>
      <c r="M526" s="72"/>
      <c r="N526" s="72"/>
      <c r="O526" s="120" t="s">
        <v>416</v>
      </c>
      <c r="P526" s="73"/>
      <c r="Q526" s="73"/>
      <c r="R526" s="73"/>
      <c r="S526" s="128"/>
      <c r="T526" s="129">
        <v>100</v>
      </c>
      <c r="U526" s="130"/>
      <c r="V526" s="26" t="s">
        <v>415</v>
      </c>
      <c r="W526" s="130">
        <v>100</v>
      </c>
      <c r="X526" s="130"/>
      <c r="Y526" s="26" t="s">
        <v>415</v>
      </c>
      <c r="Z526" s="130">
        <v>5</v>
      </c>
      <c r="AA526" s="131"/>
      <c r="AB526" s="129">
        <v>150</v>
      </c>
      <c r="AC526" s="130"/>
      <c r="AD526" s="26" t="s">
        <v>415</v>
      </c>
      <c r="AE526" s="130">
        <v>10</v>
      </c>
      <c r="AF526" s="131"/>
      <c r="AG526" s="13"/>
      <c r="AH526" s="11"/>
      <c r="AI526" s="11"/>
      <c r="AJ526" s="11"/>
      <c r="AK526" s="12"/>
      <c r="AL526" s="129" t="s">
        <v>281</v>
      </c>
      <c r="AM526" s="130"/>
      <c r="AN526" s="130"/>
      <c r="AO526" s="130"/>
      <c r="AP526" s="130"/>
      <c r="AQ526" s="131"/>
      <c r="AR526" s="129" t="s">
        <v>246</v>
      </c>
      <c r="AS526" s="130"/>
      <c r="AT526" s="130"/>
      <c r="AU526" s="130"/>
      <c r="AV526" s="131"/>
      <c r="AW526" s="146" t="s">
        <v>345</v>
      </c>
      <c r="AX526" s="146"/>
      <c r="AY526" s="146"/>
      <c r="AZ526" s="146"/>
      <c r="BA526" s="146"/>
      <c r="BB526" s="143" cm="1">
        <f t="array" ref="BB526">IF(O526="kutu profil",(((T526*W526-4*((2*Z526)*(2*Z526)-PI()*(2*Z526)^2/4))-((T526-2*Z526)*(W526-2*Z526)-4*((1*Z526)*(1*Z526)-PI()*(1*Z526)^2/4)))/1000000*7850),IF(O526="boru profil",((PI()*AB526^2/4-PI()*(AB526-2*AE526)^2/4)/1000000*7850),IF(O526="I profil",INDEX($CN$4:$CN$118,MATCH(AL526,$CM$4:$CM$118,0),0),IF(O526="U profil",INDEX($CU$4:$CU$28,MATCH(AR526,$CT$4:$CT$28,0),0),IF(O526="korniyer",INDEX($CR$4:$CR$176,MATCH(AW526,$CQ$4:$CQ$176,0),0),"hatalı")))))</f>
        <v>14.409612674800993</v>
      </c>
      <c r="BC526" s="143"/>
      <c r="BD526" s="143"/>
      <c r="BE526" s="63">
        <f>6*2*2</f>
        <v>24</v>
      </c>
      <c r="BF526" s="63"/>
      <c r="BG526" s="63"/>
      <c r="BH526" s="83">
        <f>+AD462</f>
        <v>3.1666666666666665</v>
      </c>
      <c r="BI526" s="83"/>
      <c r="BJ526" s="83"/>
      <c r="BK526" s="134">
        <f t="shared" si="39"/>
        <v>76</v>
      </c>
      <c r="BL526" s="135"/>
      <c r="BM526" s="136"/>
      <c r="BN526" s="83">
        <f t="shared" si="40"/>
        <v>1095.1305632848755</v>
      </c>
      <c r="BO526" s="83"/>
      <c r="BP526" s="83"/>
      <c r="BQ526" s="83"/>
      <c r="BR526" s="84">
        <v>28</v>
      </c>
      <c r="BS526" s="84"/>
      <c r="BT526" s="84"/>
      <c r="BU526" s="84"/>
      <c r="BV526" s="84"/>
      <c r="BW526" s="84"/>
      <c r="BX526" s="85">
        <f t="shared" si="42"/>
        <v>30663.655771976515</v>
      </c>
      <c r="BY526" s="85"/>
      <c r="BZ526" s="85"/>
      <c r="CA526" s="85"/>
      <c r="CB526" s="86"/>
    </row>
    <row r="527" spans="2:80" x14ac:dyDescent="0.2">
      <c r="B527" s="71" t="s">
        <v>287</v>
      </c>
      <c r="C527" s="72"/>
      <c r="D527" s="72"/>
      <c r="E527" s="72"/>
      <c r="F527" s="72"/>
      <c r="G527" s="72"/>
      <c r="H527" s="72"/>
      <c r="I527" s="72"/>
      <c r="J527" s="72"/>
      <c r="K527" s="72"/>
      <c r="L527" s="72"/>
      <c r="M527" s="72"/>
      <c r="N527" s="72"/>
      <c r="O527" s="120" t="s">
        <v>416</v>
      </c>
      <c r="P527" s="73"/>
      <c r="Q527" s="73"/>
      <c r="R527" s="73"/>
      <c r="S527" s="128"/>
      <c r="T527" s="129">
        <v>150</v>
      </c>
      <c r="U527" s="130"/>
      <c r="V527" s="26" t="s">
        <v>415</v>
      </c>
      <c r="W527" s="130">
        <v>150</v>
      </c>
      <c r="X527" s="130"/>
      <c r="Y527" s="26" t="s">
        <v>415</v>
      </c>
      <c r="Z527" s="130">
        <v>5</v>
      </c>
      <c r="AA527" s="131"/>
      <c r="AB527" s="129">
        <v>150</v>
      </c>
      <c r="AC527" s="130"/>
      <c r="AD527" s="26" t="s">
        <v>415</v>
      </c>
      <c r="AE527" s="130">
        <v>10</v>
      </c>
      <c r="AF527" s="131"/>
      <c r="AG527" s="13"/>
      <c r="AH527" s="11"/>
      <c r="AI527" s="11"/>
      <c r="AJ527" s="11"/>
      <c r="AK527" s="12"/>
      <c r="AL527" s="129" t="s">
        <v>281</v>
      </c>
      <c r="AM527" s="130"/>
      <c r="AN527" s="130"/>
      <c r="AO527" s="130"/>
      <c r="AP527" s="130"/>
      <c r="AQ527" s="131"/>
      <c r="AR527" s="129" t="s">
        <v>246</v>
      </c>
      <c r="AS527" s="130"/>
      <c r="AT527" s="130"/>
      <c r="AU527" s="130"/>
      <c r="AV527" s="131"/>
      <c r="AW527" s="146" t="s">
        <v>345</v>
      </c>
      <c r="AX527" s="146"/>
      <c r="AY527" s="146"/>
      <c r="AZ527" s="146"/>
      <c r="BA527" s="146"/>
      <c r="BB527" s="143" cm="1">
        <f t="array" ref="BB527">IF(O527="kutu profil",(((T527*W527-4*((2*Z527)*(2*Z527)-PI()*(2*Z527)^2/4))-((T527-2*Z527)*(W527-2*Z527)-4*((1*Z527)*(1*Z527)-PI()*(1*Z527)^2/4)))/1000000*7850),IF(O527="boru profil",((PI()*AB527^2/4-PI()*(AB527-2*AE527)^2/4)/1000000*7850),IF(O527="I profil",INDEX($CN$4:$CN$118,MATCH(AL527,$CM$4:$CM$118,0),0),IF(O527="U profil",INDEX($CU$4:$CU$28,MATCH(AR527,$CT$4:$CT$28,0),0),IF(O527="korniyer",INDEX($CR$4:$CR$176,MATCH(AW527,$CQ$4:$CQ$176,0),0),"hatalı")))))</f>
        <v>22.259612674800998</v>
      </c>
      <c r="BC527" s="143"/>
      <c r="BD527" s="143"/>
      <c r="BE527" s="63">
        <f>IF((D456+D459)&lt;AH457,4,8)</f>
        <v>8</v>
      </c>
      <c r="BF527" s="63"/>
      <c r="BG527" s="63"/>
      <c r="BH527" s="83">
        <f>+S462/2</f>
        <v>2.5</v>
      </c>
      <c r="BI527" s="83"/>
      <c r="BJ527" s="83"/>
      <c r="BK527" s="134">
        <f t="shared" si="39"/>
        <v>20</v>
      </c>
      <c r="BL527" s="135"/>
      <c r="BM527" s="136"/>
      <c r="BN527" s="83">
        <f t="shared" si="40"/>
        <v>445.19225349601993</v>
      </c>
      <c r="BO527" s="83"/>
      <c r="BP527" s="83"/>
      <c r="BQ527" s="83"/>
      <c r="BR527" s="84">
        <v>28</v>
      </c>
      <c r="BS527" s="84"/>
      <c r="BT527" s="84"/>
      <c r="BU527" s="84"/>
      <c r="BV527" s="84"/>
      <c r="BW527" s="84"/>
      <c r="BX527" s="85">
        <f t="shared" si="42"/>
        <v>12465.383097888558</v>
      </c>
      <c r="BY527" s="85"/>
      <c r="BZ527" s="85"/>
      <c r="CA527" s="85"/>
      <c r="CB527" s="86"/>
    </row>
    <row r="528" spans="2:80" x14ac:dyDescent="0.2">
      <c r="B528" s="71" t="s">
        <v>555</v>
      </c>
      <c r="C528" s="72"/>
      <c r="D528" s="72"/>
      <c r="E528" s="72"/>
      <c r="F528" s="72"/>
      <c r="G528" s="72"/>
      <c r="H528" s="72"/>
      <c r="I528" s="72"/>
      <c r="J528" s="72"/>
      <c r="K528" s="72"/>
      <c r="L528" s="72"/>
      <c r="M528" s="72"/>
      <c r="N528" s="72"/>
      <c r="O528" s="120" t="s">
        <v>416</v>
      </c>
      <c r="P528" s="73"/>
      <c r="Q528" s="73"/>
      <c r="R528" s="73"/>
      <c r="S528" s="128"/>
      <c r="T528" s="129">
        <v>100</v>
      </c>
      <c r="U528" s="130"/>
      <c r="V528" s="26" t="s">
        <v>415</v>
      </c>
      <c r="W528" s="130">
        <v>100</v>
      </c>
      <c r="X528" s="130"/>
      <c r="Y528" s="26" t="s">
        <v>415</v>
      </c>
      <c r="Z528" s="130">
        <v>3</v>
      </c>
      <c r="AA528" s="131"/>
      <c r="AB528" s="129">
        <v>150</v>
      </c>
      <c r="AC528" s="130"/>
      <c r="AD528" s="26" t="s">
        <v>415</v>
      </c>
      <c r="AE528" s="130">
        <v>10</v>
      </c>
      <c r="AF528" s="131"/>
      <c r="AG528" s="13"/>
      <c r="AH528" s="11"/>
      <c r="AI528" s="11"/>
      <c r="AJ528" s="11"/>
      <c r="AK528" s="12"/>
      <c r="AL528" s="129" t="s">
        <v>281</v>
      </c>
      <c r="AM528" s="130"/>
      <c r="AN528" s="130"/>
      <c r="AO528" s="130"/>
      <c r="AP528" s="130"/>
      <c r="AQ528" s="131"/>
      <c r="AR528" s="129" t="s">
        <v>246</v>
      </c>
      <c r="AS528" s="130"/>
      <c r="AT528" s="130"/>
      <c r="AU528" s="130"/>
      <c r="AV528" s="131"/>
      <c r="AW528" s="146" t="s">
        <v>345</v>
      </c>
      <c r="AX528" s="146"/>
      <c r="AY528" s="146"/>
      <c r="AZ528" s="146"/>
      <c r="BA528" s="146"/>
      <c r="BB528" s="143" cm="1">
        <f t="array" ref="BB528">IF(O528="kutu profil",(((T528*W528-4*((2*Z528)*(2*Z528)-PI()*(2*Z528)^2/4))-((T528-2*Z528)*(W528-2*Z528)-4*((1*Z528)*(1*Z528)-PI()*(1*Z528)^2/4)))/1000000*7850),IF(O528="boru profil",((PI()*AB528^2/4-PI()*(AB528-2*AE528)^2/4)/1000000*7850),IF(O528="I profil",INDEX($CN$4:$CN$118,MATCH(AL528,$CM$4:$CM$118,0),0),IF(O528="U profil",INDEX($CU$4:$CU$28,MATCH(AR528,$CT$4:$CT$28,0),0),IF(O528="korniyer",INDEX($CR$4:$CR$176,MATCH(AW528,$CQ$4:$CQ$176,0),0),"hatalı")))))</f>
        <v>8.955460562928355</v>
      </c>
      <c r="BC528" s="143"/>
      <c r="BD528" s="143"/>
      <c r="BE528" s="63">
        <v>2</v>
      </c>
      <c r="BF528" s="63"/>
      <c r="BG528" s="63"/>
      <c r="BH528" s="83">
        <f>2*(S462+AH457+SQRT(S462^2+AH457^2))</f>
        <v>32.45362404707371</v>
      </c>
      <c r="BI528" s="83"/>
      <c r="BJ528" s="83"/>
      <c r="BK528" s="134">
        <f t="shared" si="39"/>
        <v>64.90724809414742</v>
      </c>
      <c r="BL528" s="135"/>
      <c r="BM528" s="136"/>
      <c r="BN528" s="83">
        <f t="shared" si="40"/>
        <v>581.27430055534387</v>
      </c>
      <c r="BO528" s="83"/>
      <c r="BP528" s="83"/>
      <c r="BQ528" s="83"/>
      <c r="BR528" s="84">
        <v>28</v>
      </c>
      <c r="BS528" s="84"/>
      <c r="BT528" s="84"/>
      <c r="BU528" s="84"/>
      <c r="BV528" s="84"/>
      <c r="BW528" s="84"/>
      <c r="BX528" s="85">
        <f t="shared" si="42"/>
        <v>16275.680415549628</v>
      </c>
      <c r="BY528" s="85"/>
      <c r="BZ528" s="85"/>
      <c r="CA528" s="85"/>
      <c r="CB528" s="86"/>
    </row>
    <row r="529" spans="2:80" x14ac:dyDescent="0.2">
      <c r="B529" s="41" t="s">
        <v>554</v>
      </c>
      <c r="C529" s="42"/>
      <c r="D529" s="42"/>
      <c r="E529" s="42"/>
      <c r="F529" s="42"/>
      <c r="G529" s="42" t="s">
        <v>553</v>
      </c>
      <c r="H529" s="42"/>
      <c r="I529" s="42"/>
      <c r="J529" s="42"/>
      <c r="K529" s="73">
        <v>200</v>
      </c>
      <c r="L529" s="73"/>
      <c r="M529" s="42" t="s">
        <v>272</v>
      </c>
      <c r="N529" s="43"/>
      <c r="O529" s="120" t="s">
        <v>382</v>
      </c>
      <c r="P529" s="73"/>
      <c r="Q529" s="73"/>
      <c r="R529" s="73"/>
      <c r="S529" s="128"/>
      <c r="T529" s="129">
        <v>100</v>
      </c>
      <c r="U529" s="130"/>
      <c r="V529" s="26" t="s">
        <v>415</v>
      </c>
      <c r="W529" s="130">
        <v>100</v>
      </c>
      <c r="X529" s="130"/>
      <c r="Y529" s="26" t="s">
        <v>415</v>
      </c>
      <c r="Z529" s="130">
        <v>3</v>
      </c>
      <c r="AA529" s="131"/>
      <c r="AB529" s="129">
        <v>150</v>
      </c>
      <c r="AC529" s="130"/>
      <c r="AD529" s="26" t="s">
        <v>415</v>
      </c>
      <c r="AE529" s="130">
        <v>10</v>
      </c>
      <c r="AF529" s="131"/>
      <c r="AG529" s="13"/>
      <c r="AH529" s="11"/>
      <c r="AI529" s="11"/>
      <c r="AJ529" s="11"/>
      <c r="AK529" s="12"/>
      <c r="AL529" s="129" t="s">
        <v>281</v>
      </c>
      <c r="AM529" s="130"/>
      <c r="AN529" s="130"/>
      <c r="AO529" s="130"/>
      <c r="AP529" s="130"/>
      <c r="AQ529" s="131"/>
      <c r="AR529" s="129" t="s">
        <v>246</v>
      </c>
      <c r="AS529" s="130"/>
      <c r="AT529" s="130"/>
      <c r="AU529" s="130"/>
      <c r="AV529" s="131"/>
      <c r="AW529" s="146" t="s">
        <v>345</v>
      </c>
      <c r="AX529" s="146"/>
      <c r="AY529" s="146"/>
      <c r="AZ529" s="146"/>
      <c r="BA529" s="146"/>
      <c r="BB529" s="143" cm="1">
        <f t="array" ref="BB529">IF(O529="kutu profil",(((T529*W529-4*((2*Z529)*(2*Z529)-PI()*(2*Z529)^2/4))-((T529-2*Z529)*(W529-2*Z529)-4*((1*Z529)*(1*Z529)-PI()*(1*Z529)^2/4)))/1000000*7850),IF(O529="boru profil",((PI()*AB529^2/4-PI()*(AB529-2*AE529)^2/4)/1000000*7850),IF(O529="I profil",INDEX($CN$4:$CN$118,MATCH(AL529,$CM$4:$CM$118,0),0),IF(O529="U profil",INDEX($CU$4:$CU$28,MATCH(AR529,$CT$4:$CT$28,0),0),IF(O529="korniyer",INDEX($CR$4:$CR$176,MATCH(AW529,$CQ$4:$CQ$176,0),0),"hatalı")))))</f>
        <v>13.4</v>
      </c>
      <c r="BC529" s="143"/>
      <c r="BD529" s="143"/>
      <c r="BE529" s="63">
        <f>BE518+12</f>
        <v>28</v>
      </c>
      <c r="BF529" s="63"/>
      <c r="BG529" s="63"/>
      <c r="BH529" s="83">
        <f>+K529/1000</f>
        <v>0.2</v>
      </c>
      <c r="BI529" s="83"/>
      <c r="BJ529" s="83"/>
      <c r="BK529" s="134">
        <f t="shared" si="39"/>
        <v>5.6000000000000005</v>
      </c>
      <c r="BL529" s="135"/>
      <c r="BM529" s="136"/>
      <c r="BN529" s="83">
        <f t="shared" si="40"/>
        <v>75.040000000000006</v>
      </c>
      <c r="BO529" s="83"/>
      <c r="BP529" s="83"/>
      <c r="BQ529" s="83"/>
      <c r="BR529" s="84">
        <v>28</v>
      </c>
      <c r="BS529" s="84"/>
      <c r="BT529" s="84"/>
      <c r="BU529" s="84"/>
      <c r="BV529" s="84"/>
      <c r="BW529" s="84"/>
      <c r="BX529" s="85">
        <f t="shared" si="42"/>
        <v>2101.1200000000003</v>
      </c>
      <c r="BY529" s="85"/>
      <c r="BZ529" s="85"/>
      <c r="CA529" s="85"/>
      <c r="CB529" s="86"/>
    </row>
    <row r="530" spans="2:80" x14ac:dyDescent="0.2">
      <c r="B530" s="71" t="s">
        <v>275</v>
      </c>
      <c r="C530" s="72"/>
      <c r="D530" s="72"/>
      <c r="E530" s="72"/>
      <c r="F530" s="72"/>
      <c r="G530" s="72"/>
      <c r="H530" s="72"/>
      <c r="I530" s="72"/>
      <c r="J530" s="72"/>
      <c r="K530" s="72"/>
      <c r="L530" s="72"/>
      <c r="M530" s="72"/>
      <c r="N530" s="72"/>
      <c r="O530" s="13" t="s">
        <v>271</v>
      </c>
      <c r="P530" s="73">
        <v>800</v>
      </c>
      <c r="Q530" s="73"/>
      <c r="R530" s="11" t="s">
        <v>272</v>
      </c>
      <c r="S530" s="11"/>
      <c r="T530" s="11" t="s">
        <v>273</v>
      </c>
      <c r="U530" s="73">
        <v>450</v>
      </c>
      <c r="V530" s="73"/>
      <c r="W530" s="11" t="s">
        <v>272</v>
      </c>
      <c r="X530" s="11"/>
      <c r="Y530" s="11" t="s">
        <v>274</v>
      </c>
      <c r="Z530" s="73">
        <v>30</v>
      </c>
      <c r="AA530" s="73"/>
      <c r="AB530" s="11" t="s">
        <v>272</v>
      </c>
      <c r="AC530" s="11"/>
      <c r="AD530" s="11"/>
      <c r="AE530" s="11"/>
      <c r="AF530" s="11"/>
      <c r="AG530" s="11"/>
      <c r="AH530" s="11"/>
      <c r="AI530" s="11"/>
      <c r="AJ530" s="11"/>
      <c r="AK530" s="11"/>
      <c r="AL530" s="11"/>
      <c r="AM530" s="11"/>
      <c r="AN530" s="11"/>
      <c r="AO530" s="11"/>
      <c r="AP530" s="11"/>
      <c r="AQ530" s="11"/>
      <c r="AR530" s="11"/>
      <c r="AS530" s="11"/>
      <c r="AT530" s="11"/>
      <c r="AU530" s="11"/>
      <c r="AV530" s="11"/>
      <c r="AW530" s="11"/>
      <c r="AX530" s="11"/>
      <c r="AY530" s="11"/>
      <c r="AZ530" s="11"/>
      <c r="BA530" s="12"/>
      <c r="BB530" s="63" t="s">
        <v>276</v>
      </c>
      <c r="BC530" s="63"/>
      <c r="BD530" s="63"/>
      <c r="BE530" s="63">
        <f>+BE518</f>
        <v>16</v>
      </c>
      <c r="BF530" s="63"/>
      <c r="BG530" s="63"/>
      <c r="BH530" s="62" t="s">
        <v>276</v>
      </c>
      <c r="BI530" s="62"/>
      <c r="BJ530" s="62"/>
      <c r="BK530" s="62" t="s">
        <v>276</v>
      </c>
      <c r="BL530" s="62"/>
      <c r="BM530" s="62"/>
      <c r="BN530" s="83">
        <f t="shared" ref="BN530:BN534" si="43">P530/1000*U530/1000*Z530/1000*7850*BE530</f>
        <v>1356.4799999999998</v>
      </c>
      <c r="BO530" s="83"/>
      <c r="BP530" s="83"/>
      <c r="BQ530" s="83"/>
      <c r="BR530" s="84">
        <v>28</v>
      </c>
      <c r="BS530" s="84"/>
      <c r="BT530" s="84"/>
      <c r="BU530" s="84"/>
      <c r="BV530" s="84"/>
      <c r="BW530" s="84"/>
      <c r="BX530" s="85">
        <f t="shared" si="42"/>
        <v>37981.439999999995</v>
      </c>
      <c r="BY530" s="85"/>
      <c r="BZ530" s="85"/>
      <c r="CA530" s="85"/>
      <c r="CB530" s="86"/>
    </row>
    <row r="531" spans="2:80" x14ac:dyDescent="0.2">
      <c r="B531" s="71" t="s">
        <v>442</v>
      </c>
      <c r="C531" s="72"/>
      <c r="D531" s="72"/>
      <c r="E531" s="72"/>
      <c r="F531" s="72"/>
      <c r="G531" s="72"/>
      <c r="H531" s="72"/>
      <c r="I531" s="72"/>
      <c r="J531" s="72"/>
      <c r="K531" s="72"/>
      <c r="L531" s="72"/>
      <c r="M531" s="72"/>
      <c r="N531" s="72"/>
      <c r="O531" s="13" t="s">
        <v>271</v>
      </c>
      <c r="P531" s="73">
        <v>350</v>
      </c>
      <c r="Q531" s="73"/>
      <c r="R531" s="11" t="s">
        <v>272</v>
      </c>
      <c r="S531" s="11"/>
      <c r="T531" s="11" t="s">
        <v>273</v>
      </c>
      <c r="U531" s="73">
        <v>350</v>
      </c>
      <c r="V531" s="73"/>
      <c r="W531" s="11" t="s">
        <v>272</v>
      </c>
      <c r="X531" s="11"/>
      <c r="Y531" s="11" t="s">
        <v>274</v>
      </c>
      <c r="Z531" s="73">
        <v>20</v>
      </c>
      <c r="AA531" s="73"/>
      <c r="AB531" s="11" t="s">
        <v>272</v>
      </c>
      <c r="AC531" s="11"/>
      <c r="AD531" s="11"/>
      <c r="AE531" s="11"/>
      <c r="AF531" s="11"/>
      <c r="AG531" s="11"/>
      <c r="AH531" s="11"/>
      <c r="AI531" s="11"/>
      <c r="AJ531" s="11"/>
      <c r="AK531" s="11"/>
      <c r="AL531" s="11"/>
      <c r="AM531" s="11"/>
      <c r="AN531" s="11"/>
      <c r="AO531" s="11"/>
      <c r="AP531" s="11"/>
      <c r="AQ531" s="11"/>
      <c r="AR531" s="11"/>
      <c r="AS531" s="11"/>
      <c r="AT531" s="11"/>
      <c r="AU531" s="11"/>
      <c r="AV531" s="11"/>
      <c r="AW531" s="11"/>
      <c r="AX531" s="11"/>
      <c r="AY531" s="11"/>
      <c r="AZ531" s="11"/>
      <c r="BA531" s="12"/>
      <c r="BB531" s="63" t="s">
        <v>276</v>
      </c>
      <c r="BC531" s="63"/>
      <c r="BD531" s="63"/>
      <c r="BE531" s="63">
        <f>6*2</f>
        <v>12</v>
      </c>
      <c r="BF531" s="63"/>
      <c r="BG531" s="63"/>
      <c r="BH531" s="62" t="s">
        <v>276</v>
      </c>
      <c r="BI531" s="62"/>
      <c r="BJ531" s="62"/>
      <c r="BK531" s="62" t="s">
        <v>276</v>
      </c>
      <c r="BL531" s="62"/>
      <c r="BM531" s="62"/>
      <c r="BN531" s="83">
        <f t="shared" si="43"/>
        <v>230.78999999999996</v>
      </c>
      <c r="BO531" s="83"/>
      <c r="BP531" s="83"/>
      <c r="BQ531" s="83"/>
      <c r="BR531" s="84">
        <v>28</v>
      </c>
      <c r="BS531" s="84"/>
      <c r="BT531" s="84"/>
      <c r="BU531" s="84"/>
      <c r="BV531" s="84"/>
      <c r="BW531" s="84"/>
      <c r="BX531" s="85">
        <f t="shared" si="42"/>
        <v>6462.119999999999</v>
      </c>
      <c r="BY531" s="85"/>
      <c r="BZ531" s="85"/>
      <c r="CA531" s="85"/>
      <c r="CB531" s="86"/>
    </row>
    <row r="532" spans="2:80" x14ac:dyDescent="0.2">
      <c r="B532" s="71" t="s">
        <v>277</v>
      </c>
      <c r="C532" s="72"/>
      <c r="D532" s="72"/>
      <c r="E532" s="72"/>
      <c r="F532" s="72"/>
      <c r="G532" s="72"/>
      <c r="H532" s="72"/>
      <c r="I532" s="72"/>
      <c r="J532" s="72"/>
      <c r="K532" s="72"/>
      <c r="L532" s="72"/>
      <c r="M532" s="72"/>
      <c r="N532" s="72"/>
      <c r="O532" s="13" t="s">
        <v>271</v>
      </c>
      <c r="P532" s="73">
        <v>200</v>
      </c>
      <c r="Q532" s="73"/>
      <c r="R532" s="11" t="s">
        <v>272</v>
      </c>
      <c r="S532" s="11"/>
      <c r="T532" s="11" t="s">
        <v>273</v>
      </c>
      <c r="U532" s="73">
        <v>200</v>
      </c>
      <c r="V532" s="73"/>
      <c r="W532" s="11" t="s">
        <v>272</v>
      </c>
      <c r="X532" s="11"/>
      <c r="Y532" s="11" t="s">
        <v>274</v>
      </c>
      <c r="Z532" s="73">
        <v>15</v>
      </c>
      <c r="AA532" s="73"/>
      <c r="AB532" s="11" t="s">
        <v>272</v>
      </c>
      <c r="AC532" s="11"/>
      <c r="AD532" s="11"/>
      <c r="AE532" s="11"/>
      <c r="AF532" s="11"/>
      <c r="AG532" s="11"/>
      <c r="AH532" s="11"/>
      <c r="AI532" s="11"/>
      <c r="AJ532" s="11"/>
      <c r="AK532" s="11"/>
      <c r="AL532" s="11"/>
      <c r="AM532" s="11"/>
      <c r="AN532" s="11"/>
      <c r="AO532" s="11"/>
      <c r="AP532" s="11"/>
      <c r="AQ532" s="11"/>
      <c r="AR532" s="11"/>
      <c r="AS532" s="11"/>
      <c r="AT532" s="11"/>
      <c r="AU532" s="11"/>
      <c r="AV532" s="11"/>
      <c r="AW532" s="11"/>
      <c r="AX532" s="11"/>
      <c r="AY532" s="11"/>
      <c r="AZ532" s="11"/>
      <c r="BA532" s="12"/>
      <c r="BB532" s="63" t="s">
        <v>276</v>
      </c>
      <c r="BC532" s="63"/>
      <c r="BD532" s="63"/>
      <c r="BE532" s="63" cm="1">
        <f t="array" ref="BE532">INDEX(BP450:BP460,MATCH(C432,BO450:BO460,0),0)*3*2</f>
        <v>18</v>
      </c>
      <c r="BF532" s="63"/>
      <c r="BG532" s="63"/>
      <c r="BH532" s="62" t="s">
        <v>276</v>
      </c>
      <c r="BI532" s="62"/>
      <c r="BJ532" s="62"/>
      <c r="BK532" s="62" t="s">
        <v>276</v>
      </c>
      <c r="BL532" s="62"/>
      <c r="BM532" s="62"/>
      <c r="BN532" s="83">
        <f t="shared" si="43"/>
        <v>84.78</v>
      </c>
      <c r="BO532" s="83"/>
      <c r="BP532" s="83"/>
      <c r="BQ532" s="83"/>
      <c r="BR532" s="84">
        <v>28</v>
      </c>
      <c r="BS532" s="84"/>
      <c r="BT532" s="84"/>
      <c r="BU532" s="84"/>
      <c r="BV532" s="84"/>
      <c r="BW532" s="84"/>
      <c r="BX532" s="85">
        <f t="shared" si="42"/>
        <v>2373.84</v>
      </c>
      <c r="BY532" s="85"/>
      <c r="BZ532" s="85"/>
      <c r="CA532" s="85"/>
      <c r="CB532" s="86"/>
    </row>
    <row r="533" spans="2:80" x14ac:dyDescent="0.2">
      <c r="B533" s="71" t="s">
        <v>467</v>
      </c>
      <c r="C533" s="72"/>
      <c r="D533" s="72"/>
      <c r="E533" s="72"/>
      <c r="F533" s="72"/>
      <c r="G533" s="72"/>
      <c r="H533" s="72"/>
      <c r="I533" s="72"/>
      <c r="J533" s="72"/>
      <c r="K533" s="72"/>
      <c r="L533" s="72"/>
      <c r="M533" s="72"/>
      <c r="N533" s="72"/>
      <c r="O533" s="13" t="s">
        <v>271</v>
      </c>
      <c r="P533" s="73">
        <v>200</v>
      </c>
      <c r="Q533" s="73"/>
      <c r="R533" s="11" t="s">
        <v>272</v>
      </c>
      <c r="S533" s="11"/>
      <c r="T533" s="11" t="s">
        <v>273</v>
      </c>
      <c r="U533" s="73">
        <v>200</v>
      </c>
      <c r="V533" s="73"/>
      <c r="W533" s="11" t="s">
        <v>272</v>
      </c>
      <c r="X533" s="11"/>
      <c r="Y533" s="11" t="s">
        <v>274</v>
      </c>
      <c r="Z533" s="73">
        <v>10</v>
      </c>
      <c r="AA533" s="73"/>
      <c r="AB533" s="11" t="s">
        <v>272</v>
      </c>
      <c r="AC533" s="11"/>
      <c r="AD533" s="11"/>
      <c r="AE533" s="11"/>
      <c r="AF533" s="11"/>
      <c r="AG533" s="11"/>
      <c r="AH533" s="11"/>
      <c r="AI533" s="11"/>
      <c r="AJ533" s="11"/>
      <c r="AK533" s="11"/>
      <c r="AL533" s="11"/>
      <c r="AM533" s="11"/>
      <c r="AN533" s="11"/>
      <c r="AO533" s="11"/>
      <c r="AP533" s="11"/>
      <c r="AQ533" s="11"/>
      <c r="AR533" s="11"/>
      <c r="AS533" s="11"/>
      <c r="AT533" s="11"/>
      <c r="AU533" s="11"/>
      <c r="AV533" s="11"/>
      <c r="AW533" s="11"/>
      <c r="AX533" s="11"/>
      <c r="AY533" s="11"/>
      <c r="AZ533" s="11"/>
      <c r="BA533" s="12"/>
      <c r="BB533" s="63" t="s">
        <v>276</v>
      </c>
      <c r="BC533" s="63"/>
      <c r="BD533" s="63"/>
      <c r="BE533" s="63" cm="1">
        <f t="array" ref="BE533">INDEX(BP450:BP460,MATCH(C432,BO450:BO460,0),0)*2*2+INDEX(BQ450:BQ460,MATCH(C432,BO450:BO460,0),0)*2</f>
        <v>20</v>
      </c>
      <c r="BF533" s="63"/>
      <c r="BG533" s="63"/>
      <c r="BH533" s="62" t="s">
        <v>276</v>
      </c>
      <c r="BI533" s="62"/>
      <c r="BJ533" s="62"/>
      <c r="BK533" s="62" t="s">
        <v>276</v>
      </c>
      <c r="BL533" s="62"/>
      <c r="BM533" s="62"/>
      <c r="BN533" s="83">
        <f t="shared" si="43"/>
        <v>62.800000000000004</v>
      </c>
      <c r="BO533" s="83"/>
      <c r="BP533" s="83"/>
      <c r="BQ533" s="83"/>
      <c r="BR533" s="84">
        <v>28</v>
      </c>
      <c r="BS533" s="84"/>
      <c r="BT533" s="84"/>
      <c r="BU533" s="84"/>
      <c r="BV533" s="84"/>
      <c r="BW533" s="84"/>
      <c r="BX533" s="85">
        <f t="shared" si="42"/>
        <v>1758.4</v>
      </c>
      <c r="BY533" s="85"/>
      <c r="BZ533" s="85"/>
      <c r="CA533" s="85"/>
      <c r="CB533" s="86"/>
    </row>
    <row r="534" spans="2:80" x14ac:dyDescent="0.2">
      <c r="B534" s="71" t="s">
        <v>440</v>
      </c>
      <c r="C534" s="72"/>
      <c r="D534" s="72"/>
      <c r="E534" s="72"/>
      <c r="F534" s="72"/>
      <c r="G534" s="72"/>
      <c r="H534" s="72"/>
      <c r="I534" s="72"/>
      <c r="J534" s="72"/>
      <c r="K534" s="72"/>
      <c r="L534" s="72"/>
      <c r="M534" s="72"/>
      <c r="N534" s="72"/>
      <c r="O534" s="13" t="s">
        <v>271</v>
      </c>
      <c r="P534" s="73">
        <v>200</v>
      </c>
      <c r="Q534" s="73"/>
      <c r="R534" s="11" t="s">
        <v>272</v>
      </c>
      <c r="S534" s="11"/>
      <c r="T534" s="11" t="s">
        <v>273</v>
      </c>
      <c r="U534" s="73">
        <v>200</v>
      </c>
      <c r="V534" s="73"/>
      <c r="W534" s="11" t="s">
        <v>272</v>
      </c>
      <c r="X534" s="11"/>
      <c r="Y534" s="11" t="s">
        <v>274</v>
      </c>
      <c r="Z534" s="73">
        <v>10</v>
      </c>
      <c r="AA534" s="73"/>
      <c r="AB534" s="11" t="s">
        <v>272</v>
      </c>
      <c r="AC534" s="11"/>
      <c r="AD534" s="11"/>
      <c r="AE534" s="11"/>
      <c r="AF534" s="11"/>
      <c r="AG534" s="11"/>
      <c r="AH534" s="11"/>
      <c r="AI534" s="11"/>
      <c r="AJ534" s="11"/>
      <c r="AK534" s="11"/>
      <c r="AL534" s="11"/>
      <c r="AM534" s="11"/>
      <c r="AN534" s="11"/>
      <c r="AO534" s="11"/>
      <c r="AP534" s="11"/>
      <c r="AQ534" s="11"/>
      <c r="AR534" s="11"/>
      <c r="AS534" s="11"/>
      <c r="AT534" s="11"/>
      <c r="AU534" s="11"/>
      <c r="AV534" s="11"/>
      <c r="AW534" s="11"/>
      <c r="AX534" s="11"/>
      <c r="AY534" s="11"/>
      <c r="AZ534" s="11"/>
      <c r="BA534" s="12"/>
      <c r="BB534" s="63" t="s">
        <v>276</v>
      </c>
      <c r="BC534" s="63"/>
      <c r="BD534" s="63"/>
      <c r="BE534" s="63">
        <f>(C432+1)*BK408</f>
        <v>208</v>
      </c>
      <c r="BF534" s="63"/>
      <c r="BG534" s="63"/>
      <c r="BH534" s="62" t="s">
        <v>276</v>
      </c>
      <c r="BI534" s="62"/>
      <c r="BJ534" s="62"/>
      <c r="BK534" s="62" t="s">
        <v>276</v>
      </c>
      <c r="BL534" s="62"/>
      <c r="BM534" s="62"/>
      <c r="BN534" s="83">
        <f t="shared" si="43"/>
        <v>653.12</v>
      </c>
      <c r="BO534" s="83"/>
      <c r="BP534" s="83"/>
      <c r="BQ534" s="83"/>
      <c r="BR534" s="84">
        <v>28</v>
      </c>
      <c r="BS534" s="84"/>
      <c r="BT534" s="84"/>
      <c r="BU534" s="84"/>
      <c r="BV534" s="84"/>
      <c r="BW534" s="84"/>
      <c r="BX534" s="85">
        <f t="shared" si="42"/>
        <v>18287.36</v>
      </c>
      <c r="BY534" s="85"/>
      <c r="BZ534" s="85"/>
      <c r="CA534" s="85"/>
      <c r="CB534" s="86"/>
    </row>
    <row r="535" spans="2:80" x14ac:dyDescent="0.2">
      <c r="B535" s="71" t="s">
        <v>480</v>
      </c>
      <c r="C535" s="72"/>
      <c r="D535" s="72"/>
      <c r="E535" s="72"/>
      <c r="F535" s="72"/>
      <c r="G535" s="72"/>
      <c r="H535" s="72"/>
      <c r="I535" s="72"/>
      <c r="J535" s="72"/>
      <c r="K535" s="72"/>
      <c r="L535" s="72"/>
      <c r="M535" s="72"/>
      <c r="N535" s="72"/>
      <c r="O535" s="13" t="s">
        <v>271</v>
      </c>
      <c r="P535" s="73">
        <v>100</v>
      </c>
      <c r="Q535" s="73"/>
      <c r="R535" s="11" t="s">
        <v>272</v>
      </c>
      <c r="S535" s="11"/>
      <c r="T535" s="11" t="s">
        <v>273</v>
      </c>
      <c r="U535" s="73">
        <v>100</v>
      </c>
      <c r="V535" s="73"/>
      <c r="W535" s="11" t="s">
        <v>272</v>
      </c>
      <c r="X535" s="11"/>
      <c r="Y535" s="11" t="s">
        <v>274</v>
      </c>
      <c r="Z535" s="73">
        <v>10</v>
      </c>
      <c r="AA535" s="73"/>
      <c r="AB535" s="11" t="s">
        <v>272</v>
      </c>
      <c r="AC535" s="11"/>
      <c r="AD535" s="11"/>
      <c r="AE535" s="11"/>
      <c r="AF535" s="11"/>
      <c r="AG535" s="11"/>
      <c r="AH535" s="11"/>
      <c r="AI535" s="11"/>
      <c r="AJ535" s="11"/>
      <c r="AK535" s="11"/>
      <c r="AL535" s="11"/>
      <c r="AM535" s="11"/>
      <c r="AN535" s="11"/>
      <c r="AO535" s="11"/>
      <c r="AP535" s="11"/>
      <c r="AQ535" s="11"/>
      <c r="AR535" s="11"/>
      <c r="AS535" s="11"/>
      <c r="AT535" s="11"/>
      <c r="AU535" s="11"/>
      <c r="AV535" s="11"/>
      <c r="AW535" s="11"/>
      <c r="AX535" s="11"/>
      <c r="AY535" s="11"/>
      <c r="AZ535" s="11"/>
      <c r="BA535" s="12"/>
      <c r="BB535" s="63" t="s">
        <v>276</v>
      </c>
      <c r="BC535" s="63"/>
      <c r="BD535" s="63"/>
      <c r="BE535" s="63" cm="1">
        <f t="array" ref="BE535">((C432)*4+INDEX(BP450:BP460,MATCH(C432,BO450:BO460,0),0)*4)*2</f>
        <v>80</v>
      </c>
      <c r="BF535" s="63"/>
      <c r="BG535" s="63"/>
      <c r="BH535" s="62" t="s">
        <v>276</v>
      </c>
      <c r="BI535" s="62"/>
      <c r="BJ535" s="62"/>
      <c r="BK535" s="62" t="s">
        <v>276</v>
      </c>
      <c r="BL535" s="62"/>
      <c r="BM535" s="62"/>
      <c r="BN535" s="83">
        <f>P535/1000*U535/1000*Z535/1000*7850*BE535</f>
        <v>62.800000000000004</v>
      </c>
      <c r="BO535" s="83"/>
      <c r="BP535" s="83"/>
      <c r="BQ535" s="83"/>
      <c r="BR535" s="84">
        <v>28</v>
      </c>
      <c r="BS535" s="84"/>
      <c r="BT535" s="84"/>
      <c r="BU535" s="84"/>
      <c r="BV535" s="84"/>
      <c r="BW535" s="84"/>
      <c r="BX535" s="85">
        <f>BR535*BN535</f>
        <v>1758.4</v>
      </c>
      <c r="BY535" s="85"/>
      <c r="BZ535" s="85"/>
      <c r="CA535" s="85"/>
      <c r="CB535" s="86"/>
    </row>
    <row r="536" spans="2:80" x14ac:dyDescent="0.2">
      <c r="B536" s="71" t="s">
        <v>475</v>
      </c>
      <c r="C536" s="72"/>
      <c r="D536" s="72"/>
      <c r="E536" s="72"/>
      <c r="F536" s="72"/>
      <c r="G536" s="72"/>
      <c r="H536" s="72"/>
      <c r="I536" s="72"/>
      <c r="J536" s="72"/>
      <c r="K536" s="72"/>
      <c r="L536" s="72"/>
      <c r="M536" s="72"/>
      <c r="N536" s="72"/>
      <c r="O536" s="13" t="s">
        <v>271</v>
      </c>
      <c r="P536" s="73">
        <v>80</v>
      </c>
      <c r="Q536" s="73"/>
      <c r="R536" s="11" t="s">
        <v>272</v>
      </c>
      <c r="S536" s="11"/>
      <c r="T536" s="11" t="s">
        <v>273</v>
      </c>
      <c r="U536" s="73">
        <v>80</v>
      </c>
      <c r="V536" s="73"/>
      <c r="W536" s="11" t="s">
        <v>272</v>
      </c>
      <c r="X536" s="11"/>
      <c r="Y536" s="11" t="s">
        <v>274</v>
      </c>
      <c r="Z536" s="73">
        <v>5</v>
      </c>
      <c r="AA536" s="73"/>
      <c r="AB536" s="11" t="s">
        <v>272</v>
      </c>
      <c r="AC536" s="11"/>
      <c r="AD536" s="11"/>
      <c r="AE536" s="11"/>
      <c r="AF536" s="11"/>
      <c r="AG536" s="11"/>
      <c r="AH536" s="11"/>
      <c r="AI536" s="11"/>
      <c r="AJ536" s="11"/>
      <c r="AK536" s="11"/>
      <c r="AL536" s="11"/>
      <c r="AM536" s="11"/>
      <c r="AN536" s="11"/>
      <c r="AO536" s="11"/>
      <c r="AP536" s="11"/>
      <c r="AQ536" s="11"/>
      <c r="AR536" s="11"/>
      <c r="AS536" s="11"/>
      <c r="AT536" s="11"/>
      <c r="AU536" s="11"/>
      <c r="AV536" s="11"/>
      <c r="AW536" s="11"/>
      <c r="AX536" s="11"/>
      <c r="AY536" s="11"/>
      <c r="AZ536" s="11"/>
      <c r="BA536" s="12"/>
      <c r="BB536" s="63" t="s">
        <v>276</v>
      </c>
      <c r="BC536" s="63"/>
      <c r="BD536" s="63"/>
      <c r="BE536" s="63">
        <f>(C432+1)*AL414</f>
        <v>112</v>
      </c>
      <c r="BF536" s="63"/>
      <c r="BG536" s="63"/>
      <c r="BH536" s="62" t="s">
        <v>276</v>
      </c>
      <c r="BI536" s="62"/>
      <c r="BJ536" s="62"/>
      <c r="BK536" s="62" t="s">
        <v>276</v>
      </c>
      <c r="BL536" s="62"/>
      <c r="BM536" s="62"/>
      <c r="BN536" s="83">
        <f>P536/1000*U536/1000*Z536/1000*7850*BE536</f>
        <v>28.134399999999999</v>
      </c>
      <c r="BO536" s="83"/>
      <c r="BP536" s="83"/>
      <c r="BQ536" s="83"/>
      <c r="BR536" s="84">
        <v>28</v>
      </c>
      <c r="BS536" s="84"/>
      <c r="BT536" s="84"/>
      <c r="BU536" s="84"/>
      <c r="BV536" s="84"/>
      <c r="BW536" s="84"/>
      <c r="BX536" s="85">
        <f t="shared" si="42"/>
        <v>787.76319999999998</v>
      </c>
      <c r="BY536" s="85"/>
      <c r="BZ536" s="85"/>
      <c r="CA536" s="85"/>
      <c r="CB536" s="86"/>
    </row>
    <row r="537" spans="2:80" x14ac:dyDescent="0.2">
      <c r="B537" s="71" t="s">
        <v>482</v>
      </c>
      <c r="C537" s="72"/>
      <c r="D537" s="72"/>
      <c r="E537" s="72"/>
      <c r="F537" s="72"/>
      <c r="G537" s="72"/>
      <c r="H537" s="72"/>
      <c r="I537" s="72"/>
      <c r="J537" s="72"/>
      <c r="K537" s="72"/>
      <c r="L537" s="72"/>
      <c r="M537" s="72"/>
      <c r="N537" s="72"/>
      <c r="O537" s="13" t="s">
        <v>271</v>
      </c>
      <c r="P537" s="73">
        <v>80</v>
      </c>
      <c r="Q537" s="73"/>
      <c r="R537" s="11" t="s">
        <v>272</v>
      </c>
      <c r="S537" s="11"/>
      <c r="T537" s="11" t="s">
        <v>273</v>
      </c>
      <c r="U537" s="73">
        <v>80</v>
      </c>
      <c r="V537" s="73"/>
      <c r="W537" s="11" t="s">
        <v>272</v>
      </c>
      <c r="X537" s="11"/>
      <c r="Y537" s="11" t="s">
        <v>274</v>
      </c>
      <c r="Z537" s="73">
        <v>5</v>
      </c>
      <c r="AA537" s="73"/>
      <c r="AB537" s="11" t="s">
        <v>272</v>
      </c>
      <c r="AC537" s="11"/>
      <c r="AD537" s="11"/>
      <c r="AE537" s="11"/>
      <c r="AF537" s="11"/>
      <c r="AG537" s="11"/>
      <c r="AH537" s="11"/>
      <c r="AI537" s="11"/>
      <c r="AJ537" s="11"/>
      <c r="AK537" s="11"/>
      <c r="AL537" s="11"/>
      <c r="AM537" s="11"/>
      <c r="AN537" s="11"/>
      <c r="AO537" s="11"/>
      <c r="AP537" s="11"/>
      <c r="AQ537" s="11"/>
      <c r="AR537" s="11"/>
      <c r="AS537" s="11"/>
      <c r="AT537" s="11"/>
      <c r="AU537" s="11"/>
      <c r="AV537" s="11"/>
      <c r="AW537" s="11"/>
      <c r="AX537" s="11"/>
      <c r="AY537" s="11"/>
      <c r="AZ537" s="11"/>
      <c r="BA537" s="12"/>
      <c r="BB537" s="63" t="s">
        <v>276</v>
      </c>
      <c r="BC537" s="63"/>
      <c r="BD537" s="63"/>
      <c r="BE537" s="63" cm="1">
        <f t="array" ref="BE537">INDEX(BP450:BP460,MATCH(C432,BO450:BO460,0),0)*8*2</f>
        <v>48</v>
      </c>
      <c r="BF537" s="63"/>
      <c r="BG537" s="63"/>
      <c r="BH537" s="62" t="s">
        <v>276</v>
      </c>
      <c r="BI537" s="62"/>
      <c r="BJ537" s="62"/>
      <c r="BK537" s="62" t="s">
        <v>276</v>
      </c>
      <c r="BL537" s="62"/>
      <c r="BM537" s="62"/>
      <c r="BN537" s="83">
        <f>P537/1000*U537/1000*Z537/1000*7850*BE537</f>
        <v>12.057599999999999</v>
      </c>
      <c r="BO537" s="83"/>
      <c r="BP537" s="83"/>
      <c r="BQ537" s="83"/>
      <c r="BR537" s="84">
        <v>28</v>
      </c>
      <c r="BS537" s="84"/>
      <c r="BT537" s="84"/>
      <c r="BU537" s="84"/>
      <c r="BV537" s="84"/>
      <c r="BW537" s="84"/>
      <c r="BX537" s="85">
        <f t="shared" si="42"/>
        <v>337.61279999999999</v>
      </c>
      <c r="BY537" s="85"/>
      <c r="BZ537" s="85"/>
      <c r="CA537" s="85"/>
      <c r="CB537" s="86"/>
    </row>
    <row r="538" spans="2:80" x14ac:dyDescent="0.2">
      <c r="B538" s="71" t="s">
        <v>476</v>
      </c>
      <c r="C538" s="72"/>
      <c r="D538" s="72"/>
      <c r="E538" s="72"/>
      <c r="F538" s="72"/>
      <c r="G538" s="72"/>
      <c r="H538" s="72"/>
      <c r="I538" s="72"/>
      <c r="J538" s="72"/>
      <c r="K538" s="72"/>
      <c r="L538" s="72"/>
      <c r="M538" s="72"/>
      <c r="N538" s="72"/>
      <c r="O538" s="13" t="s">
        <v>271</v>
      </c>
      <c r="P538" s="73">
        <v>80</v>
      </c>
      <c r="Q538" s="73"/>
      <c r="R538" s="11" t="s">
        <v>272</v>
      </c>
      <c r="S538" s="11"/>
      <c r="T538" s="11" t="s">
        <v>273</v>
      </c>
      <c r="U538" s="73">
        <v>80</v>
      </c>
      <c r="V538" s="73"/>
      <c r="W538" s="11" t="s">
        <v>272</v>
      </c>
      <c r="X538" s="11"/>
      <c r="Y538" s="11" t="s">
        <v>274</v>
      </c>
      <c r="Z538" s="73">
        <v>5</v>
      </c>
      <c r="AA538" s="73"/>
      <c r="AB538" s="11" t="s">
        <v>272</v>
      </c>
      <c r="AC538" s="11"/>
      <c r="AD538" s="11"/>
      <c r="AE538" s="11"/>
      <c r="AF538" s="11"/>
      <c r="AG538" s="11"/>
      <c r="AH538" s="11"/>
      <c r="AI538" s="11"/>
      <c r="AJ538" s="11"/>
      <c r="AK538" s="11"/>
      <c r="AL538" s="11"/>
      <c r="AM538" s="11"/>
      <c r="AN538" s="11"/>
      <c r="AO538" s="11"/>
      <c r="AP538" s="11"/>
      <c r="AQ538" s="11"/>
      <c r="AR538" s="11"/>
      <c r="AS538" s="11"/>
      <c r="AT538" s="11"/>
      <c r="AU538" s="11"/>
      <c r="AV538" s="11"/>
      <c r="AW538" s="11"/>
      <c r="AX538" s="11"/>
      <c r="AY538" s="11"/>
      <c r="AZ538" s="11"/>
      <c r="BA538" s="12"/>
      <c r="BB538" s="63" t="s">
        <v>276</v>
      </c>
      <c r="BC538" s="63"/>
      <c r="BD538" s="63"/>
      <c r="BE538" s="63" cm="1">
        <f t="array" ref="BE538">INDEX(BQ450:BQ460,MATCH(C432,BO450:BO460,0),0)*2*3*2</f>
        <v>48</v>
      </c>
      <c r="BF538" s="63"/>
      <c r="BG538" s="63"/>
      <c r="BH538" s="62" t="s">
        <v>276</v>
      </c>
      <c r="BI538" s="62"/>
      <c r="BJ538" s="62"/>
      <c r="BK538" s="62" t="s">
        <v>276</v>
      </c>
      <c r="BL538" s="62"/>
      <c r="BM538" s="62"/>
      <c r="BN538" s="83">
        <f>P538/1000*U538/1000*Z538/1000*7850*BE538</f>
        <v>12.057599999999999</v>
      </c>
      <c r="BO538" s="83"/>
      <c r="BP538" s="83"/>
      <c r="BQ538" s="83"/>
      <c r="BR538" s="84">
        <v>28</v>
      </c>
      <c r="BS538" s="84"/>
      <c r="BT538" s="84"/>
      <c r="BU538" s="84"/>
      <c r="BV538" s="84"/>
      <c r="BW538" s="84"/>
      <c r="BX538" s="85">
        <f t="shared" si="42"/>
        <v>337.61279999999999</v>
      </c>
      <c r="BY538" s="85"/>
      <c r="BZ538" s="85"/>
      <c r="CA538" s="85"/>
      <c r="CB538" s="86"/>
    </row>
    <row r="539" spans="2:80" x14ac:dyDescent="0.2">
      <c r="B539" s="71" t="s">
        <v>477</v>
      </c>
      <c r="C539" s="72"/>
      <c r="D539" s="72"/>
      <c r="E539" s="72"/>
      <c r="F539" s="72"/>
      <c r="G539" s="72"/>
      <c r="H539" s="72"/>
      <c r="I539" s="72"/>
      <c r="J539" s="72"/>
      <c r="K539" s="72"/>
      <c r="L539" s="72"/>
      <c r="M539" s="72"/>
      <c r="N539" s="72"/>
      <c r="O539" s="13" t="s">
        <v>271</v>
      </c>
      <c r="P539" s="73">
        <v>80</v>
      </c>
      <c r="Q539" s="73"/>
      <c r="R539" s="11" t="s">
        <v>272</v>
      </c>
      <c r="S539" s="11"/>
      <c r="T539" s="11" t="s">
        <v>273</v>
      </c>
      <c r="U539" s="73">
        <v>80</v>
      </c>
      <c r="V539" s="73"/>
      <c r="W539" s="11" t="s">
        <v>272</v>
      </c>
      <c r="X539" s="11"/>
      <c r="Y539" s="11" t="s">
        <v>274</v>
      </c>
      <c r="Z539" s="73">
        <v>5</v>
      </c>
      <c r="AA539" s="73"/>
      <c r="AB539" s="11" t="s">
        <v>272</v>
      </c>
      <c r="AC539" s="11"/>
      <c r="AD539" s="11"/>
      <c r="AE539" s="11"/>
      <c r="AF539" s="11"/>
      <c r="AG539" s="11"/>
      <c r="AH539" s="11"/>
      <c r="AI539" s="11"/>
      <c r="AJ539" s="11"/>
      <c r="AK539" s="11"/>
      <c r="AL539" s="11"/>
      <c r="AM539" s="11"/>
      <c r="AN539" s="11"/>
      <c r="AO539" s="11"/>
      <c r="AP539" s="11"/>
      <c r="AQ539" s="11"/>
      <c r="AR539" s="11"/>
      <c r="AS539" s="11"/>
      <c r="AT539" s="11"/>
      <c r="AU539" s="11"/>
      <c r="AV539" s="11"/>
      <c r="AW539" s="11"/>
      <c r="AX539" s="11"/>
      <c r="AY539" s="11"/>
      <c r="AZ539" s="11"/>
      <c r="BA539" s="12"/>
      <c r="BB539" s="63" t="s">
        <v>276</v>
      </c>
      <c r="BC539" s="63"/>
      <c r="BD539" s="63"/>
      <c r="BE539" s="63">
        <f>(24*2+IF((D456+D459)&lt;AH457,4,8)*2)</f>
        <v>64</v>
      </c>
      <c r="BF539" s="63"/>
      <c r="BG539" s="63"/>
      <c r="BH539" s="62" t="s">
        <v>276</v>
      </c>
      <c r="BI539" s="62"/>
      <c r="BJ539" s="62"/>
      <c r="BK539" s="62" t="s">
        <v>276</v>
      </c>
      <c r="BL539" s="62"/>
      <c r="BM539" s="62"/>
      <c r="BN539" s="83">
        <f>P539/1000*U539/1000*Z539/1000*7850*BE539</f>
        <v>16.076799999999999</v>
      </c>
      <c r="BO539" s="83"/>
      <c r="BP539" s="83"/>
      <c r="BQ539" s="83"/>
      <c r="BR539" s="84">
        <v>28</v>
      </c>
      <c r="BS539" s="84"/>
      <c r="BT539" s="84"/>
      <c r="BU539" s="84"/>
      <c r="BV539" s="84"/>
      <c r="BW539" s="84"/>
      <c r="BX539" s="85">
        <f t="shared" si="42"/>
        <v>450.15039999999999</v>
      </c>
      <c r="BY539" s="85"/>
      <c r="BZ539" s="85"/>
      <c r="CA539" s="85"/>
      <c r="CB539" s="86"/>
    </row>
    <row r="540" spans="2:80" x14ac:dyDescent="0.2">
      <c r="B540" s="71" t="s">
        <v>560</v>
      </c>
      <c r="C540" s="72"/>
      <c r="D540" s="72"/>
      <c r="E540" s="72"/>
      <c r="F540" s="72"/>
      <c r="G540" s="72"/>
      <c r="H540" s="72"/>
      <c r="I540" s="72"/>
      <c r="J540" s="72"/>
      <c r="K540" s="72"/>
      <c r="L540" s="72"/>
      <c r="M540" s="72"/>
      <c r="N540" s="72"/>
      <c r="O540" s="13" t="s">
        <v>271</v>
      </c>
      <c r="P540" s="73">
        <v>800</v>
      </c>
      <c r="Q540" s="73"/>
      <c r="R540" s="11" t="s">
        <v>272</v>
      </c>
      <c r="S540" s="11"/>
      <c r="T540" s="11" t="s">
        <v>273</v>
      </c>
      <c r="U540" s="73">
        <v>250</v>
      </c>
      <c r="V540" s="73"/>
      <c r="W540" s="11" t="s">
        <v>272</v>
      </c>
      <c r="X540" s="11"/>
      <c r="Y540" s="11" t="s">
        <v>274</v>
      </c>
      <c r="Z540" s="73">
        <v>15</v>
      </c>
      <c r="AA540" s="73"/>
      <c r="AB540" s="11" t="s">
        <v>272</v>
      </c>
      <c r="AC540" s="11"/>
      <c r="AD540" s="11"/>
      <c r="AE540" s="11"/>
      <c r="AF540" s="11"/>
      <c r="AG540" s="11" t="s">
        <v>282</v>
      </c>
      <c r="AH540" s="11"/>
      <c r="AI540" s="11"/>
      <c r="AJ540" s="11"/>
      <c r="AK540" s="11"/>
      <c r="AL540" s="11"/>
      <c r="AM540" s="73">
        <v>2</v>
      </c>
      <c r="AN540" s="73"/>
      <c r="AO540" s="11" t="s">
        <v>433</v>
      </c>
      <c r="AP540" s="11"/>
      <c r="AQ540" s="11"/>
      <c r="AR540" s="11"/>
      <c r="AS540" s="11"/>
      <c r="AT540" s="11"/>
      <c r="AU540" s="11"/>
      <c r="AV540" s="11"/>
      <c r="AW540" s="11"/>
      <c r="AX540" s="11"/>
      <c r="AY540" s="11"/>
      <c r="AZ540" s="11"/>
      <c r="BA540" s="12"/>
      <c r="BB540" s="63" t="s">
        <v>276</v>
      </c>
      <c r="BC540" s="63"/>
      <c r="BD540" s="63"/>
      <c r="BE540" s="63">
        <f>(BE530+BE531)*AM540</f>
        <v>56</v>
      </c>
      <c r="BF540" s="63"/>
      <c r="BG540" s="63"/>
      <c r="BH540" s="62" t="s">
        <v>276</v>
      </c>
      <c r="BI540" s="62"/>
      <c r="BJ540" s="62"/>
      <c r="BK540" s="62" t="s">
        <v>276</v>
      </c>
      <c r="BL540" s="62"/>
      <c r="BM540" s="62"/>
      <c r="BN540" s="83">
        <f t="shared" ref="BN540" si="44">P540/1000*U540/1000*Z540/1000*7850*BE540</f>
        <v>1318.8</v>
      </c>
      <c r="BO540" s="83"/>
      <c r="BP540" s="83"/>
      <c r="BQ540" s="83"/>
      <c r="BR540" s="84">
        <v>28</v>
      </c>
      <c r="BS540" s="84"/>
      <c r="BT540" s="84"/>
      <c r="BU540" s="84"/>
      <c r="BV540" s="84"/>
      <c r="BW540" s="84"/>
      <c r="BX540" s="85">
        <f t="shared" si="42"/>
        <v>36926.400000000001</v>
      </c>
      <c r="BY540" s="85"/>
      <c r="BZ540" s="85"/>
      <c r="CA540" s="85"/>
      <c r="CB540" s="86"/>
    </row>
    <row r="541" spans="2:80" x14ac:dyDescent="0.2">
      <c r="B541" s="71" t="s">
        <v>441</v>
      </c>
      <c r="C541" s="72"/>
      <c r="D541" s="72"/>
      <c r="E541" s="72"/>
      <c r="F541" s="72"/>
      <c r="G541" s="72"/>
      <c r="H541" s="72"/>
      <c r="I541" s="72"/>
      <c r="J541" s="72"/>
      <c r="K541" s="72"/>
      <c r="L541" s="72"/>
      <c r="M541" s="72"/>
      <c r="N541" s="72"/>
      <c r="O541" s="13" t="s">
        <v>278</v>
      </c>
      <c r="P541" s="73">
        <v>16</v>
      </c>
      <c r="Q541" s="73"/>
      <c r="R541" s="11"/>
      <c r="S541" s="11" t="s">
        <v>282</v>
      </c>
      <c r="T541" s="11"/>
      <c r="U541" s="11"/>
      <c r="V541" s="11"/>
      <c r="W541" s="11"/>
      <c r="X541" s="11"/>
      <c r="Y541" s="73">
        <v>3</v>
      </c>
      <c r="Z541" s="73"/>
      <c r="AA541" s="11" t="s">
        <v>433</v>
      </c>
      <c r="AB541" s="11"/>
      <c r="AC541" s="11"/>
      <c r="AD541" s="11"/>
      <c r="AE541" s="11"/>
      <c r="AF541" s="11"/>
      <c r="AG541" s="11"/>
      <c r="AH541" s="11"/>
      <c r="AI541" s="11"/>
      <c r="AJ541" s="11"/>
      <c r="AK541" s="11"/>
      <c r="AL541" s="11"/>
      <c r="AM541" s="11"/>
      <c r="AN541" s="11"/>
      <c r="AO541" s="11"/>
      <c r="AP541" s="11"/>
      <c r="AQ541" s="11"/>
      <c r="AR541" s="11"/>
      <c r="AS541" s="11"/>
      <c r="AT541" s="11"/>
      <c r="AU541" s="11"/>
      <c r="AV541" s="11"/>
      <c r="AW541" s="11"/>
      <c r="AX541" s="11"/>
      <c r="AY541" s="11"/>
      <c r="AZ541" s="11"/>
      <c r="BA541" s="12"/>
      <c r="BB541" s="63" t="s">
        <v>276</v>
      </c>
      <c r="BC541" s="63"/>
      <c r="BD541" s="63"/>
      <c r="BE541" s="63">
        <f>BM408*2*(C432+1)*Y541</f>
        <v>2256</v>
      </c>
      <c r="BF541" s="63"/>
      <c r="BG541" s="63"/>
      <c r="BH541" s="62" t="s">
        <v>276</v>
      </c>
      <c r="BI541" s="62"/>
      <c r="BJ541" s="62"/>
      <c r="BK541" s="62" t="s">
        <v>276</v>
      </c>
      <c r="BL541" s="62"/>
      <c r="BM541" s="62"/>
      <c r="BN541" s="63" t="s">
        <v>276</v>
      </c>
      <c r="BO541" s="63"/>
      <c r="BP541" s="63"/>
      <c r="BQ541" s="63"/>
      <c r="BR541" s="64">
        <v>105</v>
      </c>
      <c r="BS541" s="64"/>
      <c r="BT541" s="64"/>
      <c r="BU541" s="64"/>
      <c r="BV541" s="64"/>
      <c r="BW541" s="64"/>
      <c r="BX541" s="65">
        <f t="shared" ref="BX541:BX549" si="45">BR541*BE541</f>
        <v>236880</v>
      </c>
      <c r="BY541" s="65"/>
      <c r="BZ541" s="65"/>
      <c r="CA541" s="65"/>
      <c r="CB541" s="66"/>
    </row>
    <row r="542" spans="2:80" x14ac:dyDescent="0.2">
      <c r="B542" s="71" t="s">
        <v>481</v>
      </c>
      <c r="C542" s="72"/>
      <c r="D542" s="72"/>
      <c r="E542" s="72"/>
      <c r="F542" s="72"/>
      <c r="G542" s="72"/>
      <c r="H542" s="72"/>
      <c r="I542" s="72"/>
      <c r="J542" s="72"/>
      <c r="K542" s="72"/>
      <c r="L542" s="72"/>
      <c r="M542" s="72"/>
      <c r="N542" s="72"/>
      <c r="O542" s="13" t="s">
        <v>278</v>
      </c>
      <c r="P542" s="73">
        <v>16</v>
      </c>
      <c r="Q542" s="73"/>
      <c r="R542" s="11"/>
      <c r="S542" s="11" t="s">
        <v>282</v>
      </c>
      <c r="T542" s="11"/>
      <c r="U542" s="11"/>
      <c r="V542" s="11"/>
      <c r="W542" s="11"/>
      <c r="X542" s="11"/>
      <c r="Y542" s="73">
        <v>2</v>
      </c>
      <c r="Z542" s="73"/>
      <c r="AA542" s="11" t="s">
        <v>433</v>
      </c>
      <c r="AB542" s="11"/>
      <c r="AC542" s="11"/>
      <c r="AD542" s="11"/>
      <c r="AE542" s="11"/>
      <c r="AF542" s="11"/>
      <c r="AG542" s="11"/>
      <c r="AH542" s="11"/>
      <c r="AI542" s="11"/>
      <c r="AJ542" s="11"/>
      <c r="AK542" s="11"/>
      <c r="AL542" s="11"/>
      <c r="AM542" s="11"/>
      <c r="AN542" s="11"/>
      <c r="AO542" s="11"/>
      <c r="AP542" s="11"/>
      <c r="AQ542" s="11"/>
      <c r="AR542" s="11"/>
      <c r="AS542" s="11"/>
      <c r="AT542" s="11"/>
      <c r="AU542" s="11"/>
      <c r="AV542" s="11"/>
      <c r="AW542" s="11"/>
      <c r="AX542" s="11"/>
      <c r="AY542" s="11"/>
      <c r="AZ542" s="11"/>
      <c r="BA542" s="12"/>
      <c r="BB542" s="63" t="s">
        <v>276</v>
      </c>
      <c r="BC542" s="63"/>
      <c r="BD542" s="63"/>
      <c r="BE542" s="63" cm="1">
        <f t="array" ref="BE542">((C432)*4+INDEX(BP450:BP460,MATCH(C432,BO450:BO460,0),0)*4)*2*Y542</f>
        <v>160</v>
      </c>
      <c r="BF542" s="63"/>
      <c r="BG542" s="63"/>
      <c r="BH542" s="62" t="s">
        <v>276</v>
      </c>
      <c r="BI542" s="62"/>
      <c r="BJ542" s="62"/>
      <c r="BK542" s="62" t="s">
        <v>276</v>
      </c>
      <c r="BL542" s="62"/>
      <c r="BM542" s="62"/>
      <c r="BN542" s="63" t="s">
        <v>276</v>
      </c>
      <c r="BO542" s="63"/>
      <c r="BP542" s="63"/>
      <c r="BQ542" s="63"/>
      <c r="BR542" s="64">
        <v>105</v>
      </c>
      <c r="BS542" s="64"/>
      <c r="BT542" s="64"/>
      <c r="BU542" s="64"/>
      <c r="BV542" s="64"/>
      <c r="BW542" s="64"/>
      <c r="BX542" s="65">
        <f t="shared" si="45"/>
        <v>16800</v>
      </c>
      <c r="BY542" s="65"/>
      <c r="BZ542" s="65"/>
      <c r="CA542" s="65"/>
      <c r="CB542" s="66"/>
    </row>
    <row r="543" spans="2:80" x14ac:dyDescent="0.2">
      <c r="B543" s="71" t="s">
        <v>474</v>
      </c>
      <c r="C543" s="72"/>
      <c r="D543" s="72"/>
      <c r="E543" s="72"/>
      <c r="F543" s="72"/>
      <c r="G543" s="72"/>
      <c r="H543" s="72"/>
      <c r="I543" s="72"/>
      <c r="J543" s="72"/>
      <c r="K543" s="72"/>
      <c r="L543" s="72"/>
      <c r="M543" s="72"/>
      <c r="N543" s="72"/>
      <c r="O543" s="13" t="s">
        <v>278</v>
      </c>
      <c r="P543" s="73">
        <v>12</v>
      </c>
      <c r="Q543" s="73"/>
      <c r="R543" s="11"/>
      <c r="S543" s="11" t="s">
        <v>282</v>
      </c>
      <c r="T543" s="11"/>
      <c r="U543" s="11"/>
      <c r="V543" s="11"/>
      <c r="W543" s="11"/>
      <c r="X543" s="11"/>
      <c r="Y543" s="73">
        <v>2</v>
      </c>
      <c r="Z543" s="73"/>
      <c r="AA543" s="11" t="s">
        <v>433</v>
      </c>
      <c r="AB543" s="11"/>
      <c r="AC543" s="11"/>
      <c r="AD543" s="11"/>
      <c r="AE543" s="11"/>
      <c r="AF543" s="11"/>
      <c r="AG543" s="11"/>
      <c r="AH543" s="11"/>
      <c r="AI543" s="11"/>
      <c r="AJ543" s="11"/>
      <c r="AK543" s="11"/>
      <c r="AL543" s="11"/>
      <c r="AM543" s="11"/>
      <c r="AN543" s="11"/>
      <c r="AO543" s="11"/>
      <c r="AP543" s="11"/>
      <c r="AQ543" s="11"/>
      <c r="AR543" s="11"/>
      <c r="AS543" s="11"/>
      <c r="AT543" s="11"/>
      <c r="AU543" s="11"/>
      <c r="AV543" s="11"/>
      <c r="AW543" s="11"/>
      <c r="AX543" s="11"/>
      <c r="AY543" s="11"/>
      <c r="AZ543" s="11"/>
      <c r="BA543" s="12"/>
      <c r="BB543" s="63" t="s">
        <v>276</v>
      </c>
      <c r="BC543" s="63"/>
      <c r="BD543" s="63"/>
      <c r="BE543" s="63">
        <f>(C432+1)*AL414*Y543</f>
        <v>224</v>
      </c>
      <c r="BF543" s="63"/>
      <c r="BG543" s="63"/>
      <c r="BH543" s="62" t="s">
        <v>276</v>
      </c>
      <c r="BI543" s="62"/>
      <c r="BJ543" s="62"/>
      <c r="BK543" s="62" t="s">
        <v>276</v>
      </c>
      <c r="BL543" s="62"/>
      <c r="BM543" s="62"/>
      <c r="BN543" s="63" t="s">
        <v>276</v>
      </c>
      <c r="BO543" s="63"/>
      <c r="BP543" s="63"/>
      <c r="BQ543" s="63"/>
      <c r="BR543" s="64">
        <v>105</v>
      </c>
      <c r="BS543" s="64"/>
      <c r="BT543" s="64"/>
      <c r="BU543" s="64"/>
      <c r="BV543" s="64"/>
      <c r="BW543" s="64"/>
      <c r="BX543" s="65">
        <f t="shared" si="45"/>
        <v>23520</v>
      </c>
      <c r="BY543" s="65"/>
      <c r="BZ543" s="65"/>
      <c r="CA543" s="65"/>
      <c r="CB543" s="66"/>
    </row>
    <row r="544" spans="2:80" x14ac:dyDescent="0.2">
      <c r="B544" s="71" t="s">
        <v>568</v>
      </c>
      <c r="C544" s="72"/>
      <c r="D544" s="72"/>
      <c r="E544" s="72"/>
      <c r="F544" s="72"/>
      <c r="G544" s="72"/>
      <c r="H544" s="72"/>
      <c r="I544" s="72"/>
      <c r="J544" s="72"/>
      <c r="K544" s="72"/>
      <c r="L544" s="72"/>
      <c r="M544" s="72"/>
      <c r="N544" s="72"/>
      <c r="O544" s="13" t="s">
        <v>278</v>
      </c>
      <c r="P544" s="73">
        <v>16</v>
      </c>
      <c r="Q544" s="73"/>
      <c r="R544" s="11"/>
      <c r="S544" s="11" t="s">
        <v>282</v>
      </c>
      <c r="T544" s="11"/>
      <c r="U544" s="11"/>
      <c r="V544" s="11"/>
      <c r="W544" s="11"/>
      <c r="X544" s="11"/>
      <c r="Y544" s="73">
        <v>4</v>
      </c>
      <c r="Z544" s="73"/>
      <c r="AA544" s="11" t="s">
        <v>433</v>
      </c>
      <c r="AB544" s="11"/>
      <c r="AC544" s="11"/>
      <c r="AD544" s="11"/>
      <c r="AE544" s="11"/>
      <c r="AF544" s="11"/>
      <c r="AG544" s="11"/>
      <c r="AH544" s="11"/>
      <c r="AI544" s="11"/>
      <c r="AJ544" s="11"/>
      <c r="AK544" s="11"/>
      <c r="AL544" s="11"/>
      <c r="AM544" s="11"/>
      <c r="AN544" s="11"/>
      <c r="AO544" s="11"/>
      <c r="AP544" s="11"/>
      <c r="AQ544" s="11"/>
      <c r="AR544" s="11"/>
      <c r="AS544" s="11"/>
      <c r="AT544" s="11"/>
      <c r="AU544" s="11"/>
      <c r="AV544" s="11"/>
      <c r="AW544" s="11"/>
      <c r="AX544" s="11"/>
      <c r="AY544" s="11"/>
      <c r="AZ544" s="11"/>
      <c r="BA544" s="12"/>
      <c r="BB544" s="63" t="s">
        <v>276</v>
      </c>
      <c r="BC544" s="63"/>
      <c r="BD544" s="63"/>
      <c r="BE544" s="63" cm="1">
        <f t="array" ref="BE544">INDEX(BP450:BP460,MATCH(C432,BO450:BO460,0),0)*4*3*2*Y544</f>
        <v>288</v>
      </c>
      <c r="BF544" s="63"/>
      <c r="BG544" s="63"/>
      <c r="BH544" s="62" t="s">
        <v>276</v>
      </c>
      <c r="BI544" s="62"/>
      <c r="BJ544" s="62"/>
      <c r="BK544" s="62" t="s">
        <v>276</v>
      </c>
      <c r="BL544" s="62"/>
      <c r="BM544" s="62"/>
      <c r="BN544" s="63" t="s">
        <v>276</v>
      </c>
      <c r="BO544" s="63"/>
      <c r="BP544" s="63"/>
      <c r="BQ544" s="63"/>
      <c r="BR544" s="64">
        <v>105</v>
      </c>
      <c r="BS544" s="64"/>
      <c r="BT544" s="64"/>
      <c r="BU544" s="64"/>
      <c r="BV544" s="64"/>
      <c r="BW544" s="64"/>
      <c r="BX544" s="65">
        <f t="shared" si="45"/>
        <v>30240</v>
      </c>
      <c r="BY544" s="65"/>
      <c r="BZ544" s="65"/>
      <c r="CA544" s="65"/>
      <c r="CB544" s="66"/>
    </row>
    <row r="545" spans="2:80" x14ac:dyDescent="0.2">
      <c r="B545" s="71" t="s">
        <v>569</v>
      </c>
      <c r="C545" s="72"/>
      <c r="D545" s="72"/>
      <c r="E545" s="72"/>
      <c r="F545" s="72"/>
      <c r="G545" s="72"/>
      <c r="H545" s="72"/>
      <c r="I545" s="72"/>
      <c r="J545" s="72"/>
      <c r="K545" s="72"/>
      <c r="L545" s="72"/>
      <c r="M545" s="72"/>
      <c r="N545" s="72"/>
      <c r="O545" s="13" t="s">
        <v>278</v>
      </c>
      <c r="P545" s="73">
        <v>16</v>
      </c>
      <c r="Q545" s="73"/>
      <c r="R545" s="11"/>
      <c r="S545" s="11" t="s">
        <v>282</v>
      </c>
      <c r="T545" s="11"/>
      <c r="U545" s="11"/>
      <c r="V545" s="11"/>
      <c r="W545" s="11"/>
      <c r="X545" s="11"/>
      <c r="Y545" s="73">
        <v>4</v>
      </c>
      <c r="Z545" s="73"/>
      <c r="AA545" s="11" t="s">
        <v>433</v>
      </c>
      <c r="AB545" s="11"/>
      <c r="AC545" s="11"/>
      <c r="AD545" s="11"/>
      <c r="AE545" s="11"/>
      <c r="AF545" s="11"/>
      <c r="AG545" s="11"/>
      <c r="AH545" s="11"/>
      <c r="AI545" s="11"/>
      <c r="AJ545" s="11"/>
      <c r="AK545" s="11"/>
      <c r="AL545" s="11"/>
      <c r="AM545" s="11"/>
      <c r="AN545" s="11"/>
      <c r="AO545" s="11"/>
      <c r="AP545" s="11"/>
      <c r="AQ545" s="11"/>
      <c r="AR545" s="11"/>
      <c r="AS545" s="11"/>
      <c r="AT545" s="11"/>
      <c r="AU545" s="11"/>
      <c r="AV545" s="11"/>
      <c r="AW545" s="11"/>
      <c r="AX545" s="11"/>
      <c r="AY545" s="11"/>
      <c r="AZ545" s="11"/>
      <c r="BA545" s="12"/>
      <c r="BB545" s="63" t="s">
        <v>276</v>
      </c>
      <c r="BC545" s="63"/>
      <c r="BD545" s="63"/>
      <c r="BE545" s="63" cm="1">
        <f t="array" ref="BE545">INDEX(BP450:BP460,MATCH(C432,BO450:BO460,0),0)*2*3*2*Y545</f>
        <v>144</v>
      </c>
      <c r="BF545" s="63"/>
      <c r="BG545" s="63"/>
      <c r="BH545" s="62" t="s">
        <v>276</v>
      </c>
      <c r="BI545" s="62"/>
      <c r="BJ545" s="62"/>
      <c r="BK545" s="62" t="s">
        <v>276</v>
      </c>
      <c r="BL545" s="62"/>
      <c r="BM545" s="62"/>
      <c r="BN545" s="63" t="s">
        <v>276</v>
      </c>
      <c r="BO545" s="63"/>
      <c r="BP545" s="63"/>
      <c r="BQ545" s="63"/>
      <c r="BR545" s="64">
        <v>105</v>
      </c>
      <c r="BS545" s="64"/>
      <c r="BT545" s="64"/>
      <c r="BU545" s="64"/>
      <c r="BV545" s="64"/>
      <c r="BW545" s="64"/>
      <c r="BX545" s="65">
        <f t="shared" si="45"/>
        <v>15120</v>
      </c>
      <c r="BY545" s="65"/>
      <c r="BZ545" s="65"/>
      <c r="CA545" s="65"/>
      <c r="CB545" s="66"/>
    </row>
    <row r="546" spans="2:80" x14ac:dyDescent="0.2">
      <c r="B546" s="71" t="s">
        <v>478</v>
      </c>
      <c r="C546" s="72"/>
      <c r="D546" s="72"/>
      <c r="E546" s="72"/>
      <c r="F546" s="72"/>
      <c r="G546" s="72"/>
      <c r="H546" s="72"/>
      <c r="I546" s="72"/>
      <c r="J546" s="72"/>
      <c r="K546" s="72"/>
      <c r="L546" s="72"/>
      <c r="M546" s="72"/>
      <c r="N546" s="72"/>
      <c r="O546" s="13" t="s">
        <v>278</v>
      </c>
      <c r="P546" s="73">
        <v>12</v>
      </c>
      <c r="Q546" s="73"/>
      <c r="R546" s="11"/>
      <c r="S546" s="11" t="s">
        <v>282</v>
      </c>
      <c r="T546" s="11"/>
      <c r="U546" s="11"/>
      <c r="V546" s="11"/>
      <c r="W546" s="11"/>
      <c r="X546" s="11"/>
      <c r="Y546" s="73">
        <v>4</v>
      </c>
      <c r="Z546" s="73"/>
      <c r="AA546" s="11" t="s">
        <v>433</v>
      </c>
      <c r="AB546" s="11"/>
      <c r="AC546" s="11"/>
      <c r="AD546" s="11"/>
      <c r="AE546" s="11"/>
      <c r="AF546" s="11"/>
      <c r="AG546" s="11"/>
      <c r="AH546" s="11"/>
      <c r="AI546" s="11"/>
      <c r="AJ546" s="11"/>
      <c r="AK546" s="11"/>
      <c r="AL546" s="11"/>
      <c r="AM546" s="11"/>
      <c r="AN546" s="11"/>
      <c r="AO546" s="11"/>
      <c r="AP546" s="11"/>
      <c r="AQ546" s="11"/>
      <c r="AR546" s="11"/>
      <c r="AS546" s="11"/>
      <c r="AT546" s="11"/>
      <c r="AU546" s="11"/>
      <c r="AV546" s="11"/>
      <c r="AW546" s="11"/>
      <c r="AX546" s="11"/>
      <c r="AY546" s="11"/>
      <c r="AZ546" s="11"/>
      <c r="BA546" s="12"/>
      <c r="BB546" s="63" t="s">
        <v>276</v>
      </c>
      <c r="BC546" s="63"/>
      <c r="BD546" s="63"/>
      <c r="BE546" s="63" cm="1">
        <f t="array" ref="BE546">INDEX(BQ450:BQ460,MATCH(C432,BO450:BO460,0),0)*2*3*2*Y546</f>
        <v>192</v>
      </c>
      <c r="BF546" s="63"/>
      <c r="BG546" s="63"/>
      <c r="BH546" s="62" t="s">
        <v>276</v>
      </c>
      <c r="BI546" s="62"/>
      <c r="BJ546" s="62"/>
      <c r="BK546" s="62" t="s">
        <v>276</v>
      </c>
      <c r="BL546" s="62"/>
      <c r="BM546" s="62"/>
      <c r="BN546" s="63" t="s">
        <v>276</v>
      </c>
      <c r="BO546" s="63"/>
      <c r="BP546" s="63"/>
      <c r="BQ546" s="63"/>
      <c r="BR546" s="64">
        <v>105</v>
      </c>
      <c r="BS546" s="64"/>
      <c r="BT546" s="64"/>
      <c r="BU546" s="64"/>
      <c r="BV546" s="64"/>
      <c r="BW546" s="64"/>
      <c r="BX546" s="65">
        <f t="shared" si="45"/>
        <v>20160</v>
      </c>
      <c r="BY546" s="65"/>
      <c r="BZ546" s="65"/>
      <c r="CA546" s="65"/>
      <c r="CB546" s="66"/>
    </row>
    <row r="547" spans="2:80" x14ac:dyDescent="0.2">
      <c r="B547" s="71" t="s">
        <v>479</v>
      </c>
      <c r="C547" s="72"/>
      <c r="D547" s="72"/>
      <c r="E547" s="72"/>
      <c r="F547" s="72"/>
      <c r="G547" s="72"/>
      <c r="H547" s="72"/>
      <c r="I547" s="72"/>
      <c r="J547" s="72"/>
      <c r="K547" s="72"/>
      <c r="L547" s="72"/>
      <c r="M547" s="72"/>
      <c r="N547" s="72"/>
      <c r="O547" s="13" t="s">
        <v>278</v>
      </c>
      <c r="P547" s="73">
        <v>12</v>
      </c>
      <c r="Q547" s="73"/>
      <c r="R547" s="11"/>
      <c r="S547" s="11" t="s">
        <v>282</v>
      </c>
      <c r="T547" s="11"/>
      <c r="U547" s="11"/>
      <c r="V547" s="11"/>
      <c r="W547" s="11"/>
      <c r="X547" s="11"/>
      <c r="Y547" s="73">
        <v>4</v>
      </c>
      <c r="Z547" s="73"/>
      <c r="AA547" s="11" t="s">
        <v>433</v>
      </c>
      <c r="AB547" s="11"/>
      <c r="AC547" s="11"/>
      <c r="AD547" s="11"/>
      <c r="AE547" s="11"/>
      <c r="AF547" s="11"/>
      <c r="AG547" s="11"/>
      <c r="AH547" s="11"/>
      <c r="AI547" s="11"/>
      <c r="AJ547" s="11"/>
      <c r="AK547" s="11"/>
      <c r="AL547" s="11"/>
      <c r="AM547" s="11"/>
      <c r="AN547" s="11"/>
      <c r="AO547" s="11"/>
      <c r="AP547" s="11"/>
      <c r="AQ547" s="11"/>
      <c r="AR547" s="11"/>
      <c r="AS547" s="11"/>
      <c r="AT547" s="11"/>
      <c r="AU547" s="11"/>
      <c r="AV547" s="11"/>
      <c r="AW547" s="11"/>
      <c r="AX547" s="11"/>
      <c r="AY547" s="11"/>
      <c r="AZ547" s="11"/>
      <c r="BA547" s="12"/>
      <c r="BB547" s="63" t="s">
        <v>276</v>
      </c>
      <c r="BC547" s="63"/>
      <c r="BD547" s="63"/>
      <c r="BE547" s="63">
        <f>(24*2+IF((D456+D459)&lt;AH457,4,8)*2)*Y547</f>
        <v>256</v>
      </c>
      <c r="BF547" s="63"/>
      <c r="BG547" s="63"/>
      <c r="BH547" s="62" t="s">
        <v>276</v>
      </c>
      <c r="BI547" s="62"/>
      <c r="BJ547" s="62"/>
      <c r="BK547" s="62" t="s">
        <v>276</v>
      </c>
      <c r="BL547" s="62"/>
      <c r="BM547" s="62"/>
      <c r="BN547" s="63" t="s">
        <v>276</v>
      </c>
      <c r="BO547" s="63"/>
      <c r="BP547" s="63"/>
      <c r="BQ547" s="63"/>
      <c r="BR547" s="64">
        <v>105</v>
      </c>
      <c r="BS547" s="64"/>
      <c r="BT547" s="64"/>
      <c r="BU547" s="64"/>
      <c r="BV547" s="64"/>
      <c r="BW547" s="64"/>
      <c r="BX547" s="65">
        <f t="shared" si="45"/>
        <v>26880</v>
      </c>
      <c r="BY547" s="65"/>
      <c r="BZ547" s="65"/>
      <c r="CA547" s="65"/>
      <c r="CB547" s="66"/>
    </row>
    <row r="548" spans="2:80" x14ac:dyDescent="0.2">
      <c r="B548" s="71" t="s">
        <v>299</v>
      </c>
      <c r="C548" s="72"/>
      <c r="D548" s="72"/>
      <c r="E548" s="72"/>
      <c r="F548" s="72"/>
      <c r="G548" s="72"/>
      <c r="H548" s="72"/>
      <c r="I548" s="72"/>
      <c r="J548" s="72"/>
      <c r="K548" s="72"/>
      <c r="L548" s="72"/>
      <c r="M548" s="72"/>
      <c r="N548" s="72"/>
      <c r="O548" s="111">
        <v>22</v>
      </c>
      <c r="P548" s="112"/>
      <c r="Q548" s="11" t="s">
        <v>272</v>
      </c>
      <c r="R548" s="11"/>
      <c r="S548" s="11" t="s">
        <v>282</v>
      </c>
      <c r="T548" s="11"/>
      <c r="U548" s="11"/>
      <c r="V548" s="11"/>
      <c r="W548" s="11"/>
      <c r="X548" s="11"/>
      <c r="Y548" s="73">
        <v>8</v>
      </c>
      <c r="Z548" s="73"/>
      <c r="AA548" s="11" t="s">
        <v>433</v>
      </c>
      <c r="AB548" s="11"/>
      <c r="AC548" s="11"/>
      <c r="AD548" s="11"/>
      <c r="AE548" s="11"/>
      <c r="AF548" s="11"/>
      <c r="AG548" s="11"/>
      <c r="AH548" s="11"/>
      <c r="AI548" s="11"/>
      <c r="AJ548" s="11"/>
      <c r="AK548" s="11"/>
      <c r="AL548" s="11"/>
      <c r="AM548" s="11"/>
      <c r="AN548" s="11"/>
      <c r="AO548" s="11"/>
      <c r="AP548" s="11"/>
      <c r="AQ548" s="11"/>
      <c r="AR548" s="11"/>
      <c r="AS548" s="11"/>
      <c r="AT548" s="11"/>
      <c r="AU548" s="11"/>
      <c r="AV548" s="11"/>
      <c r="AW548" s="11"/>
      <c r="AX548" s="11"/>
      <c r="AY548" s="11"/>
      <c r="AZ548" s="11"/>
      <c r="BA548" s="12"/>
      <c r="BB548" s="63" t="s">
        <v>276</v>
      </c>
      <c r="BC548" s="63"/>
      <c r="BD548" s="63"/>
      <c r="BE548" s="63">
        <f>+BE518*Y548</f>
        <v>128</v>
      </c>
      <c r="BF548" s="63"/>
      <c r="BG548" s="63"/>
      <c r="BH548" s="62" t="s">
        <v>276</v>
      </c>
      <c r="BI548" s="62"/>
      <c r="BJ548" s="62"/>
      <c r="BK548" s="62" t="s">
        <v>276</v>
      </c>
      <c r="BL548" s="62"/>
      <c r="BM548" s="62"/>
      <c r="BN548" s="63" t="s">
        <v>276</v>
      </c>
      <c r="BO548" s="63"/>
      <c r="BP548" s="63"/>
      <c r="BQ548" s="63"/>
      <c r="BR548" s="64">
        <v>1800</v>
      </c>
      <c r="BS548" s="64"/>
      <c r="BT548" s="64"/>
      <c r="BU548" s="64"/>
      <c r="BV548" s="64"/>
      <c r="BW548" s="64"/>
      <c r="BX548" s="65">
        <f t="shared" si="45"/>
        <v>230400</v>
      </c>
      <c r="BY548" s="65"/>
      <c r="BZ548" s="65"/>
      <c r="CA548" s="65"/>
      <c r="CB548" s="66"/>
    </row>
    <row r="549" spans="2:80" x14ac:dyDescent="0.2">
      <c r="B549" s="71" t="s">
        <v>443</v>
      </c>
      <c r="C549" s="72"/>
      <c r="D549" s="72"/>
      <c r="E549" s="72"/>
      <c r="F549" s="72"/>
      <c r="G549" s="72"/>
      <c r="H549" s="72"/>
      <c r="I549" s="72"/>
      <c r="J549" s="72"/>
      <c r="K549" s="72"/>
      <c r="L549" s="72"/>
      <c r="M549" s="72"/>
      <c r="N549" s="72"/>
      <c r="O549" s="111">
        <v>20</v>
      </c>
      <c r="P549" s="112"/>
      <c r="Q549" s="11" t="s">
        <v>272</v>
      </c>
      <c r="R549" s="11"/>
      <c r="S549" s="11" t="s">
        <v>282</v>
      </c>
      <c r="T549" s="11"/>
      <c r="U549" s="11"/>
      <c r="V549" s="11"/>
      <c r="W549" s="11"/>
      <c r="X549" s="11"/>
      <c r="Y549" s="73">
        <v>2</v>
      </c>
      <c r="Z549" s="73"/>
      <c r="AA549" s="11" t="s">
        <v>433</v>
      </c>
      <c r="AB549" s="11"/>
      <c r="AC549" s="11"/>
      <c r="AD549" s="11"/>
      <c r="AE549" s="11"/>
      <c r="AF549" s="11"/>
      <c r="AG549" s="11"/>
      <c r="AH549" s="11"/>
      <c r="AI549" s="11"/>
      <c r="AJ549" s="11"/>
      <c r="AK549" s="11"/>
      <c r="AL549" s="11"/>
      <c r="AM549" s="11"/>
      <c r="AN549" s="11"/>
      <c r="AO549" s="11"/>
      <c r="AP549" s="11"/>
      <c r="AQ549" s="11"/>
      <c r="AR549" s="11"/>
      <c r="AS549" s="11"/>
      <c r="AT549" s="11"/>
      <c r="AU549" s="11"/>
      <c r="AV549" s="11"/>
      <c r="AW549" s="11"/>
      <c r="AX549" s="11"/>
      <c r="AY549" s="11"/>
      <c r="AZ549" s="11"/>
      <c r="BA549" s="12"/>
      <c r="BB549" s="63" t="s">
        <v>276</v>
      </c>
      <c r="BC549" s="63"/>
      <c r="BD549" s="63"/>
      <c r="BE549" s="63">
        <f>12*Y549</f>
        <v>24</v>
      </c>
      <c r="BF549" s="63"/>
      <c r="BG549" s="63"/>
      <c r="BH549" s="62" t="s">
        <v>276</v>
      </c>
      <c r="BI549" s="62"/>
      <c r="BJ549" s="62"/>
      <c r="BK549" s="62" t="s">
        <v>276</v>
      </c>
      <c r="BL549" s="62"/>
      <c r="BM549" s="62"/>
      <c r="BN549" s="63" t="s">
        <v>276</v>
      </c>
      <c r="BO549" s="63"/>
      <c r="BP549" s="63"/>
      <c r="BQ549" s="63"/>
      <c r="BR549" s="64">
        <v>1500</v>
      </c>
      <c r="BS549" s="64"/>
      <c r="BT549" s="64"/>
      <c r="BU549" s="64"/>
      <c r="BV549" s="64"/>
      <c r="BW549" s="64"/>
      <c r="BX549" s="65">
        <f t="shared" si="45"/>
        <v>36000</v>
      </c>
      <c r="BY549" s="65"/>
      <c r="BZ549" s="65"/>
      <c r="CA549" s="65"/>
      <c r="CB549" s="66"/>
    </row>
    <row r="550" spans="2:80" x14ac:dyDescent="0.2">
      <c r="B550" s="71" t="s">
        <v>292</v>
      </c>
      <c r="C550" s="72"/>
      <c r="D550" s="72"/>
      <c r="E550" s="72"/>
      <c r="F550" s="72"/>
      <c r="G550" s="72"/>
      <c r="H550" s="72"/>
      <c r="I550" s="72"/>
      <c r="J550" s="72"/>
      <c r="K550" s="72"/>
      <c r="L550" s="72"/>
      <c r="M550" s="72"/>
      <c r="N550" s="72"/>
      <c r="O550" s="144" t="s">
        <v>464</v>
      </c>
      <c r="P550" s="145"/>
      <c r="Q550" s="145"/>
      <c r="R550" s="145"/>
      <c r="S550" s="145"/>
      <c r="T550" s="145"/>
      <c r="U550" s="11" t="s">
        <v>295</v>
      </c>
      <c r="V550" s="19"/>
      <c r="W550" s="61">
        <f>Z386*C422*2</f>
        <v>1013.0274626089857</v>
      </c>
      <c r="X550" s="61"/>
      <c r="Y550" s="61"/>
      <c r="Z550" s="11" t="s">
        <v>294</v>
      </c>
      <c r="AA550" s="11"/>
      <c r="AB550" s="11"/>
      <c r="AC550" s="11"/>
      <c r="AD550" s="11"/>
      <c r="AE550" s="11"/>
      <c r="AF550" s="11"/>
      <c r="AG550" s="11"/>
      <c r="AH550" s="11"/>
      <c r="AI550" s="11"/>
      <c r="AJ550" s="11"/>
      <c r="AK550" s="11"/>
      <c r="AL550" s="11"/>
      <c r="AM550" s="11"/>
      <c r="AN550" s="11"/>
      <c r="AO550" s="11"/>
      <c r="AP550" s="11"/>
      <c r="AQ550" s="11"/>
      <c r="AR550" s="11"/>
      <c r="AS550" s="11"/>
      <c r="AT550" s="11"/>
      <c r="AU550" s="11"/>
      <c r="AV550" s="11"/>
      <c r="AW550" s="11"/>
      <c r="AX550" s="11"/>
      <c r="AY550" s="11"/>
      <c r="AZ550" s="11"/>
      <c r="BA550" s="12"/>
      <c r="BB550" s="63" t="s">
        <v>276</v>
      </c>
      <c r="BC550" s="63"/>
      <c r="BD550" s="63"/>
      <c r="BE550" s="63">
        <v>1</v>
      </c>
      <c r="BF550" s="63"/>
      <c r="BG550" s="63"/>
      <c r="BH550" s="62" t="s">
        <v>276</v>
      </c>
      <c r="BI550" s="62"/>
      <c r="BJ550" s="62"/>
      <c r="BK550" s="62" t="s">
        <v>276</v>
      </c>
      <c r="BL550" s="62"/>
      <c r="BM550" s="62"/>
      <c r="BN550" s="63" t="s">
        <v>276</v>
      </c>
      <c r="BO550" s="63"/>
      <c r="BP550" s="63"/>
      <c r="BQ550" s="63"/>
      <c r="BR550" s="87">
        <v>200</v>
      </c>
      <c r="BS550" s="87"/>
      <c r="BT550" s="87"/>
      <c r="BU550" s="87"/>
      <c r="BV550" s="87"/>
      <c r="BW550" s="87"/>
      <c r="BX550" s="65">
        <f>W550*BR550*BE550</f>
        <v>202605.49252179713</v>
      </c>
      <c r="BY550" s="65"/>
      <c r="BZ550" s="65"/>
      <c r="CA550" s="65"/>
      <c r="CB550" s="66"/>
    </row>
    <row r="551" spans="2:80" x14ac:dyDescent="0.2">
      <c r="B551" s="71" t="s">
        <v>293</v>
      </c>
      <c r="C551" s="72"/>
      <c r="D551" s="72"/>
      <c r="E551" s="72"/>
      <c r="F551" s="72"/>
      <c r="G551" s="72"/>
      <c r="H551" s="72"/>
      <c r="I551" s="72"/>
      <c r="J551" s="72"/>
      <c r="K551" s="72"/>
      <c r="L551" s="72"/>
      <c r="M551" s="72"/>
      <c r="N551" s="72"/>
      <c r="O551" s="144" t="s">
        <v>465</v>
      </c>
      <c r="P551" s="145"/>
      <c r="Q551" s="145"/>
      <c r="R551" s="145"/>
      <c r="S551" s="145"/>
      <c r="T551" s="145"/>
      <c r="U551" s="11" t="s">
        <v>295</v>
      </c>
      <c r="V551" s="19"/>
      <c r="W551" s="61">
        <f>C422*E394*2+2*(E394*S402+S402*E388/2)-2*S462*AH457</f>
        <v>1039.8</v>
      </c>
      <c r="X551" s="61"/>
      <c r="Y551" s="61"/>
      <c r="Z551" s="11" t="s">
        <v>294</v>
      </c>
      <c r="AA551" s="11"/>
      <c r="AB551" s="11"/>
      <c r="AC551" s="11"/>
      <c r="AD551" s="11"/>
      <c r="AE551" s="11"/>
      <c r="AF551" s="11"/>
      <c r="AG551" s="11"/>
      <c r="AH551" s="11"/>
      <c r="AI551" s="11"/>
      <c r="AJ551" s="11"/>
      <c r="AK551" s="11"/>
      <c r="AL551" s="11"/>
      <c r="AM551" s="11"/>
      <c r="AN551" s="11"/>
      <c r="AO551" s="11"/>
      <c r="AP551" s="11"/>
      <c r="AQ551" s="11"/>
      <c r="AR551" s="11"/>
      <c r="AS551" s="11"/>
      <c r="AT551" s="11"/>
      <c r="AU551" s="11"/>
      <c r="AV551" s="11"/>
      <c r="AW551" s="11"/>
      <c r="AX551" s="11"/>
      <c r="AY551" s="11"/>
      <c r="AZ551" s="11"/>
      <c r="BA551" s="12"/>
      <c r="BB551" s="63" t="s">
        <v>276</v>
      </c>
      <c r="BC551" s="63"/>
      <c r="BD551" s="63"/>
      <c r="BE551" s="63">
        <v>1</v>
      </c>
      <c r="BF551" s="63"/>
      <c r="BG551" s="63"/>
      <c r="BH551" s="62" t="s">
        <v>276</v>
      </c>
      <c r="BI551" s="62"/>
      <c r="BJ551" s="62"/>
      <c r="BK551" s="62" t="s">
        <v>276</v>
      </c>
      <c r="BL551" s="62"/>
      <c r="BM551" s="62"/>
      <c r="BN551" s="63" t="s">
        <v>276</v>
      </c>
      <c r="BO551" s="63"/>
      <c r="BP551" s="63"/>
      <c r="BQ551" s="63"/>
      <c r="BR551" s="87">
        <v>1000</v>
      </c>
      <c r="BS551" s="87"/>
      <c r="BT551" s="87"/>
      <c r="BU551" s="87"/>
      <c r="BV551" s="87"/>
      <c r="BW551" s="87"/>
      <c r="BX551" s="65">
        <f>W551*BR551*BE551</f>
        <v>1039800</v>
      </c>
      <c r="BY551" s="65"/>
      <c r="BZ551" s="65"/>
      <c r="CA551" s="65"/>
      <c r="CB551" s="66"/>
    </row>
    <row r="552" spans="2:80" x14ac:dyDescent="0.2">
      <c r="B552" s="71" t="s">
        <v>296</v>
      </c>
      <c r="C552" s="72"/>
      <c r="D552" s="72"/>
      <c r="E552" s="72"/>
      <c r="F552" s="72"/>
      <c r="G552" s="72"/>
      <c r="H552" s="72"/>
      <c r="I552" s="72"/>
      <c r="J552" s="72"/>
      <c r="K552" s="72"/>
      <c r="L552" s="72"/>
      <c r="M552" s="72"/>
      <c r="N552" s="72"/>
      <c r="O552" s="120" t="s">
        <v>297</v>
      </c>
      <c r="P552" s="73"/>
      <c r="Q552" s="73"/>
      <c r="R552" s="11" t="s">
        <v>295</v>
      </c>
      <c r="S552" s="19"/>
      <c r="T552" s="61">
        <f>S462*AH457</f>
        <v>22.5</v>
      </c>
      <c r="U552" s="61"/>
      <c r="V552" s="61"/>
      <c r="W552" s="11" t="s">
        <v>294</v>
      </c>
      <c r="X552" s="11"/>
      <c r="Y552" s="11" t="s">
        <v>274</v>
      </c>
      <c r="Z552" s="73">
        <v>2</v>
      </c>
      <c r="AA552" s="73"/>
      <c r="AB552" s="11" t="s">
        <v>272</v>
      </c>
      <c r="AC552" s="11"/>
      <c r="AD552" s="11"/>
      <c r="AE552" s="11"/>
      <c r="AF552" s="11"/>
      <c r="AG552" s="11"/>
      <c r="AH552" s="11"/>
      <c r="AI552" s="11"/>
      <c r="AJ552" s="11"/>
      <c r="AK552" s="11"/>
      <c r="AL552" s="11"/>
      <c r="AM552" s="11"/>
      <c r="AN552" s="11"/>
      <c r="AO552" s="11"/>
      <c r="AP552" s="11"/>
      <c r="AQ552" s="11"/>
      <c r="AR552" s="11"/>
      <c r="AS552" s="11"/>
      <c r="AT552" s="11"/>
      <c r="AU552" s="11"/>
      <c r="AV552" s="11"/>
      <c r="AW552" s="11"/>
      <c r="AX552" s="11"/>
      <c r="AY552" s="11"/>
      <c r="AZ552" s="11"/>
      <c r="BA552" s="12"/>
      <c r="BB552" s="63" t="s">
        <v>276</v>
      </c>
      <c r="BC552" s="63"/>
      <c r="BD552" s="63"/>
      <c r="BE552" s="63">
        <v>2</v>
      </c>
      <c r="BF552" s="63"/>
      <c r="BG552" s="63"/>
      <c r="BH552" s="62" t="s">
        <v>276</v>
      </c>
      <c r="BI552" s="62"/>
      <c r="BJ552" s="62"/>
      <c r="BK552" s="62" t="s">
        <v>276</v>
      </c>
      <c r="BL552" s="62"/>
      <c r="BM552" s="62"/>
      <c r="BN552" s="83">
        <f>7850*T552*Z552/1000*BE552</f>
        <v>706.5</v>
      </c>
      <c r="BO552" s="83"/>
      <c r="BP552" s="83"/>
      <c r="BQ552" s="83"/>
      <c r="BR552" s="84">
        <v>28</v>
      </c>
      <c r="BS552" s="84"/>
      <c r="BT552" s="84"/>
      <c r="BU552" s="84"/>
      <c r="BV552" s="84"/>
      <c r="BW552" s="84"/>
      <c r="BX552" s="65">
        <f>BN552*BR552</f>
        <v>19782</v>
      </c>
      <c r="BY552" s="65"/>
      <c r="BZ552" s="65"/>
      <c r="CA552" s="65"/>
      <c r="CB552" s="66"/>
    </row>
    <row r="553" spans="2:80" x14ac:dyDescent="0.2">
      <c r="B553" s="14"/>
      <c r="BG553" s="133" t="s">
        <v>301</v>
      </c>
      <c r="BH553" s="133"/>
      <c r="BI553" s="133"/>
      <c r="BJ553" s="133"/>
      <c r="BK553" s="133"/>
      <c r="BL553" s="133"/>
      <c r="BM553" s="133"/>
      <c r="BN553" s="132">
        <f>SUM(BN512:BQ552)</f>
        <v>51881.382315905001</v>
      </c>
      <c r="BO553" s="133"/>
      <c r="BP553" s="133"/>
      <c r="BQ553" s="133"/>
      <c r="BS553" s="133" t="s">
        <v>484</v>
      </c>
      <c r="BT553" s="133"/>
      <c r="BU553" s="133"/>
      <c r="BV553" s="133"/>
      <c r="BW553" s="133"/>
      <c r="BX553" s="138">
        <f>SUM(BX512:CB552)</f>
        <v>3330442.2920863973</v>
      </c>
      <c r="BY553" s="138"/>
      <c r="BZ553" s="138"/>
      <c r="CA553" s="138"/>
      <c r="CB553" s="139"/>
    </row>
    <row r="554" spans="2:80" x14ac:dyDescent="0.2">
      <c r="B554" s="14"/>
      <c r="O554" s="44" t="s">
        <v>567</v>
      </c>
      <c r="BG554" s="133" t="s">
        <v>302</v>
      </c>
      <c r="BH554" s="133"/>
      <c r="BI554" s="133"/>
      <c r="BJ554" s="133"/>
      <c r="BK554" s="133"/>
      <c r="BL554" s="133"/>
      <c r="BM554" s="133"/>
      <c r="BN554" s="132">
        <f>+BN553/1000</f>
        <v>51.881382315905</v>
      </c>
      <c r="BO554" s="133"/>
      <c r="BP554" s="133"/>
      <c r="BQ554" s="133"/>
      <c r="BS554" s="133" t="s">
        <v>485</v>
      </c>
      <c r="BT554" s="133"/>
      <c r="BU554" s="133"/>
      <c r="BV554" s="133"/>
      <c r="BW554" s="133"/>
      <c r="BX554" s="138">
        <f>BX553*0.18</f>
        <v>599479.61257555149</v>
      </c>
      <c r="BY554" s="138"/>
      <c r="BZ554" s="138"/>
      <c r="CA554" s="138"/>
      <c r="CB554" s="139"/>
    </row>
    <row r="555" spans="2:80" x14ac:dyDescent="0.2">
      <c r="B555" s="14"/>
      <c r="BG555" s="133" t="s">
        <v>411</v>
      </c>
      <c r="BH555" s="133"/>
      <c r="BI555" s="133"/>
      <c r="BJ555" s="133"/>
      <c r="BK555" s="133"/>
      <c r="BL555" s="133"/>
      <c r="BM555" s="133"/>
      <c r="BN555" s="186">
        <f>C422*S405</f>
        <v>1008</v>
      </c>
      <c r="BO555" s="186"/>
      <c r="BP555" s="186"/>
      <c r="BQ555" s="186"/>
      <c r="BS555" s="133" t="s">
        <v>486</v>
      </c>
      <c r="BT555" s="133"/>
      <c r="BU555" s="133"/>
      <c r="BV555" s="133"/>
      <c r="BW555" s="133"/>
      <c r="BX555" s="140">
        <f>+BX554+BX553</f>
        <v>3929921.9046619488</v>
      </c>
      <c r="BY555" s="140"/>
      <c r="BZ555" s="140"/>
      <c r="CA555" s="140"/>
      <c r="CB555" s="141"/>
    </row>
    <row r="556" spans="2:80" x14ac:dyDescent="0.2">
      <c r="B556" s="53" t="s">
        <v>545</v>
      </c>
      <c r="BG556" s="133" t="s">
        <v>412</v>
      </c>
      <c r="BH556" s="133"/>
      <c r="BI556" s="133"/>
      <c r="BJ556" s="133"/>
      <c r="BK556" s="133"/>
      <c r="BL556" s="133"/>
      <c r="BM556" s="133"/>
      <c r="BN556" s="137">
        <f>+BN553/BN555</f>
        <v>51.46962531339782</v>
      </c>
      <c r="BO556" s="137"/>
      <c r="BP556" s="137"/>
      <c r="BQ556" s="137"/>
      <c r="CB556" s="15"/>
    </row>
    <row r="557" spans="2:80" x14ac:dyDescent="0.2">
      <c r="B557" s="71" t="s">
        <v>490</v>
      </c>
      <c r="C557" s="72"/>
      <c r="D557" s="72"/>
      <c r="E557" s="72"/>
      <c r="F557" s="72"/>
      <c r="G557" s="72"/>
      <c r="H557" s="72"/>
      <c r="I557" s="72"/>
      <c r="J557" s="72"/>
      <c r="K557" s="72"/>
      <c r="L557" s="72"/>
      <c r="M557" s="72"/>
      <c r="N557" s="72"/>
      <c r="O557" s="69">
        <f>+K504</f>
        <v>0.9</v>
      </c>
      <c r="P557" s="61"/>
      <c r="Q557" s="11" t="s">
        <v>0</v>
      </c>
      <c r="R557" s="19" t="s">
        <v>491</v>
      </c>
      <c r="S557" s="61">
        <f>+C494</f>
        <v>0.9</v>
      </c>
      <c r="T557" s="61"/>
      <c r="U557" s="11" t="s">
        <v>0</v>
      </c>
      <c r="V557" s="19" t="s">
        <v>491</v>
      </c>
      <c r="W557" s="61">
        <f>+Q472</f>
        <v>0.8</v>
      </c>
      <c r="X557" s="61"/>
      <c r="Y557" s="11" t="s">
        <v>0</v>
      </c>
      <c r="Z557" s="19" t="s">
        <v>491</v>
      </c>
      <c r="AA557" s="61">
        <f>(C432+1)*2+6*2</f>
        <v>28</v>
      </c>
      <c r="AB557" s="61"/>
      <c r="AC557" s="11" t="s">
        <v>433</v>
      </c>
      <c r="AD557" s="11"/>
      <c r="AE557" s="19" t="s">
        <v>2</v>
      </c>
      <c r="AF557" s="61">
        <f>O557*S557*W557*AA557</f>
        <v>18.144000000000005</v>
      </c>
      <c r="AG557" s="61"/>
      <c r="AH557" s="61"/>
      <c r="AI557" s="11" t="s">
        <v>492</v>
      </c>
      <c r="AJ557" s="11"/>
      <c r="AK557" s="11"/>
      <c r="AL557" s="11"/>
      <c r="AM557" s="11"/>
      <c r="AN557" s="11"/>
      <c r="AO557" s="11"/>
      <c r="AP557" s="11"/>
      <c r="AQ557" s="11"/>
      <c r="AR557" s="11"/>
      <c r="AS557" s="11"/>
      <c r="AT557" s="11"/>
      <c r="AU557" s="11"/>
      <c r="AV557" s="11"/>
      <c r="AW557" s="11"/>
      <c r="AX557" s="11"/>
      <c r="AY557" s="11"/>
      <c r="AZ557" s="11"/>
      <c r="BA557" s="12"/>
      <c r="BB557" s="63" t="s">
        <v>276</v>
      </c>
      <c r="BC557" s="63"/>
      <c r="BD557" s="63"/>
      <c r="BE557" s="63" t="s">
        <v>276</v>
      </c>
      <c r="BF557" s="63"/>
      <c r="BG557" s="63"/>
      <c r="BH557" s="62" t="s">
        <v>276</v>
      </c>
      <c r="BI557" s="62"/>
      <c r="BJ557" s="62"/>
      <c r="BK557" s="62" t="s">
        <v>276</v>
      </c>
      <c r="BL557" s="62"/>
      <c r="BM557" s="62"/>
      <c r="BN557" s="63" t="s">
        <v>276</v>
      </c>
      <c r="BO557" s="63"/>
      <c r="BP557" s="63"/>
      <c r="BQ557" s="63"/>
      <c r="BR557" s="142">
        <v>2600</v>
      </c>
      <c r="BS557" s="142"/>
      <c r="BT557" s="142"/>
      <c r="BU557" s="142"/>
      <c r="BV557" s="142"/>
      <c r="BW557" s="142"/>
      <c r="BX557" s="65">
        <f>AF557*BR557</f>
        <v>47174.400000000016</v>
      </c>
      <c r="BY557" s="65"/>
      <c r="BZ557" s="65"/>
      <c r="CA557" s="65"/>
      <c r="CB557" s="66"/>
    </row>
    <row r="558" spans="2:80" x14ac:dyDescent="0.2">
      <c r="B558" s="71" t="s">
        <v>493</v>
      </c>
      <c r="C558" s="72"/>
      <c r="D558" s="72"/>
      <c r="E558" s="72"/>
      <c r="F558" s="72"/>
      <c r="G558" s="72"/>
      <c r="H558" s="72"/>
      <c r="I558" s="72"/>
      <c r="J558" s="72"/>
      <c r="K558" s="72"/>
      <c r="L558" s="72"/>
      <c r="M558" s="72"/>
      <c r="N558" s="72"/>
      <c r="O558" s="69">
        <f>+R494</f>
        <v>2</v>
      </c>
      <c r="P558" s="61"/>
      <c r="Q558" s="11" t="s">
        <v>0</v>
      </c>
      <c r="R558" s="19" t="s">
        <v>491</v>
      </c>
      <c r="S558" s="61">
        <f>+K479</f>
        <v>2</v>
      </c>
      <c r="T558" s="61"/>
      <c r="U558" s="11" t="s">
        <v>0</v>
      </c>
      <c r="V558" s="19" t="s">
        <v>491</v>
      </c>
      <c r="W558" s="61">
        <f>+Q476</f>
        <v>0.4</v>
      </c>
      <c r="X558" s="61"/>
      <c r="Y558" s="11" t="s">
        <v>0</v>
      </c>
      <c r="Z558" s="19" t="s">
        <v>491</v>
      </c>
      <c r="AA558" s="61">
        <f>+AA557</f>
        <v>28</v>
      </c>
      <c r="AB558" s="61"/>
      <c r="AC558" s="11" t="s">
        <v>433</v>
      </c>
      <c r="AD558" s="11"/>
      <c r="AE558" s="19" t="s">
        <v>2</v>
      </c>
      <c r="AF558" s="61">
        <f>O558*S558*W558*AA558</f>
        <v>44.800000000000004</v>
      </c>
      <c r="AG558" s="61"/>
      <c r="AH558" s="61"/>
      <c r="AI558" s="11" t="s">
        <v>492</v>
      </c>
      <c r="AJ558" s="11"/>
      <c r="AK558" s="11"/>
      <c r="AL558" s="11"/>
      <c r="AM558" s="11"/>
      <c r="AN558" s="11"/>
      <c r="AO558" s="11"/>
      <c r="AP558" s="11"/>
      <c r="AQ558" s="11"/>
      <c r="AR558" s="11"/>
      <c r="AS558" s="11"/>
      <c r="AT558" s="11"/>
      <c r="AU558" s="11"/>
      <c r="AV558" s="11"/>
      <c r="AW558" s="11"/>
      <c r="AX558" s="11"/>
      <c r="AY558" s="11"/>
      <c r="AZ558" s="11"/>
      <c r="BA558" s="12"/>
      <c r="BB558" s="63" t="s">
        <v>276</v>
      </c>
      <c r="BC558" s="63"/>
      <c r="BD558" s="63"/>
      <c r="BE558" s="63" t="s">
        <v>276</v>
      </c>
      <c r="BF558" s="63"/>
      <c r="BG558" s="63"/>
      <c r="BH558" s="62" t="s">
        <v>276</v>
      </c>
      <c r="BI558" s="62"/>
      <c r="BJ558" s="62"/>
      <c r="BK558" s="62" t="s">
        <v>276</v>
      </c>
      <c r="BL558" s="62"/>
      <c r="BM558" s="62"/>
      <c r="BN558" s="63" t="s">
        <v>276</v>
      </c>
      <c r="BO558" s="63"/>
      <c r="BP558" s="63"/>
      <c r="BQ558" s="63"/>
      <c r="BR558" s="142">
        <v>2600</v>
      </c>
      <c r="BS558" s="142"/>
      <c r="BT558" s="142"/>
      <c r="BU558" s="142"/>
      <c r="BV558" s="142"/>
      <c r="BW558" s="142"/>
      <c r="BX558" s="65">
        <f>AF558*BR558</f>
        <v>116480.00000000001</v>
      </c>
      <c r="BY558" s="65"/>
      <c r="BZ558" s="65"/>
      <c r="CA558" s="65"/>
      <c r="CB558" s="66"/>
    </row>
    <row r="559" spans="2:80" x14ac:dyDescent="0.2">
      <c r="B559" s="71" t="s">
        <v>494</v>
      </c>
      <c r="C559" s="72"/>
      <c r="D559" s="72"/>
      <c r="E559" s="72"/>
      <c r="F559" s="72"/>
      <c r="G559" s="72"/>
      <c r="H559" s="72"/>
      <c r="I559" s="72"/>
      <c r="J559" s="72"/>
      <c r="K559" s="72"/>
      <c r="L559" s="72"/>
      <c r="M559" s="72"/>
      <c r="N559" s="72"/>
      <c r="O559" s="69">
        <f>+K502</f>
        <v>0.15</v>
      </c>
      <c r="P559" s="61"/>
      <c r="Q559" s="11" t="s">
        <v>0</v>
      </c>
      <c r="R559" s="19" t="s">
        <v>491</v>
      </c>
      <c r="S559" s="61">
        <f>+Q476+Q472</f>
        <v>1.2000000000000002</v>
      </c>
      <c r="T559" s="61"/>
      <c r="U559" s="11" t="s">
        <v>0</v>
      </c>
      <c r="V559" s="19" t="s">
        <v>491</v>
      </c>
      <c r="W559" s="61">
        <f>2*C422-2*C432*C494+2*S405-2*7*K504</f>
        <v>106.80000000000001</v>
      </c>
      <c r="X559" s="61"/>
      <c r="Y559" s="61"/>
      <c r="Z559" s="11" t="s">
        <v>0</v>
      </c>
      <c r="AA559" s="19" t="s">
        <v>276</v>
      </c>
      <c r="AB559" s="61">
        <f>+Q476</f>
        <v>0.4</v>
      </c>
      <c r="AC559" s="61"/>
      <c r="AD559" s="11" t="s">
        <v>0</v>
      </c>
      <c r="AE559" s="19" t="s">
        <v>491</v>
      </c>
      <c r="AF559" s="61">
        <f>(K479-K504)/2</f>
        <v>0.55000000000000004</v>
      </c>
      <c r="AG559" s="61"/>
      <c r="AH559" s="11" t="s">
        <v>0</v>
      </c>
      <c r="AI559" s="19" t="s">
        <v>491</v>
      </c>
      <c r="AJ559" s="61">
        <f>+O559</f>
        <v>0.15</v>
      </c>
      <c r="AK559" s="61"/>
      <c r="AL559" s="11" t="s">
        <v>0</v>
      </c>
      <c r="AM559" s="19" t="s">
        <v>491</v>
      </c>
      <c r="AN559" s="61">
        <f>2*C432*2+14*2</f>
        <v>56</v>
      </c>
      <c r="AO559" s="61"/>
      <c r="AP559" s="11" t="s">
        <v>433</v>
      </c>
      <c r="AQ559" s="11"/>
      <c r="AR559" s="19" t="s">
        <v>2</v>
      </c>
      <c r="AS559" s="61">
        <f>O559*S559*W559-AB559*AF559*AJ559*AN559</f>
        <v>17.376000000000005</v>
      </c>
      <c r="AT559" s="61"/>
      <c r="AU559" s="61"/>
      <c r="AV559" s="11" t="s">
        <v>492</v>
      </c>
      <c r="AW559" s="11"/>
      <c r="AX559" s="11"/>
      <c r="AY559" s="11"/>
      <c r="AZ559" s="11"/>
      <c r="BA559" s="12"/>
      <c r="BB559" s="63" t="s">
        <v>276</v>
      </c>
      <c r="BC559" s="63"/>
      <c r="BD559" s="63"/>
      <c r="BE559" s="63" t="s">
        <v>276</v>
      </c>
      <c r="BF559" s="63"/>
      <c r="BG559" s="63"/>
      <c r="BH559" s="62" t="s">
        <v>276</v>
      </c>
      <c r="BI559" s="62"/>
      <c r="BJ559" s="62"/>
      <c r="BK559" s="62" t="s">
        <v>276</v>
      </c>
      <c r="BL559" s="62"/>
      <c r="BM559" s="62"/>
      <c r="BN559" s="63" t="s">
        <v>276</v>
      </c>
      <c r="BO559" s="63"/>
      <c r="BP559" s="63"/>
      <c r="BQ559" s="63"/>
      <c r="BR559" s="142">
        <v>2600</v>
      </c>
      <c r="BS559" s="142"/>
      <c r="BT559" s="142"/>
      <c r="BU559" s="142"/>
      <c r="BV559" s="142"/>
      <c r="BW559" s="142"/>
      <c r="BX559" s="65">
        <f>AS559*BR559</f>
        <v>45177.600000000013</v>
      </c>
      <c r="BY559" s="65"/>
      <c r="BZ559" s="65"/>
      <c r="CA559" s="65"/>
      <c r="CB559" s="66"/>
    </row>
    <row r="560" spans="2:80" x14ac:dyDescent="0.2">
      <c r="B560" s="71" t="s">
        <v>495</v>
      </c>
      <c r="C560" s="72"/>
      <c r="D560" s="72"/>
      <c r="E560" s="72"/>
      <c r="F560" s="72"/>
      <c r="G560" s="72"/>
      <c r="H560" s="72"/>
      <c r="I560" s="72"/>
      <c r="J560" s="72"/>
      <c r="K560" s="72"/>
      <c r="L560" s="72"/>
      <c r="M560" s="72"/>
      <c r="N560" s="72"/>
      <c r="O560" s="114">
        <f>+C422</f>
        <v>42</v>
      </c>
      <c r="P560" s="115"/>
      <c r="Q560" s="46" t="s">
        <v>0</v>
      </c>
      <c r="R560" s="45" t="s">
        <v>491</v>
      </c>
      <c r="S560" s="115">
        <f>+S405</f>
        <v>24</v>
      </c>
      <c r="T560" s="115"/>
      <c r="U560" s="46" t="s">
        <v>0</v>
      </c>
      <c r="V560" s="45" t="s">
        <v>491</v>
      </c>
      <c r="W560" s="115">
        <f>+D469</f>
        <v>0.15</v>
      </c>
      <c r="X560" s="115"/>
      <c r="Y560" s="46" t="s">
        <v>0</v>
      </c>
      <c r="Z560" s="45" t="s">
        <v>2</v>
      </c>
      <c r="AA560" s="115">
        <f>O560*S560*W560</f>
        <v>151.19999999999999</v>
      </c>
      <c r="AB560" s="115"/>
      <c r="AC560" s="115"/>
      <c r="AD560" s="46" t="s">
        <v>492</v>
      </c>
      <c r="AJ560" s="46"/>
      <c r="AK560" s="46"/>
      <c r="AL560" s="46"/>
      <c r="AM560" s="46"/>
      <c r="AN560" s="46"/>
      <c r="AO560" s="46"/>
      <c r="AP560" s="46"/>
      <c r="AQ560" s="46"/>
      <c r="AR560" s="46"/>
      <c r="AS560" s="46"/>
      <c r="AT560" s="46"/>
      <c r="AU560" s="46"/>
      <c r="AV560" s="46"/>
      <c r="AW560" s="46"/>
      <c r="AX560" s="46"/>
      <c r="AY560" s="46"/>
      <c r="AZ560" s="46"/>
      <c r="BA560" s="47"/>
      <c r="BB560" s="209" t="s">
        <v>276</v>
      </c>
      <c r="BC560" s="209"/>
      <c r="BD560" s="209"/>
      <c r="BE560" s="209" t="s">
        <v>276</v>
      </c>
      <c r="BF560" s="209"/>
      <c r="BG560" s="209"/>
      <c r="BH560" s="210" t="s">
        <v>276</v>
      </c>
      <c r="BI560" s="210"/>
      <c r="BJ560" s="210"/>
      <c r="BK560" s="210" t="s">
        <v>276</v>
      </c>
      <c r="BL560" s="210"/>
      <c r="BM560" s="210"/>
      <c r="BN560" s="209" t="s">
        <v>276</v>
      </c>
      <c r="BO560" s="209"/>
      <c r="BP560" s="209"/>
      <c r="BQ560" s="209"/>
      <c r="BR560" s="142">
        <v>2600</v>
      </c>
      <c r="BS560" s="142"/>
      <c r="BT560" s="142"/>
      <c r="BU560" s="142"/>
      <c r="BV560" s="142"/>
      <c r="BW560" s="142"/>
      <c r="BX560" s="212">
        <f>AA560*BR560</f>
        <v>393119.99999999994</v>
      </c>
      <c r="BY560" s="212"/>
      <c r="BZ560" s="212"/>
      <c r="CA560" s="212"/>
      <c r="CB560" s="213"/>
    </row>
    <row r="561" spans="2:80" x14ac:dyDescent="0.2">
      <c r="B561" s="71" t="s">
        <v>496</v>
      </c>
      <c r="C561" s="72"/>
      <c r="D561" s="72"/>
      <c r="E561" s="72"/>
      <c r="F561" s="72"/>
      <c r="G561" s="72"/>
      <c r="H561" s="72"/>
      <c r="I561" s="72"/>
      <c r="J561" s="72"/>
      <c r="K561" s="72"/>
      <c r="L561" s="72"/>
      <c r="M561" s="72"/>
      <c r="N561" s="72"/>
      <c r="O561" s="196">
        <f>+F483</f>
        <v>16</v>
      </c>
      <c r="P561" s="197"/>
      <c r="Q561" s="202">
        <f>+H483</f>
        <v>26</v>
      </c>
      <c r="R561" s="202"/>
      <c r="S561" s="11" t="s">
        <v>272</v>
      </c>
      <c r="T561" s="11"/>
      <c r="U561" s="11"/>
      <c r="V561" s="11" t="s">
        <v>498</v>
      </c>
      <c r="W561" s="61">
        <f>+G484</f>
        <v>1.3</v>
      </c>
      <c r="X561" s="61"/>
      <c r="Y561" s="11" t="s">
        <v>0</v>
      </c>
      <c r="Z561" s="11"/>
      <c r="AA561" s="11"/>
      <c r="AB561" s="61">
        <f>(C432+1)*2+12</f>
        <v>28</v>
      </c>
      <c r="AC561" s="61"/>
      <c r="AD561" s="11" t="s">
        <v>499</v>
      </c>
      <c r="AE561" s="11"/>
      <c r="AF561" s="11"/>
      <c r="AG561" s="11"/>
      <c r="AH561" s="11"/>
      <c r="AI561" s="11"/>
      <c r="AJ561" s="11"/>
      <c r="AK561" s="11"/>
      <c r="AL561" s="11"/>
      <c r="AM561" s="11"/>
      <c r="AN561" s="11"/>
      <c r="AO561" s="11"/>
      <c r="AP561" s="11"/>
      <c r="AQ561" s="11"/>
      <c r="AR561" s="11"/>
      <c r="AS561" s="11"/>
      <c r="AT561" s="11"/>
      <c r="AU561" s="11"/>
      <c r="AV561" s="11"/>
      <c r="AW561" s="11"/>
      <c r="AX561" s="11"/>
      <c r="AY561" s="11"/>
      <c r="AZ561" s="11"/>
      <c r="BA561" s="12"/>
      <c r="BB561" s="62">
        <f>ROUND(PI()*Q561^2/4*7.85/1000,3)</f>
        <v>4.1680000000000001</v>
      </c>
      <c r="BC561" s="62"/>
      <c r="BD561" s="62"/>
      <c r="BE561" s="63">
        <f>O561*AB561</f>
        <v>448</v>
      </c>
      <c r="BF561" s="63"/>
      <c r="BG561" s="63"/>
      <c r="BH561" s="83">
        <f>+W561</f>
        <v>1.3</v>
      </c>
      <c r="BI561" s="83"/>
      <c r="BJ561" s="83"/>
      <c r="BK561" s="134">
        <f t="shared" ref="BK561:BK563" si="46">+BE561*BH561</f>
        <v>582.4</v>
      </c>
      <c r="BL561" s="135"/>
      <c r="BM561" s="136"/>
      <c r="BN561" s="83">
        <f t="shared" ref="BN561:BN563" si="47">BB561*(BE561*BH561)</f>
        <v>2427.4432000000002</v>
      </c>
      <c r="BO561" s="83"/>
      <c r="BP561" s="83"/>
      <c r="BQ561" s="83"/>
      <c r="BR561" s="96">
        <v>25</v>
      </c>
      <c r="BS561" s="96"/>
      <c r="BT561" s="96"/>
      <c r="BU561" s="96"/>
      <c r="BV561" s="96"/>
      <c r="BW561" s="96"/>
      <c r="BX561" s="65">
        <f t="shared" ref="BX561:BX565" si="48">BR561*BN561</f>
        <v>60686.080000000002</v>
      </c>
      <c r="BY561" s="65"/>
      <c r="BZ561" s="65"/>
      <c r="CA561" s="65"/>
      <c r="CB561" s="66"/>
    </row>
    <row r="562" spans="2:80" x14ac:dyDescent="0.2">
      <c r="B562" s="71" t="s">
        <v>500</v>
      </c>
      <c r="C562" s="72"/>
      <c r="D562" s="72"/>
      <c r="E562" s="72"/>
      <c r="F562" s="72"/>
      <c r="G562" s="72"/>
      <c r="H562" s="72"/>
      <c r="I562" s="72"/>
      <c r="J562" s="72"/>
      <c r="K562" s="72"/>
      <c r="L562" s="72"/>
      <c r="M562" s="72"/>
      <c r="N562" s="72"/>
      <c r="O562" s="196">
        <f>+Q482</f>
        <v>9</v>
      </c>
      <c r="P562" s="197"/>
      <c r="Q562" s="215">
        <f>+R482</f>
        <v>8</v>
      </c>
      <c r="R562" s="215"/>
      <c r="S562" s="208">
        <f>+T482</f>
        <v>100</v>
      </c>
      <c r="T562" s="208"/>
      <c r="U562" s="11" t="s">
        <v>272</v>
      </c>
      <c r="V562" s="11"/>
      <c r="W562" s="11"/>
      <c r="X562" s="11" t="s">
        <v>498</v>
      </c>
      <c r="Y562" s="61">
        <f>+R483</f>
        <v>3.3</v>
      </c>
      <c r="Z562" s="61"/>
      <c r="AA562" s="11" t="s">
        <v>0</v>
      </c>
      <c r="AB562" s="11"/>
      <c r="AC562" s="11" t="s">
        <v>498</v>
      </c>
      <c r="AD562" s="61">
        <f>+R484</f>
        <v>2.23</v>
      </c>
      <c r="AE562" s="61"/>
      <c r="AF562" s="11" t="s">
        <v>0</v>
      </c>
      <c r="AH562" s="11"/>
      <c r="AI562" s="11"/>
      <c r="AJ562" s="61">
        <f>+AB561</f>
        <v>28</v>
      </c>
      <c r="AK562" s="61"/>
      <c r="AL562" s="11" t="s">
        <v>499</v>
      </c>
      <c r="AM562" s="11"/>
      <c r="AN562" s="11"/>
      <c r="AO562" s="11"/>
      <c r="AP562" s="11"/>
      <c r="AQ562" s="11"/>
      <c r="AR562" s="11"/>
      <c r="AS562" s="11"/>
      <c r="AT562" s="11"/>
      <c r="AU562" s="11"/>
      <c r="AV562" s="11"/>
      <c r="AW562" s="11"/>
      <c r="AX562" s="11"/>
      <c r="AY562" s="11"/>
      <c r="AZ562" s="11"/>
      <c r="BA562" s="12"/>
      <c r="BB562" s="62">
        <f>ROUND(PI()*Q562^2/4*7.85/1000,3)</f>
        <v>0.39500000000000002</v>
      </c>
      <c r="BC562" s="62"/>
      <c r="BD562" s="62"/>
      <c r="BE562" s="63">
        <f>O562*AJ562</f>
        <v>252</v>
      </c>
      <c r="BF562" s="63"/>
      <c r="BG562" s="63"/>
      <c r="BH562" s="83">
        <f>+Y562+2*AD562</f>
        <v>7.76</v>
      </c>
      <c r="BI562" s="83"/>
      <c r="BJ562" s="83"/>
      <c r="BK562" s="134">
        <f t="shared" si="46"/>
        <v>1955.52</v>
      </c>
      <c r="BL562" s="135"/>
      <c r="BM562" s="136"/>
      <c r="BN562" s="83">
        <f t="shared" si="47"/>
        <v>772.43040000000008</v>
      </c>
      <c r="BO562" s="83"/>
      <c r="BP562" s="83"/>
      <c r="BQ562" s="83"/>
      <c r="BR562" s="96">
        <v>25</v>
      </c>
      <c r="BS562" s="96"/>
      <c r="BT562" s="96"/>
      <c r="BU562" s="96"/>
      <c r="BV562" s="96"/>
      <c r="BW562" s="96"/>
      <c r="BX562" s="65">
        <f t="shared" si="48"/>
        <v>19310.760000000002</v>
      </c>
      <c r="BY562" s="65"/>
      <c r="BZ562" s="65"/>
      <c r="CA562" s="65"/>
      <c r="CB562" s="66"/>
    </row>
    <row r="563" spans="2:80" x14ac:dyDescent="0.2">
      <c r="B563" s="71" t="s">
        <v>497</v>
      </c>
      <c r="C563" s="72"/>
      <c r="D563" s="72"/>
      <c r="E563" s="72"/>
      <c r="F563" s="72"/>
      <c r="G563" s="72"/>
      <c r="H563" s="72"/>
      <c r="I563" s="72"/>
      <c r="J563" s="72"/>
      <c r="K563" s="72"/>
      <c r="L563" s="72"/>
      <c r="M563" s="72"/>
      <c r="N563" s="72"/>
      <c r="O563" s="196">
        <f>+L486</f>
        <v>18</v>
      </c>
      <c r="P563" s="197"/>
      <c r="Q563" s="214">
        <f>+N486</f>
        <v>16</v>
      </c>
      <c r="R563" s="214"/>
      <c r="S563" s="107">
        <f>+P486</f>
        <v>250</v>
      </c>
      <c r="T563" s="107"/>
      <c r="U563" s="11" t="s">
        <v>272</v>
      </c>
      <c r="X563" s="11" t="s">
        <v>498</v>
      </c>
      <c r="Y563" s="61">
        <f>+M487</f>
        <v>2.5</v>
      </c>
      <c r="Z563" s="61"/>
      <c r="AA563" s="11" t="s">
        <v>0</v>
      </c>
      <c r="AB563" s="11"/>
      <c r="AC563" s="11"/>
      <c r="AD563" s="61">
        <f>+AB561</f>
        <v>28</v>
      </c>
      <c r="AE563" s="61"/>
      <c r="AF563" s="11" t="s">
        <v>499</v>
      </c>
      <c r="AG563" s="11"/>
      <c r="AH563" s="11"/>
      <c r="AI563" s="11"/>
      <c r="AJ563" s="11"/>
      <c r="AV563" s="11"/>
      <c r="AW563" s="11"/>
      <c r="AX563" s="11"/>
      <c r="AY563" s="11"/>
      <c r="AZ563" s="11"/>
      <c r="BA563" s="12"/>
      <c r="BB563" s="62">
        <f>ROUND(PI()*Q563^2/4*7.85/1000,3)</f>
        <v>1.5780000000000001</v>
      </c>
      <c r="BC563" s="62"/>
      <c r="BD563" s="62"/>
      <c r="BE563" s="63">
        <f>O563*AD563</f>
        <v>504</v>
      </c>
      <c r="BF563" s="63"/>
      <c r="BG563" s="63"/>
      <c r="BH563" s="83">
        <f>+Y563</f>
        <v>2.5</v>
      </c>
      <c r="BI563" s="83"/>
      <c r="BJ563" s="83"/>
      <c r="BK563" s="134">
        <f t="shared" si="46"/>
        <v>1260</v>
      </c>
      <c r="BL563" s="135"/>
      <c r="BM563" s="136"/>
      <c r="BN563" s="83">
        <f t="shared" si="47"/>
        <v>1988.2800000000002</v>
      </c>
      <c r="BO563" s="83"/>
      <c r="BP563" s="83"/>
      <c r="BQ563" s="83"/>
      <c r="BR563" s="96">
        <v>25</v>
      </c>
      <c r="BS563" s="96"/>
      <c r="BT563" s="96"/>
      <c r="BU563" s="96"/>
      <c r="BV563" s="96"/>
      <c r="BW563" s="96"/>
      <c r="BX563" s="65">
        <f t="shared" si="48"/>
        <v>49707.000000000007</v>
      </c>
      <c r="BY563" s="65"/>
      <c r="BZ563" s="65"/>
      <c r="CA563" s="65"/>
      <c r="CB563" s="66"/>
    </row>
    <row r="564" spans="2:80" x14ac:dyDescent="0.2">
      <c r="B564" s="41" t="s">
        <v>505</v>
      </c>
      <c r="C564" s="42"/>
      <c r="D564" s="42"/>
      <c r="E564" s="42"/>
      <c r="F564" s="42"/>
      <c r="G564" s="42"/>
      <c r="H564" s="218" t="s">
        <v>530</v>
      </c>
      <c r="I564" s="218"/>
      <c r="J564" s="218"/>
      <c r="K564" s="95" cm="1">
        <f t="array" ref="K564">INDEX(BQ485:BQ494,MATCH(H564,AZ485:AZ494,0),0)</f>
        <v>3.47</v>
      </c>
      <c r="L564" s="95"/>
      <c r="M564" s="42" t="s">
        <v>504</v>
      </c>
      <c r="N564" s="43"/>
      <c r="O564" s="13" t="s">
        <v>506</v>
      </c>
      <c r="P564" s="11"/>
      <c r="Q564" s="11"/>
      <c r="R564" s="11"/>
      <c r="S564" s="61">
        <f>+S405</f>
        <v>24</v>
      </c>
      <c r="T564" s="61"/>
      <c r="U564" s="61"/>
      <c r="V564" s="11" t="s">
        <v>0</v>
      </c>
      <c r="W564" s="19" t="s">
        <v>491</v>
      </c>
      <c r="X564" s="61">
        <f>+C422</f>
        <v>42</v>
      </c>
      <c r="Y564" s="61"/>
      <c r="Z564" s="61"/>
      <c r="AA564" s="11" t="s">
        <v>0</v>
      </c>
      <c r="AB564" s="48" t="s">
        <v>501</v>
      </c>
      <c r="AC564" s="73">
        <v>5</v>
      </c>
      <c r="AD564" s="73"/>
      <c r="AE564" s="11" t="s">
        <v>0</v>
      </c>
      <c r="AF564" s="19" t="s">
        <v>491</v>
      </c>
      <c r="AG564" s="73">
        <v>2.15</v>
      </c>
      <c r="AH564" s="73"/>
      <c r="AI564" s="11" t="s">
        <v>0</v>
      </c>
      <c r="AJ564" s="11" t="s">
        <v>502</v>
      </c>
      <c r="AK564" s="11" t="s">
        <v>503</v>
      </c>
      <c r="AL564" s="11"/>
      <c r="AM564" s="11"/>
      <c r="AN564" s="11"/>
      <c r="AO564" s="73">
        <v>0.3</v>
      </c>
      <c r="AP564" s="73"/>
      <c r="AQ564" s="11" t="s">
        <v>0</v>
      </c>
      <c r="AR564" s="11"/>
      <c r="AS564" s="11" t="s">
        <v>506</v>
      </c>
      <c r="AT564" s="11"/>
      <c r="AU564" s="11"/>
      <c r="AV564" s="11"/>
      <c r="AW564" s="61">
        <f>(INT((((S564-AC564)/(AC564-AO564))+1))*BA564*AC564*AG564)+(IF(S564-INT((((S564-AC564)/(AC564-AO564))+1))*(AC564-AO564)&lt;=AO564,0,+BA564)*IF(S564-INT((((S564-AC564)/(AC564-AO564))+1))*(AC564-AO564)&lt;=AO564,0,S564-INT((((S564-AC564)/(AC564-AO564))+1))*(AC564-AO564))*IF(S564-INT((((S564-AC564)/(AC564-AO564))+1))*(AC564-AO564)&lt;=AO564,0,+AG564))+((IF(X564-BA564*(AG564-AO564)&lt;=AO564,0,+INT((((S564-AC564)/(AC564-AO564))+1))))*(IF(X564-BA564*(AG564-AO564)&lt;=AO564,0,X564-BA564*(AG564-AO564)))*(IF(X564-BA564*(AG564-AO564)&lt;=AO564,0,+AC564)))+(IF(OR(IF(S564-INT((((S564-AC564)/(AC564-AO564))+1))*(AC564-AO564)&lt;=AO564,0,S564-INT((((S564-AC564)/(AC564-AO564))+1))*(AC564-AO564))=0,IF(X564-BA564*(AG564-AO564)&lt;=AO564,0,X564-BA564*(AG564-AO564))=0),0,IF(X564-BA564*(AG564-AO564)&lt;=AO564,0,X564-BA564*(AG564-AO564)))*IF(OR(IF(S564-INT((((S564-AC564)/(AC564-AO564))+1))*(AC564-AO564)&lt;=AO564,0,S564-INT((((S564-AC564)/(AC564-AO564))+1))*(AC564-AO564))=0,IF(X564-BA564*(AG564-AO564)&lt;=AO564,0,X564-BA564*(AG564-AO564))=0),0,IF(S564-INT((((S564-AC564)/(AC564-AO564))+1))*(AC564-AO564)&lt;=AO564,0,S564-INT((((S564-AC564)/(AC564-AO564))+1))*(AC564-AO564))))</f>
        <v>1239.3000000000002</v>
      </c>
      <c r="AX564" s="61"/>
      <c r="AY564" s="61"/>
      <c r="AZ564" s="11" t="s">
        <v>294</v>
      </c>
      <c r="BA564" s="49">
        <f>INT((((X564-AG564)/(AG564-AO564))+1))</f>
        <v>22</v>
      </c>
      <c r="BB564" s="63" t="s">
        <v>276</v>
      </c>
      <c r="BC564" s="63"/>
      <c r="BD564" s="63"/>
      <c r="BE564" s="63">
        <v>1</v>
      </c>
      <c r="BF564" s="63"/>
      <c r="BG564" s="63"/>
      <c r="BH564" s="62" t="s">
        <v>276</v>
      </c>
      <c r="BI564" s="62"/>
      <c r="BJ564" s="62"/>
      <c r="BK564" s="62" t="s">
        <v>276</v>
      </c>
      <c r="BL564" s="62"/>
      <c r="BM564" s="62"/>
      <c r="BN564" s="83">
        <f>+AW564*K564</f>
        <v>4300.371000000001</v>
      </c>
      <c r="BO564" s="83"/>
      <c r="BP564" s="83"/>
      <c r="BQ564" s="83"/>
      <c r="BR564" s="96">
        <v>25</v>
      </c>
      <c r="BS564" s="96"/>
      <c r="BT564" s="96"/>
      <c r="BU564" s="96"/>
      <c r="BV564" s="96"/>
      <c r="BW564" s="96"/>
      <c r="BX564" s="65">
        <f t="shared" si="48"/>
        <v>107509.27500000002</v>
      </c>
      <c r="BY564" s="65"/>
      <c r="BZ564" s="65"/>
      <c r="CA564" s="65"/>
      <c r="CB564" s="66"/>
    </row>
    <row r="565" spans="2:80" x14ac:dyDescent="0.2">
      <c r="B565" s="41" t="s">
        <v>540</v>
      </c>
      <c r="C565" s="42"/>
      <c r="D565" s="42"/>
      <c r="E565" s="42"/>
      <c r="F565" s="42"/>
      <c r="G565" s="42"/>
      <c r="H565" s="219" t="s">
        <v>521</v>
      </c>
      <c r="I565" s="219"/>
      <c r="J565" s="219"/>
      <c r="K565" s="95" cm="1">
        <f t="array" ref="K565">INDEX(BQ476:BQ484,MATCH(H565,AZ476:AZ484,0),0)</f>
        <v>2.35</v>
      </c>
      <c r="L565" s="95"/>
      <c r="M565" s="42" t="s">
        <v>504</v>
      </c>
      <c r="N565" s="43"/>
      <c r="O565" s="13" t="s">
        <v>506</v>
      </c>
      <c r="P565" s="11"/>
      <c r="Q565" s="11"/>
      <c r="R565" s="11"/>
      <c r="S565" s="61">
        <f>+W559</f>
        <v>106.80000000000001</v>
      </c>
      <c r="T565" s="61"/>
      <c r="U565" s="61"/>
      <c r="V565" s="11" t="s">
        <v>0</v>
      </c>
      <c r="W565" s="19" t="s">
        <v>491</v>
      </c>
      <c r="X565" s="61">
        <f>+Q476+Q472-0.1</f>
        <v>1.1000000000000001</v>
      </c>
      <c r="Y565" s="61"/>
      <c r="Z565" s="61"/>
      <c r="AA565" s="11" t="s">
        <v>0</v>
      </c>
      <c r="AB565" s="48" t="s">
        <v>501</v>
      </c>
      <c r="AC565" s="73">
        <v>5</v>
      </c>
      <c r="AD565" s="73"/>
      <c r="AE565" s="11" t="s">
        <v>0</v>
      </c>
      <c r="AF565" s="19" t="s">
        <v>491</v>
      </c>
      <c r="AG565" s="73">
        <v>2.15</v>
      </c>
      <c r="AH565" s="73"/>
      <c r="AI565" s="11" t="s">
        <v>0</v>
      </c>
      <c r="AJ565" s="11" t="s">
        <v>502</v>
      </c>
      <c r="AK565" s="11" t="s">
        <v>503</v>
      </c>
      <c r="AL565" s="11"/>
      <c r="AM565" s="11"/>
      <c r="AN565" s="11"/>
      <c r="AO565" s="73">
        <v>0.3</v>
      </c>
      <c r="AP565" s="73"/>
      <c r="AQ565" s="11" t="s">
        <v>0</v>
      </c>
      <c r="AR565" s="11"/>
      <c r="AS565" s="11" t="s">
        <v>506</v>
      </c>
      <c r="AT565" s="11"/>
      <c r="AU565" s="11"/>
      <c r="AV565" s="11"/>
      <c r="AW565" s="61">
        <f>(INT((((S565-AC565)/(AC565-AO565))+1))*BA565*AC565*AG565)+(IF(S565-INT((((S565-AC565)/(AC565-AO565))+1))*(AC565-AO565)&lt;=AO565,0,+BA565)*IF(S565-INT((((S565-AC565)/(AC565-AO565))+1))*(AC565-AO565)&lt;=AO565,0,S565-INT((((S565-AC565)/(AC565-AO565))+1))*(AC565-AO565))*IF(S565-INT((((S565-AC565)/(AC565-AO565))+1))*(AC565-AO565)&lt;=AO565,0,+AG565))+((IF(X565-BA565*(AG565-AO565)&lt;=AO565,0,+INT((((S565-AC565)/(AC565-AO565))+1))))*(IF(X565-BA565*(AG565-AO565)&lt;=AO565,0,X565-BA565*(AG565-AO565)))*(IF(X565-BA565*(AG565-AO565)&lt;=AO565,0,+AC565)))+(IF(OR(IF(S565-INT((((S565-AC565)/(AC565-AO565))+1))*(AC565-AO565)&lt;=AO565,0,S565-INT((((S565-AC565)/(AC565-AO565))+1))*(AC565-AO565))=0,IF(X565-BA565*(AG565-AO565)&lt;=AO565,0,X565-BA565*(AG565-AO565))=0),0,IF(X565-BA565*(AG565-AO565)&lt;=AO565,0,X565-BA565*(AG565-AO565)))*IF(OR(IF(S565-INT((((S565-AC565)/(AC565-AO565))+1))*(AC565-AO565)&lt;=AO565,0,S565-INT((((S565-AC565)/(AC565-AO565))+1))*(AC565-AO565))=0,IF(X565-BA565*(AG565-AO565)&lt;=AO565,0,X565-BA565*(AG565-AO565))=0),0,IF(S565-INT((((S565-AC565)/(AC565-AO565))+1))*(AC565-AO565)&lt;=AO565,0,S565-INT((((S565-AC565)/(AC565-AO565))+1))*(AC565-AO565))))</f>
        <v>124.74000000000002</v>
      </c>
      <c r="AX565" s="61"/>
      <c r="AY565" s="61"/>
      <c r="AZ565" s="11" t="s">
        <v>294</v>
      </c>
      <c r="BA565" s="49">
        <f>INT((((X565-AG565)/(AG565-AO565))+1))</f>
        <v>0</v>
      </c>
      <c r="BB565" s="63" t="s">
        <v>276</v>
      </c>
      <c r="BC565" s="63"/>
      <c r="BD565" s="63"/>
      <c r="BE565" s="63">
        <v>1</v>
      </c>
      <c r="BF565" s="63"/>
      <c r="BG565" s="63"/>
      <c r="BH565" s="62" t="s">
        <v>276</v>
      </c>
      <c r="BI565" s="62"/>
      <c r="BJ565" s="62"/>
      <c r="BK565" s="62" t="s">
        <v>276</v>
      </c>
      <c r="BL565" s="62"/>
      <c r="BM565" s="62"/>
      <c r="BN565" s="83">
        <f>+AW565*K565</f>
        <v>293.13900000000007</v>
      </c>
      <c r="BO565" s="83"/>
      <c r="BP565" s="83"/>
      <c r="BQ565" s="83"/>
      <c r="BR565" s="96">
        <v>25</v>
      </c>
      <c r="BS565" s="96"/>
      <c r="BT565" s="96"/>
      <c r="BU565" s="96"/>
      <c r="BV565" s="96"/>
      <c r="BW565" s="96"/>
      <c r="BX565" s="65">
        <f t="shared" si="48"/>
        <v>7328.4750000000013</v>
      </c>
      <c r="BY565" s="65"/>
      <c r="BZ565" s="65"/>
      <c r="CA565" s="65"/>
      <c r="CB565" s="66"/>
    </row>
    <row r="566" spans="2:80" x14ac:dyDescent="0.2">
      <c r="B566" s="14"/>
      <c r="AD566" s="1" t="s">
        <v>507</v>
      </c>
      <c r="BG566" s="206" t="s">
        <v>301</v>
      </c>
      <c r="BH566" s="206"/>
      <c r="BI566" s="206"/>
      <c r="BJ566" s="206"/>
      <c r="BK566" s="206"/>
      <c r="BL566" s="206"/>
      <c r="BM566" s="206"/>
      <c r="BN566" s="207">
        <f>SUM(BN557:BQ565)</f>
        <v>9781.6635999999999</v>
      </c>
      <c r="BO566" s="206"/>
      <c r="BP566" s="206"/>
      <c r="BQ566" s="206"/>
      <c r="BS566" s="206" t="s">
        <v>484</v>
      </c>
      <c r="BT566" s="206"/>
      <c r="BU566" s="206"/>
      <c r="BV566" s="206"/>
      <c r="BW566" s="206"/>
      <c r="BX566" s="203">
        <f>SUM(BX557:CB565)</f>
        <v>846493.59</v>
      </c>
      <c r="BY566" s="203"/>
      <c r="BZ566" s="203"/>
      <c r="CA566" s="203"/>
      <c r="CB566" s="204"/>
    </row>
    <row r="567" spans="2:80" x14ac:dyDescent="0.2">
      <c r="B567" s="14"/>
      <c r="BG567" s="133" t="s">
        <v>302</v>
      </c>
      <c r="BH567" s="133"/>
      <c r="BI567" s="133"/>
      <c r="BJ567" s="133"/>
      <c r="BK567" s="133"/>
      <c r="BL567" s="133"/>
      <c r="BM567" s="133"/>
      <c r="BN567" s="132">
        <f>+BN566/1000</f>
        <v>9.7816635999999999</v>
      </c>
      <c r="BO567" s="133"/>
      <c r="BP567" s="133"/>
      <c r="BQ567" s="133"/>
      <c r="BS567" s="133" t="s">
        <v>485</v>
      </c>
      <c r="BT567" s="133"/>
      <c r="BU567" s="133"/>
      <c r="BV567" s="133"/>
      <c r="BW567" s="133"/>
      <c r="BX567" s="138">
        <f>BX566*0.18</f>
        <v>152368.8462</v>
      </c>
      <c r="BY567" s="138"/>
      <c r="BZ567" s="138"/>
      <c r="CA567" s="138"/>
      <c r="CB567" s="139"/>
    </row>
    <row r="568" spans="2:80" x14ac:dyDescent="0.2">
      <c r="B568" s="14"/>
      <c r="BG568" s="133" t="s">
        <v>550</v>
      </c>
      <c r="BH568" s="133"/>
      <c r="BI568" s="133"/>
      <c r="BJ568" s="133"/>
      <c r="BK568" s="133"/>
      <c r="BL568" s="133"/>
      <c r="BM568" s="133"/>
      <c r="BN568" s="186">
        <f>+AF557+AF558+AS559+AA560</f>
        <v>231.52</v>
      </c>
      <c r="BO568" s="186"/>
      <c r="BP568" s="186"/>
      <c r="BQ568" s="186"/>
      <c r="BS568" s="133" t="s">
        <v>486</v>
      </c>
      <c r="BT568" s="133"/>
      <c r="BU568" s="133"/>
      <c r="BV568" s="133"/>
      <c r="BW568" s="133"/>
      <c r="BX568" s="140">
        <f>+BX567+BX566</f>
        <v>998862.4362</v>
      </c>
      <c r="BY568" s="140"/>
      <c r="BZ568" s="140"/>
      <c r="CA568" s="140"/>
      <c r="CB568" s="141"/>
    </row>
    <row r="569" spans="2:80" x14ac:dyDescent="0.2">
      <c r="B569" s="14"/>
      <c r="BG569" s="133" t="s">
        <v>551</v>
      </c>
      <c r="BH569" s="133"/>
      <c r="BI569" s="133"/>
      <c r="BJ569" s="133"/>
      <c r="BK569" s="133"/>
      <c r="BL569" s="133"/>
      <c r="BM569" s="133"/>
      <c r="BN569" s="137">
        <f>+BN566/BN568</f>
        <v>42.249756392536277</v>
      </c>
      <c r="BO569" s="137"/>
      <c r="BP569" s="137"/>
      <c r="BQ569" s="137"/>
      <c r="BR569" s="97" t="s">
        <v>544</v>
      </c>
      <c r="BS569" s="95"/>
      <c r="BT569" s="95"/>
      <c r="BU569" s="95"/>
      <c r="BV569" s="95"/>
      <c r="BW569" s="98"/>
      <c r="BX569" s="140">
        <f>+BX555+BX568</f>
        <v>4928784.3408619491</v>
      </c>
      <c r="BY569" s="140"/>
      <c r="BZ569" s="140"/>
      <c r="CA569" s="140"/>
      <c r="CB569" s="141"/>
    </row>
    <row r="570" spans="2:80" ht="12" thickBot="1" x14ac:dyDescent="0.25">
      <c r="B570" s="16"/>
      <c r="C570" s="17"/>
      <c r="D570" s="17"/>
      <c r="E570" s="17"/>
      <c r="F570" s="17"/>
      <c r="G570" s="17"/>
      <c r="H570" s="17"/>
      <c r="I570" s="17"/>
      <c r="J570" s="17"/>
      <c r="K570" s="17"/>
      <c r="L570" s="17"/>
      <c r="M570" s="17"/>
      <c r="N570" s="17"/>
      <c r="O570" s="17"/>
      <c r="P570" s="17"/>
      <c r="Q570" s="17"/>
      <c r="R570" s="17"/>
      <c r="S570" s="17"/>
      <c r="T570" s="17"/>
      <c r="U570" s="17"/>
      <c r="V570" s="17"/>
      <c r="W570" s="17"/>
      <c r="X570" s="17"/>
      <c r="Y570" s="17"/>
      <c r="Z570" s="17"/>
      <c r="AA570" s="17"/>
      <c r="AB570" s="17"/>
      <c r="AC570" s="17"/>
      <c r="AD570" s="17"/>
      <c r="AE570" s="17"/>
      <c r="AF570" s="17"/>
      <c r="AG570" s="17"/>
      <c r="AH570" s="17"/>
      <c r="AI570" s="17"/>
      <c r="AJ570" s="17"/>
      <c r="AK570" s="17"/>
      <c r="AL570" s="17"/>
      <c r="AM570" s="17"/>
      <c r="AN570" s="17"/>
      <c r="AO570" s="17"/>
      <c r="AP570" s="17"/>
      <c r="AQ570" s="17"/>
      <c r="AR570" s="17"/>
      <c r="AS570" s="17"/>
      <c r="AT570" s="17"/>
      <c r="AU570" s="17"/>
      <c r="AV570" s="17"/>
      <c r="AW570" s="17"/>
      <c r="AX570" s="17"/>
      <c r="AY570" s="17"/>
      <c r="AZ570" s="17"/>
      <c r="BA570" s="17"/>
      <c r="BB570" s="17"/>
      <c r="BC570" s="17"/>
      <c r="BD570" s="17"/>
      <c r="BE570" s="17"/>
      <c r="BF570" s="17"/>
      <c r="BG570" s="17"/>
      <c r="BH570" s="17"/>
      <c r="BI570" s="17"/>
      <c r="BJ570" s="17"/>
      <c r="BK570" s="17"/>
      <c r="BL570" s="17"/>
      <c r="BM570" s="17"/>
      <c r="BN570" s="17"/>
      <c r="BO570" s="17"/>
      <c r="BP570" s="17"/>
      <c r="BQ570" s="17"/>
      <c r="BR570" s="17"/>
      <c r="BS570" s="17"/>
      <c r="BT570" s="17"/>
      <c r="BU570" s="17"/>
      <c r="BV570" s="17"/>
      <c r="BW570" s="17"/>
      <c r="BX570" s="17"/>
      <c r="BY570" s="17"/>
      <c r="BZ570" s="17"/>
      <c r="CA570" s="17"/>
      <c r="CB570" s="18"/>
    </row>
    <row r="571" spans="2:80" ht="12" thickBot="1" x14ac:dyDescent="0.25"/>
    <row r="572" spans="2:80" ht="43.5" customHeight="1" x14ac:dyDescent="0.2">
      <c r="B572" s="187" t="s">
        <v>469</v>
      </c>
      <c r="C572" s="188"/>
      <c r="D572" s="188"/>
      <c r="E572" s="188"/>
      <c r="F572" s="188"/>
      <c r="G572" s="188"/>
      <c r="H572" s="188"/>
      <c r="I572" s="188"/>
      <c r="J572" s="188"/>
      <c r="K572" s="188"/>
      <c r="L572" s="188"/>
      <c r="M572" s="188"/>
      <c r="N572" s="188"/>
      <c r="O572" s="188"/>
      <c r="P572" s="188"/>
      <c r="Q572" s="188"/>
      <c r="R572" s="188"/>
      <c r="S572" s="188"/>
      <c r="T572" s="188"/>
      <c r="U572" s="188"/>
      <c r="V572" s="188"/>
      <c r="W572" s="188"/>
      <c r="X572" s="188"/>
      <c r="Y572" s="188"/>
      <c r="Z572" s="188"/>
      <c r="AA572" s="188"/>
      <c r="AB572" s="188"/>
      <c r="AC572" s="188"/>
      <c r="AD572" s="188"/>
      <c r="AE572" s="188"/>
      <c r="AF572" s="188"/>
      <c r="AG572" s="188"/>
      <c r="AH572" s="188"/>
      <c r="AI572" s="188"/>
      <c r="AJ572" s="188"/>
      <c r="AK572" s="188"/>
      <c r="AL572" s="188"/>
      <c r="AM572" s="188"/>
      <c r="AN572" s="188"/>
      <c r="AO572" s="188"/>
      <c r="AP572" s="188"/>
      <c r="AQ572" s="188"/>
      <c r="AR572" s="188"/>
      <c r="AS572" s="188"/>
      <c r="AT572" s="188"/>
      <c r="AU572" s="188"/>
      <c r="AV572" s="188"/>
      <c r="AW572" s="188"/>
      <c r="AX572" s="188"/>
      <c r="AY572" s="188"/>
      <c r="AZ572" s="188"/>
      <c r="BA572" s="188"/>
      <c r="BB572" s="188"/>
      <c r="BC572" s="188"/>
      <c r="BD572" s="188"/>
      <c r="BE572" s="188"/>
      <c r="BF572" s="188"/>
      <c r="BG572" s="188"/>
      <c r="BH572" s="188"/>
      <c r="BI572" s="188"/>
      <c r="BJ572" s="188"/>
      <c r="BK572" s="188"/>
      <c r="BL572" s="188"/>
      <c r="BM572" s="188"/>
      <c r="BN572" s="188"/>
      <c r="BO572" s="188"/>
      <c r="BP572" s="188"/>
      <c r="BQ572" s="188"/>
      <c r="BR572" s="188"/>
      <c r="BS572" s="188"/>
      <c r="BT572" s="188"/>
      <c r="BU572" s="188"/>
      <c r="BV572" s="188"/>
      <c r="BW572" s="188"/>
      <c r="BX572" s="188"/>
      <c r="BY572" s="188"/>
      <c r="BZ572" s="188"/>
      <c r="CA572" s="188"/>
      <c r="CB572" s="189"/>
    </row>
    <row r="573" spans="2:80" x14ac:dyDescent="0.2">
      <c r="B573" s="14"/>
      <c r="D573" s="31" t="s">
        <v>280</v>
      </c>
      <c r="AB573" s="32"/>
      <c r="AC573" s="5"/>
      <c r="AD573" s="5"/>
      <c r="AE573" s="5"/>
      <c r="AF573" s="5"/>
      <c r="AG573" s="5"/>
      <c r="AH573" s="33"/>
      <c r="AI573" s="34"/>
      <c r="AJ573" s="34"/>
      <c r="AK573" s="34"/>
      <c r="AL573" s="34"/>
      <c r="AM573" s="34"/>
      <c r="AN573" s="34"/>
      <c r="AO573" s="5"/>
      <c r="AP573" s="5"/>
      <c r="AQ573" s="5"/>
      <c r="AR573" s="5"/>
      <c r="AS573" s="5"/>
      <c r="CB573" s="15"/>
    </row>
    <row r="574" spans="2:80" x14ac:dyDescent="0.2">
      <c r="B574" s="14"/>
      <c r="Q574" s="35" t="s">
        <v>5</v>
      </c>
      <c r="R574" s="35"/>
      <c r="AX574" s="35" t="s">
        <v>290</v>
      </c>
      <c r="BI574" s="1" t="s">
        <v>8</v>
      </c>
      <c r="CB574" s="15"/>
    </row>
    <row r="575" spans="2:80" x14ac:dyDescent="0.2">
      <c r="B575" s="14"/>
      <c r="CB575" s="15"/>
    </row>
    <row r="576" spans="2:80" x14ac:dyDescent="0.2">
      <c r="B576" s="14"/>
      <c r="E576" s="36" t="s">
        <v>0</v>
      </c>
      <c r="X576" s="1" t="s">
        <v>12</v>
      </c>
      <c r="CB576" s="15"/>
    </row>
    <row r="577" spans="2:80" x14ac:dyDescent="0.2">
      <c r="B577" s="14"/>
      <c r="E577" s="122">
        <v>1.2</v>
      </c>
      <c r="AH577" s="60">
        <f>+E577</f>
        <v>1.2</v>
      </c>
      <c r="AI577" s="60"/>
      <c r="AJ577" s="1" t="s">
        <v>0</v>
      </c>
      <c r="BO577" s="1" t="s">
        <v>466</v>
      </c>
      <c r="CB577" s="15"/>
    </row>
    <row r="578" spans="2:80" x14ac:dyDescent="0.2">
      <c r="B578" s="14"/>
      <c r="E578" s="122"/>
      <c r="CB578" s="15"/>
    </row>
    <row r="579" spans="2:80" x14ac:dyDescent="0.2">
      <c r="B579" s="14"/>
      <c r="E579" s="122"/>
      <c r="CB579" s="15"/>
    </row>
    <row r="580" spans="2:80" x14ac:dyDescent="0.2">
      <c r="B580" s="14"/>
      <c r="C580" s="36" t="s">
        <v>0</v>
      </c>
      <c r="N580" s="60">
        <f>SQRT(E577^2+N589^2)</f>
        <v>12.059850745345068</v>
      </c>
      <c r="O580" s="60"/>
      <c r="P580" s="1" t="s">
        <v>0</v>
      </c>
      <c r="AB580" s="60">
        <f>ATAN(E577/N589)*180/PI()</f>
        <v>5.7105931374996421</v>
      </c>
      <c r="AC580" s="60"/>
      <c r="AD580" s="37" t="s">
        <v>6</v>
      </c>
      <c r="CB580" s="15"/>
    </row>
    <row r="581" spans="2:80" x14ac:dyDescent="0.2">
      <c r="B581" s="14"/>
      <c r="C581" s="121">
        <f>+E577+E583</f>
        <v>9.1999999999999993</v>
      </c>
      <c r="AH581" s="60">
        <f>+E583/3</f>
        <v>2.6666666666666665</v>
      </c>
      <c r="AI581" s="60"/>
      <c r="AJ581" s="1" t="s">
        <v>0</v>
      </c>
      <c r="CB581" s="15"/>
    </row>
    <row r="582" spans="2:80" x14ac:dyDescent="0.2">
      <c r="B582" s="14"/>
      <c r="C582" s="121"/>
      <c r="E582" s="36" t="s">
        <v>0</v>
      </c>
      <c r="CB582" s="15"/>
    </row>
    <row r="583" spans="2:80" x14ac:dyDescent="0.2">
      <c r="B583" s="14"/>
      <c r="C583" s="121"/>
      <c r="E583" s="122">
        <v>8</v>
      </c>
      <c r="AH583" s="60">
        <f>+AH581</f>
        <v>2.6666666666666665</v>
      </c>
      <c r="AI583" s="60"/>
      <c r="AJ583" s="183" t="s">
        <v>0</v>
      </c>
      <c r="BO583" s="1" t="s">
        <v>7</v>
      </c>
      <c r="CB583" s="15"/>
    </row>
    <row r="584" spans="2:80" x14ac:dyDescent="0.2">
      <c r="B584" s="14"/>
      <c r="E584" s="122"/>
      <c r="AD584" s="1" t="s">
        <v>13</v>
      </c>
      <c r="AH584" s="60"/>
      <c r="AI584" s="60"/>
      <c r="AJ584" s="183"/>
      <c r="CB584" s="15"/>
    </row>
    <row r="585" spans="2:80" x14ac:dyDescent="0.2">
      <c r="B585" s="14"/>
      <c r="E585" s="122"/>
      <c r="CB585" s="15"/>
    </row>
    <row r="586" spans="2:80" x14ac:dyDescent="0.2">
      <c r="B586" s="14"/>
      <c r="AH586" s="60">
        <f>+AH583</f>
        <v>2.6666666666666665</v>
      </c>
      <c r="AI586" s="60"/>
      <c r="AJ586" s="1" t="s">
        <v>0</v>
      </c>
      <c r="CB586" s="15"/>
    </row>
    <row r="587" spans="2:80" x14ac:dyDescent="0.2">
      <c r="B587" s="14"/>
      <c r="CB587" s="15"/>
    </row>
    <row r="588" spans="2:80" x14ac:dyDescent="0.2">
      <c r="B588" s="14"/>
      <c r="CB588" s="15"/>
    </row>
    <row r="589" spans="2:80" x14ac:dyDescent="0.2">
      <c r="B589" s="14"/>
      <c r="N589" s="60">
        <f>+S591/2</f>
        <v>12</v>
      </c>
      <c r="O589" s="60"/>
      <c r="P589" s="1" t="s">
        <v>0</v>
      </c>
      <c r="Y589" s="60">
        <f>+S591/2</f>
        <v>12</v>
      </c>
      <c r="Z589" s="60"/>
      <c r="AA589" s="1" t="s">
        <v>0</v>
      </c>
      <c r="AM589" s="60">
        <f>+E600</f>
        <v>6</v>
      </c>
      <c r="AN589" s="60"/>
      <c r="AO589" s="1" t="s">
        <v>0</v>
      </c>
      <c r="AQ589" s="60">
        <f>+AM589</f>
        <v>6</v>
      </c>
      <c r="AR589" s="60"/>
      <c r="AS589" s="1" t="s">
        <v>0</v>
      </c>
      <c r="AU589" s="60">
        <f>+AQ589</f>
        <v>6</v>
      </c>
      <c r="AV589" s="60"/>
      <c r="AW589" s="1" t="s">
        <v>0</v>
      </c>
      <c r="AY589" s="60">
        <f>+AU589</f>
        <v>6</v>
      </c>
      <c r="AZ589" s="60"/>
      <c r="BC589" s="60">
        <f>+AY589</f>
        <v>6</v>
      </c>
      <c r="BD589" s="60"/>
      <c r="BG589" s="60">
        <f>+BC589</f>
        <v>6</v>
      </c>
      <c r="BH589" s="60"/>
      <c r="BK589" s="60">
        <f>+BG589</f>
        <v>6</v>
      </c>
      <c r="BL589" s="60"/>
      <c r="CB589" s="15"/>
    </row>
    <row r="590" spans="2:80" x14ac:dyDescent="0.2">
      <c r="B590" s="14"/>
      <c r="CB590" s="15"/>
    </row>
    <row r="591" spans="2:80" x14ac:dyDescent="0.2">
      <c r="B591" s="14"/>
      <c r="S591" s="91">
        <v>24</v>
      </c>
      <c r="T591" s="91"/>
      <c r="U591" s="1" t="s">
        <v>0</v>
      </c>
      <c r="AY591" s="60">
        <f>+C611</f>
        <v>42</v>
      </c>
      <c r="AZ591" s="60"/>
      <c r="BA591" s="60"/>
      <c r="BB591" s="1" t="s">
        <v>0</v>
      </c>
      <c r="CB591" s="15"/>
    </row>
    <row r="592" spans="2:80" x14ac:dyDescent="0.2">
      <c r="B592" s="14"/>
      <c r="CB592" s="15"/>
    </row>
    <row r="593" spans="2:80" x14ac:dyDescent="0.2">
      <c r="B593" s="14"/>
      <c r="S593" s="35" t="s">
        <v>3</v>
      </c>
      <c r="AO593" s="1" t="s">
        <v>471</v>
      </c>
      <c r="BG593" s="1" t="s">
        <v>9</v>
      </c>
      <c r="CB593" s="15"/>
    </row>
    <row r="594" spans="2:80" x14ac:dyDescent="0.2">
      <c r="B594" s="14"/>
      <c r="R594" s="25"/>
      <c r="S594" s="60">
        <f>+S591</f>
        <v>24</v>
      </c>
      <c r="T594" s="60"/>
      <c r="U594" s="1" t="s">
        <v>0</v>
      </c>
      <c r="V594" s="25"/>
      <c r="AV594" s="40"/>
      <c r="AW594" s="40"/>
      <c r="AX594" s="40"/>
      <c r="AY594" s="185" t="s">
        <v>427</v>
      </c>
      <c r="AZ594" s="185" t="s">
        <v>425</v>
      </c>
      <c r="BA594" s="185" t="s">
        <v>426</v>
      </c>
      <c r="BB594" s="40"/>
      <c r="BC594" s="40"/>
      <c r="BD594" s="40"/>
      <c r="BE594" s="40"/>
      <c r="BF594" s="40"/>
      <c r="BG594" s="40"/>
      <c r="BH594" s="40"/>
      <c r="BI594" s="40"/>
      <c r="BJ594" s="40"/>
      <c r="BK594" s="40"/>
      <c r="BL594" s="40"/>
      <c r="BM594" s="40"/>
      <c r="BN594" s="40"/>
      <c r="BO594" s="40"/>
      <c r="BP594" s="40"/>
      <c r="BQ594" s="40"/>
      <c r="BU594" s="40"/>
      <c r="CB594" s="15"/>
    </row>
    <row r="595" spans="2:80" x14ac:dyDescent="0.2">
      <c r="B595" s="14"/>
      <c r="S595" s="35"/>
      <c r="AH595" s="1" t="s">
        <v>385</v>
      </c>
      <c r="AV595" s="40"/>
      <c r="AW595" s="40"/>
      <c r="AX595" s="40"/>
      <c r="AY595" s="185"/>
      <c r="AZ595" s="185"/>
      <c r="BA595" s="185"/>
      <c r="BB595" s="40"/>
      <c r="BC595" s="40"/>
      <c r="BD595" s="40"/>
      <c r="BE595" s="40"/>
      <c r="BF595" s="40"/>
      <c r="BG595" s="40"/>
      <c r="BH595" s="40"/>
      <c r="BI595" s="40"/>
      <c r="BJ595" s="40"/>
      <c r="BK595" s="40"/>
      <c r="BL595" s="40"/>
      <c r="BM595" s="40"/>
      <c r="BN595" s="40"/>
      <c r="BO595" s="40"/>
      <c r="BP595" s="40"/>
      <c r="BQ595" s="40"/>
      <c r="BU595" s="40"/>
      <c r="CB595" s="15"/>
    </row>
    <row r="596" spans="2:80" x14ac:dyDescent="0.2">
      <c r="B596" s="14"/>
      <c r="H596" s="60">
        <f>+S594/(AL603-2)</f>
        <v>3</v>
      </c>
      <c r="I596" s="60"/>
      <c r="J596" s="1" t="s">
        <v>0</v>
      </c>
      <c r="K596" s="60">
        <f>+H596</f>
        <v>3</v>
      </c>
      <c r="L596" s="60"/>
      <c r="M596" s="1" t="s">
        <v>0</v>
      </c>
      <c r="N596" s="60">
        <f>+K596</f>
        <v>3</v>
      </c>
      <c r="O596" s="60"/>
      <c r="P596" s="1" t="s">
        <v>0</v>
      </c>
      <c r="Q596" s="60">
        <f>+N596</f>
        <v>3</v>
      </c>
      <c r="R596" s="60"/>
      <c r="S596" s="1" t="s">
        <v>0</v>
      </c>
      <c r="T596" s="60">
        <f>+Q596</f>
        <v>3</v>
      </c>
      <c r="U596" s="60"/>
      <c r="V596" s="1" t="s">
        <v>0</v>
      </c>
      <c r="W596" s="60">
        <f>+T596</f>
        <v>3</v>
      </c>
      <c r="X596" s="60"/>
      <c r="Y596" s="1" t="s">
        <v>0</v>
      </c>
      <c r="Z596" s="60">
        <f>+W596</f>
        <v>3</v>
      </c>
      <c r="AA596" s="60"/>
      <c r="AB596" s="1" t="s">
        <v>0</v>
      </c>
      <c r="AC596" s="60">
        <f>+Z596</f>
        <v>3</v>
      </c>
      <c r="AD596" s="60"/>
      <c r="AE596" s="1" t="s">
        <v>0</v>
      </c>
      <c r="AV596" s="40"/>
      <c r="AW596" s="40"/>
      <c r="AX596" s="40"/>
      <c r="AY596" s="185"/>
      <c r="AZ596" s="185"/>
      <c r="BA596" s="185"/>
      <c r="BB596" s="40"/>
      <c r="BC596" s="40"/>
      <c r="BD596" s="40"/>
      <c r="BE596" s="40"/>
      <c r="BF596" s="40"/>
      <c r="BG596" s="40"/>
      <c r="BH596" s="40"/>
      <c r="BI596" s="40"/>
      <c r="BJ596" s="40"/>
      <c r="BK596" s="40"/>
      <c r="BL596" s="40"/>
      <c r="BM596" s="40"/>
      <c r="BN596" s="40"/>
      <c r="BO596" s="40"/>
      <c r="BP596" s="40"/>
      <c r="BQ596" s="40"/>
      <c r="BU596" s="40"/>
      <c r="CB596" s="15"/>
    </row>
    <row r="597" spans="2:80" x14ac:dyDescent="0.2">
      <c r="B597" s="14"/>
      <c r="AL597" s="1" t="s">
        <v>483</v>
      </c>
      <c r="AV597" s="40"/>
      <c r="AW597" s="40"/>
      <c r="AX597" s="40"/>
      <c r="AY597" s="185"/>
      <c r="AZ597" s="185"/>
      <c r="BA597" s="185"/>
      <c r="BB597" s="40"/>
      <c r="BC597" s="40"/>
      <c r="BD597" s="40"/>
      <c r="BE597" s="40"/>
      <c r="BF597" s="40"/>
      <c r="BG597" s="40"/>
      <c r="BH597" s="40"/>
      <c r="BI597" s="40"/>
      <c r="BJ597" s="40"/>
      <c r="BK597" s="40"/>
      <c r="BL597" s="40"/>
      <c r="BM597" s="40"/>
      <c r="BN597" s="40"/>
      <c r="BO597" s="40"/>
      <c r="BP597" s="40"/>
      <c r="BQ597" s="40"/>
      <c r="BU597" s="40"/>
      <c r="CB597" s="15"/>
    </row>
    <row r="598" spans="2:80" x14ac:dyDescent="0.2">
      <c r="B598" s="14"/>
      <c r="AV598" s="40"/>
      <c r="AW598" s="40"/>
      <c r="AX598" s="40"/>
      <c r="AY598" s="185"/>
      <c r="AZ598" s="185"/>
      <c r="BA598" s="185"/>
      <c r="BB598" s="40"/>
      <c r="BC598" s="40"/>
      <c r="BD598" s="40"/>
      <c r="BE598" s="40"/>
      <c r="BF598" s="40"/>
      <c r="BG598" s="40"/>
      <c r="BH598" s="40"/>
      <c r="BI598" s="40"/>
      <c r="BJ598" s="40"/>
      <c r="BK598" s="40"/>
      <c r="BL598" s="40"/>
      <c r="BM598" s="40"/>
      <c r="BN598" s="40"/>
      <c r="BO598" s="40"/>
      <c r="BP598" s="40"/>
      <c r="BQ598" s="40"/>
      <c r="BU598" s="40"/>
      <c r="CB598" s="15"/>
    </row>
    <row r="599" spans="2:80" x14ac:dyDescent="0.2">
      <c r="B599" s="14"/>
      <c r="E599" s="36" t="s">
        <v>0</v>
      </c>
      <c r="AV599" s="40"/>
      <c r="AW599" s="40"/>
      <c r="AX599" s="40"/>
      <c r="AY599" s="185"/>
      <c r="AZ599" s="185"/>
      <c r="BA599" s="185"/>
      <c r="BB599" s="40"/>
      <c r="BC599" s="40"/>
      <c r="BD599" s="40"/>
      <c r="BE599" s="40"/>
      <c r="BF599" s="40"/>
      <c r="BG599" s="40"/>
      <c r="BH599" s="40"/>
      <c r="BI599" s="40"/>
      <c r="BJ599" s="40"/>
      <c r="BK599" s="40"/>
      <c r="BL599" s="40"/>
      <c r="BM599" s="40"/>
      <c r="BN599" s="40"/>
      <c r="BO599" s="40"/>
      <c r="BP599" s="40"/>
      <c r="BQ599" s="40"/>
      <c r="BU599" s="40"/>
      <c r="CB599" s="15"/>
    </row>
    <row r="600" spans="2:80" x14ac:dyDescent="0.2">
      <c r="B600" s="14"/>
      <c r="E600" s="122">
        <v>6</v>
      </c>
      <c r="AV600" s="40"/>
      <c r="AW600" s="40"/>
      <c r="AX600" s="40"/>
      <c r="AY600" s="39">
        <v>4</v>
      </c>
      <c r="AZ600" s="39">
        <v>2</v>
      </c>
      <c r="BA600" s="39">
        <v>2</v>
      </c>
      <c r="BB600" s="40"/>
      <c r="BC600" s="40"/>
      <c r="BD600" s="40"/>
      <c r="BE600" s="40"/>
      <c r="BF600" s="40"/>
      <c r="BG600" s="40"/>
      <c r="BH600" s="40"/>
      <c r="BI600" s="40"/>
      <c r="BJ600" s="40"/>
      <c r="BK600" s="40"/>
      <c r="BL600" s="40"/>
      <c r="BM600" s="40"/>
      <c r="BN600" s="40"/>
      <c r="BO600" s="40"/>
      <c r="BP600" s="40"/>
      <c r="BQ600" s="40"/>
      <c r="BU600" s="40"/>
      <c r="CB600" s="15"/>
    </row>
    <row r="601" spans="2:80" x14ac:dyDescent="0.2">
      <c r="B601" s="14"/>
      <c r="E601" s="122"/>
      <c r="AV601" s="40"/>
      <c r="AW601" s="40"/>
      <c r="AX601" s="40"/>
      <c r="AY601" s="39">
        <v>7</v>
      </c>
      <c r="AZ601" s="39">
        <v>3</v>
      </c>
      <c r="BA601" s="39">
        <v>4</v>
      </c>
      <c r="BB601" s="40"/>
      <c r="BC601" s="40"/>
      <c r="BD601" s="40"/>
      <c r="BE601" s="40"/>
      <c r="BF601" s="40"/>
      <c r="BG601" s="40"/>
      <c r="BH601" s="40"/>
      <c r="BI601" s="40"/>
      <c r="BJ601" s="40"/>
      <c r="BK601" s="40"/>
      <c r="BL601" s="40"/>
      <c r="BM601" s="40"/>
      <c r="BN601" s="40"/>
      <c r="BO601" s="40"/>
      <c r="BP601" s="40"/>
      <c r="BQ601" s="40"/>
      <c r="BU601" s="40"/>
      <c r="CB601" s="15"/>
    </row>
    <row r="602" spans="2:80" x14ac:dyDescent="0.2">
      <c r="B602" s="14"/>
      <c r="E602" s="122"/>
      <c r="AV602" s="40"/>
      <c r="AW602" s="40"/>
      <c r="AX602" s="40"/>
      <c r="AY602" s="39">
        <v>10</v>
      </c>
      <c r="AZ602" s="39">
        <v>4</v>
      </c>
      <c r="BA602" s="39">
        <v>6</v>
      </c>
      <c r="BB602" s="40"/>
      <c r="BC602" s="40"/>
      <c r="BD602" s="40"/>
      <c r="BE602" s="40"/>
      <c r="BF602" s="40"/>
      <c r="BG602" s="40"/>
      <c r="BH602" s="40"/>
      <c r="BI602" s="40"/>
      <c r="BJ602" s="40"/>
      <c r="BK602" s="40"/>
      <c r="BL602" s="40"/>
      <c r="BM602" s="40"/>
      <c r="BN602" s="40"/>
      <c r="BO602" s="40"/>
      <c r="BP602" s="40"/>
      <c r="BQ602" s="40"/>
      <c r="BU602" s="40"/>
      <c r="CB602" s="15"/>
    </row>
    <row r="603" spans="2:80" x14ac:dyDescent="0.2">
      <c r="B603" s="14"/>
      <c r="AH603" s="1" t="s">
        <v>307</v>
      </c>
      <c r="AL603" s="91">
        <v>10</v>
      </c>
      <c r="AM603" s="91"/>
      <c r="AN603" s="1" t="s">
        <v>265</v>
      </c>
      <c r="AV603" s="40"/>
      <c r="AW603" s="40"/>
      <c r="AX603" s="40"/>
      <c r="AY603" s="39">
        <v>13</v>
      </c>
      <c r="AZ603" s="39">
        <v>5</v>
      </c>
      <c r="BA603" s="39">
        <v>8</v>
      </c>
      <c r="BB603" s="40"/>
      <c r="BC603" s="40"/>
      <c r="BD603" s="40"/>
      <c r="BE603" s="40"/>
      <c r="BF603" s="40"/>
      <c r="BG603" s="40"/>
      <c r="BH603" s="40"/>
      <c r="BI603" s="40"/>
      <c r="BJ603" s="40"/>
      <c r="BK603" s="40"/>
      <c r="BL603" s="40"/>
      <c r="BM603" s="40"/>
      <c r="BN603" s="40"/>
      <c r="BO603" s="40"/>
      <c r="BP603" s="40"/>
      <c r="BQ603" s="40"/>
      <c r="BU603" s="40"/>
      <c r="CB603" s="15"/>
    </row>
    <row r="604" spans="2:80" x14ac:dyDescent="0.2">
      <c r="B604" s="14"/>
      <c r="E604" s="36" t="s">
        <v>0</v>
      </c>
      <c r="G604" s="1" t="s">
        <v>4</v>
      </c>
      <c r="AF604" s="38" t="s">
        <v>4</v>
      </c>
      <c r="AV604" s="40"/>
      <c r="AW604" s="40"/>
      <c r="AX604" s="40"/>
      <c r="AY604" s="39">
        <v>16</v>
      </c>
      <c r="AZ604" s="39">
        <v>6</v>
      </c>
      <c r="BA604" s="39">
        <v>10</v>
      </c>
      <c r="BB604" s="40"/>
      <c r="BC604" s="40"/>
      <c r="BD604" s="40"/>
      <c r="BE604" s="40"/>
      <c r="BF604" s="40"/>
      <c r="BG604" s="40"/>
      <c r="BH604" s="40"/>
      <c r="BI604" s="40"/>
      <c r="BJ604" s="40"/>
      <c r="BK604" s="40"/>
      <c r="BL604" s="40"/>
      <c r="BM604" s="40"/>
      <c r="BN604" s="40"/>
      <c r="BO604" s="40"/>
      <c r="BP604" s="40"/>
      <c r="BQ604" s="40"/>
      <c r="BU604" s="40"/>
      <c r="CB604" s="15"/>
    </row>
    <row r="605" spans="2:80" x14ac:dyDescent="0.2">
      <c r="B605" s="14"/>
      <c r="E605" s="121">
        <f>+E600</f>
        <v>6</v>
      </c>
      <c r="AV605" s="40"/>
      <c r="AW605" s="40"/>
      <c r="AX605" s="40"/>
      <c r="AY605" s="39">
        <v>19</v>
      </c>
      <c r="AZ605" s="39">
        <v>7</v>
      </c>
      <c r="BA605" s="39">
        <v>12</v>
      </c>
      <c r="BB605" s="40"/>
      <c r="BC605" s="40"/>
      <c r="BD605" s="40"/>
      <c r="BE605" s="40"/>
      <c r="BF605" s="40"/>
      <c r="BG605" s="40"/>
      <c r="BH605" s="40"/>
      <c r="BI605" s="40"/>
      <c r="BJ605" s="40"/>
      <c r="BK605" s="40"/>
      <c r="BL605" s="40"/>
      <c r="BM605" s="40"/>
      <c r="BN605" s="40"/>
      <c r="BO605" s="40"/>
      <c r="BP605" s="40"/>
      <c r="BQ605" s="40"/>
      <c r="BU605" s="40"/>
      <c r="CB605" s="15"/>
    </row>
    <row r="606" spans="2:80" x14ac:dyDescent="0.2">
      <c r="B606" s="14"/>
      <c r="E606" s="121"/>
      <c r="AV606" s="40"/>
      <c r="AW606" s="40"/>
      <c r="AX606" s="40"/>
      <c r="AY606" s="39">
        <v>22</v>
      </c>
      <c r="AZ606" s="39">
        <v>8</v>
      </c>
      <c r="BA606" s="39">
        <v>14</v>
      </c>
      <c r="BM606" s="40"/>
      <c r="BN606" s="40"/>
      <c r="BO606" s="40"/>
      <c r="BP606" s="40"/>
      <c r="BQ606" s="40"/>
      <c r="BU606" s="40"/>
      <c r="CB606" s="15"/>
    </row>
    <row r="607" spans="2:80" x14ac:dyDescent="0.2">
      <c r="B607" s="14"/>
      <c r="E607" s="121"/>
      <c r="AV607" s="40"/>
      <c r="AW607" s="40"/>
      <c r="AX607" s="40"/>
      <c r="AY607" s="39">
        <v>25</v>
      </c>
      <c r="AZ607" s="39">
        <v>9</v>
      </c>
      <c r="BA607" s="39">
        <v>16</v>
      </c>
      <c r="BM607" s="40"/>
      <c r="BN607" s="40"/>
      <c r="BO607" s="40"/>
      <c r="BP607" s="40"/>
      <c r="BQ607" s="40"/>
      <c r="BR607" s="40"/>
      <c r="BS607" s="40"/>
      <c r="BT607" s="40"/>
      <c r="BU607" s="40"/>
      <c r="CB607" s="15"/>
    </row>
    <row r="608" spans="2:80" x14ac:dyDescent="0.2">
      <c r="B608" s="14"/>
      <c r="AH608" s="1" t="s">
        <v>15</v>
      </c>
      <c r="AV608" s="40"/>
      <c r="AW608" s="40"/>
      <c r="AX608" s="40"/>
      <c r="AY608" s="39">
        <v>28</v>
      </c>
      <c r="AZ608" s="39">
        <v>10</v>
      </c>
      <c r="BA608" s="39">
        <v>18</v>
      </c>
      <c r="BM608" s="40"/>
      <c r="BN608" s="40"/>
      <c r="BO608" s="40"/>
      <c r="BP608" s="40"/>
      <c r="BQ608" s="40"/>
      <c r="BR608" s="40"/>
      <c r="BS608" s="40"/>
      <c r="BT608" s="40"/>
      <c r="BU608" s="40"/>
      <c r="CB608" s="15"/>
    </row>
    <row r="609" spans="2:80" x14ac:dyDescent="0.2">
      <c r="B609" s="14"/>
      <c r="E609" s="36" t="s">
        <v>0</v>
      </c>
      <c r="AV609" s="40"/>
      <c r="AW609" s="40"/>
      <c r="AX609" s="40"/>
      <c r="AY609" s="39">
        <v>31</v>
      </c>
      <c r="AZ609" s="39">
        <v>11</v>
      </c>
      <c r="BA609" s="39">
        <v>20</v>
      </c>
      <c r="BM609" s="40"/>
      <c r="BN609" s="40"/>
      <c r="BO609" s="40"/>
      <c r="BP609" s="40"/>
      <c r="BQ609" s="40"/>
      <c r="BR609" s="40"/>
      <c r="BS609" s="40"/>
      <c r="BT609" s="40"/>
      <c r="BU609" s="40"/>
      <c r="CB609" s="15"/>
    </row>
    <row r="610" spans="2:80" x14ac:dyDescent="0.2">
      <c r="B610" s="14"/>
      <c r="C610" s="36" t="s">
        <v>0</v>
      </c>
      <c r="E610" s="121">
        <f>+E605</f>
        <v>6</v>
      </c>
      <c r="AV610" s="40"/>
      <c r="AW610" s="40"/>
      <c r="AX610" s="40"/>
      <c r="AY610" s="39">
        <v>34</v>
      </c>
      <c r="AZ610" s="39">
        <v>12</v>
      </c>
      <c r="BA610" s="39">
        <v>22</v>
      </c>
      <c r="BM610" s="40"/>
      <c r="BN610" s="40"/>
      <c r="BO610" s="40"/>
      <c r="BP610" s="40"/>
      <c r="BQ610" s="40"/>
      <c r="BR610" s="40"/>
      <c r="BS610" s="40"/>
      <c r="BT610" s="40"/>
      <c r="BU610" s="40"/>
      <c r="CB610" s="15"/>
    </row>
    <row r="611" spans="2:80" x14ac:dyDescent="0.2">
      <c r="B611" s="14"/>
      <c r="C611" s="121">
        <f>+C621*C616</f>
        <v>42</v>
      </c>
      <c r="E611" s="121"/>
      <c r="AV611" s="40"/>
      <c r="AW611" s="40"/>
      <c r="AX611" s="40"/>
      <c r="AY611" s="40"/>
      <c r="AZ611" s="40"/>
      <c r="BA611" s="40"/>
      <c r="BM611" s="40"/>
      <c r="BN611" s="40"/>
      <c r="BO611" s="40"/>
      <c r="BP611" s="40"/>
      <c r="BQ611" s="40"/>
      <c r="BR611" s="40"/>
      <c r="BS611" s="40"/>
      <c r="BT611" s="40"/>
      <c r="BU611" s="40"/>
      <c r="CB611" s="15"/>
    </row>
    <row r="612" spans="2:80" x14ac:dyDescent="0.2">
      <c r="B612" s="14"/>
      <c r="C612" s="121"/>
      <c r="E612" s="121"/>
      <c r="AV612" s="40"/>
      <c r="AW612" s="40"/>
      <c r="AX612" s="40"/>
      <c r="AY612" s="40"/>
      <c r="AZ612" s="40"/>
      <c r="BA612" s="40"/>
      <c r="BM612" s="40"/>
      <c r="BN612" s="40"/>
      <c r="BO612" s="40"/>
      <c r="BP612" s="40"/>
      <c r="BQ612" s="40"/>
      <c r="BR612" s="40"/>
      <c r="BS612" s="40"/>
      <c r="BT612" s="40"/>
      <c r="BU612" s="40"/>
      <c r="CB612" s="15"/>
    </row>
    <row r="613" spans="2:80" x14ac:dyDescent="0.2">
      <c r="B613" s="14"/>
      <c r="C613" s="121"/>
      <c r="AV613" s="40"/>
      <c r="AW613" s="40"/>
      <c r="AX613" s="40"/>
      <c r="AY613" s="40"/>
      <c r="AZ613" s="40"/>
      <c r="BA613" s="40"/>
      <c r="BM613" s="40"/>
      <c r="BN613" s="40"/>
      <c r="BO613" s="40"/>
      <c r="BP613" s="40"/>
      <c r="BQ613" s="40"/>
      <c r="BR613" s="40"/>
      <c r="BS613" s="40"/>
      <c r="BT613" s="40"/>
      <c r="BU613" s="40"/>
      <c r="CB613" s="15"/>
    </row>
    <row r="614" spans="2:80" x14ac:dyDescent="0.2">
      <c r="B614" s="14"/>
      <c r="C614" s="36" t="s">
        <v>2</v>
      </c>
      <c r="E614" s="36" t="s">
        <v>0</v>
      </c>
      <c r="AH614" s="1" t="s">
        <v>466</v>
      </c>
      <c r="AV614" s="40"/>
      <c r="AW614" s="40"/>
      <c r="AX614" s="40"/>
      <c r="AY614" s="40"/>
      <c r="AZ614" s="40"/>
      <c r="BA614" s="40"/>
      <c r="BM614" s="40"/>
      <c r="BN614" s="40"/>
      <c r="BO614" s="40"/>
      <c r="BP614" s="40"/>
      <c r="BQ614" s="40"/>
      <c r="BR614" s="40"/>
      <c r="BS614" s="40"/>
      <c r="BT614" s="40"/>
      <c r="BU614" s="40"/>
      <c r="CB614" s="15"/>
    </row>
    <row r="615" spans="2:80" x14ac:dyDescent="0.2">
      <c r="B615" s="14"/>
      <c r="C615" s="36" t="s">
        <v>0</v>
      </c>
      <c r="E615" s="121">
        <f>+E610</f>
        <v>6</v>
      </c>
      <c r="AV615" s="40"/>
      <c r="AW615" s="40"/>
      <c r="AX615" s="40"/>
      <c r="AY615" s="40"/>
      <c r="AZ615" s="40"/>
      <c r="BA615" s="40"/>
      <c r="BM615" s="40"/>
      <c r="BN615" s="35" t="s">
        <v>444</v>
      </c>
      <c r="CB615" s="15"/>
    </row>
    <row r="616" spans="2:80" x14ac:dyDescent="0.2">
      <c r="B616" s="14"/>
      <c r="C616" s="121">
        <f>+E600</f>
        <v>6</v>
      </c>
      <c r="E616" s="121"/>
      <c r="AV616" s="40"/>
      <c r="AW616" s="40"/>
      <c r="AX616" s="40"/>
      <c r="AY616" s="40"/>
      <c r="AZ616" s="40"/>
      <c r="BA616" s="40"/>
      <c r="BM616" s="40"/>
      <c r="BS616" s="1" t="s">
        <v>418</v>
      </c>
      <c r="CB616" s="15"/>
    </row>
    <row r="617" spans="2:80" x14ac:dyDescent="0.2">
      <c r="B617" s="14"/>
      <c r="C617" s="121"/>
      <c r="E617" s="121"/>
      <c r="AV617" s="40"/>
      <c r="AW617" s="40"/>
      <c r="AX617" s="40"/>
      <c r="AY617" s="40"/>
      <c r="AZ617" s="40"/>
      <c r="BA617" s="40"/>
      <c r="BM617" s="40"/>
      <c r="CB617" s="15"/>
    </row>
    <row r="618" spans="2:80" x14ac:dyDescent="0.2">
      <c r="B618" s="14"/>
      <c r="C618" s="121"/>
      <c r="AY618" s="40"/>
      <c r="AZ618" s="40"/>
      <c r="BA618" s="40"/>
      <c r="CB618" s="15"/>
    </row>
    <row r="619" spans="2:80" x14ac:dyDescent="0.2">
      <c r="B619" s="14"/>
      <c r="C619" s="121" t="s">
        <v>1</v>
      </c>
      <c r="E619" s="36" t="s">
        <v>0</v>
      </c>
      <c r="AH619" s="1" t="s">
        <v>7</v>
      </c>
      <c r="BV619" s="60" t="s">
        <v>424</v>
      </c>
      <c r="CB619" s="15"/>
    </row>
    <row r="620" spans="2:80" x14ac:dyDescent="0.2">
      <c r="B620" s="14"/>
      <c r="C620" s="121"/>
      <c r="E620" s="121">
        <f>+E615</f>
        <v>6</v>
      </c>
      <c r="BV620" s="60"/>
      <c r="CB620" s="15"/>
    </row>
    <row r="621" spans="2:80" x14ac:dyDescent="0.2">
      <c r="B621" s="14"/>
      <c r="C621" s="122">
        <v>7</v>
      </c>
      <c r="E621" s="121"/>
      <c r="AR621" s="35" t="s">
        <v>416</v>
      </c>
      <c r="BB621" s="35" t="s">
        <v>414</v>
      </c>
      <c r="CB621" s="15"/>
    </row>
    <row r="622" spans="2:80" x14ac:dyDescent="0.2">
      <c r="B622" s="14"/>
      <c r="C622" s="122"/>
      <c r="E622" s="121"/>
      <c r="BQ622" s="1" t="s">
        <v>421</v>
      </c>
      <c r="CB622" s="15"/>
    </row>
    <row r="623" spans="2:80" x14ac:dyDescent="0.2">
      <c r="B623" s="14"/>
      <c r="BO623" s="1" t="s">
        <v>420</v>
      </c>
      <c r="CB623" s="15"/>
    </row>
    <row r="624" spans="2:80" x14ac:dyDescent="0.2">
      <c r="B624" s="14"/>
      <c r="E624" s="36" t="s">
        <v>0</v>
      </c>
      <c r="CB624" s="15"/>
    </row>
    <row r="625" spans="2:80" x14ac:dyDescent="0.2">
      <c r="B625" s="14"/>
      <c r="E625" s="121">
        <f>+E620</f>
        <v>6</v>
      </c>
      <c r="AO625" s="1" t="s">
        <v>420</v>
      </c>
      <c r="AV625" s="25" t="s">
        <v>421</v>
      </c>
      <c r="AZ625" s="1" t="s">
        <v>422</v>
      </c>
      <c r="BG625" s="25" t="s">
        <v>421</v>
      </c>
      <c r="CB625" s="15"/>
    </row>
    <row r="626" spans="2:80" x14ac:dyDescent="0.2">
      <c r="B626" s="14"/>
      <c r="E626" s="121"/>
      <c r="CB626" s="15"/>
    </row>
    <row r="627" spans="2:80" x14ac:dyDescent="0.2">
      <c r="B627" s="14"/>
      <c r="E627" s="121"/>
      <c r="CB627" s="15"/>
    </row>
    <row r="628" spans="2:80" x14ac:dyDescent="0.2">
      <c r="B628" s="14"/>
      <c r="CB628" s="15"/>
    </row>
    <row r="629" spans="2:80" x14ac:dyDescent="0.2">
      <c r="B629" s="14"/>
      <c r="E629" s="36" t="s">
        <v>0</v>
      </c>
      <c r="AS629" s="60" t="s">
        <v>418</v>
      </c>
      <c r="AT629" s="60"/>
      <c r="CB629" s="15"/>
    </row>
    <row r="630" spans="2:80" x14ac:dyDescent="0.2">
      <c r="B630" s="14"/>
      <c r="E630" s="121">
        <f>+E625</f>
        <v>6</v>
      </c>
      <c r="CB630" s="15"/>
    </row>
    <row r="631" spans="2:80" x14ac:dyDescent="0.2">
      <c r="B631" s="14"/>
      <c r="E631" s="121"/>
      <c r="CB631" s="15"/>
    </row>
    <row r="632" spans="2:80" x14ac:dyDescent="0.2">
      <c r="B632" s="14"/>
      <c r="E632" s="121"/>
      <c r="CB632" s="15"/>
    </row>
    <row r="633" spans="2:80" x14ac:dyDescent="0.2">
      <c r="B633" s="14"/>
      <c r="BR633" s="40"/>
      <c r="CB633" s="15"/>
    </row>
    <row r="634" spans="2:80" x14ac:dyDescent="0.2">
      <c r="B634" s="14"/>
      <c r="BR634" s="40"/>
      <c r="CB634" s="15"/>
    </row>
    <row r="635" spans="2:80" x14ac:dyDescent="0.2">
      <c r="B635" s="14"/>
      <c r="J635" s="1" t="s">
        <v>269</v>
      </c>
      <c r="P635" s="35" t="s">
        <v>291</v>
      </c>
      <c r="BR635" s="40"/>
      <c r="BS635" s="35" t="s">
        <v>450</v>
      </c>
      <c r="CB635" s="15"/>
    </row>
    <row r="636" spans="2:80" x14ac:dyDescent="0.2">
      <c r="B636" s="14"/>
      <c r="I636" s="1" t="s">
        <v>11</v>
      </c>
      <c r="T636" s="38" t="s">
        <v>451</v>
      </c>
      <c r="Y636" s="1" t="s">
        <v>270</v>
      </c>
      <c r="AH636" s="1" t="s">
        <v>386</v>
      </c>
      <c r="BR636" s="40"/>
      <c r="CB636" s="15"/>
    </row>
    <row r="637" spans="2:80" x14ac:dyDescent="0.2">
      <c r="B637" s="14"/>
      <c r="AA637" s="1" t="s">
        <v>10</v>
      </c>
      <c r="BR637" s="40"/>
      <c r="BV637" s="36" t="s">
        <v>0</v>
      </c>
      <c r="BX637" s="1" t="s">
        <v>452</v>
      </c>
      <c r="CB637" s="15"/>
    </row>
    <row r="638" spans="2:80" x14ac:dyDescent="0.2">
      <c r="B638" s="14"/>
      <c r="E638" s="36" t="s">
        <v>0</v>
      </c>
      <c r="BR638" s="40"/>
      <c r="BV638" s="121">
        <f>+E639</f>
        <v>1.2</v>
      </c>
      <c r="BX638" s="1" t="s">
        <v>453</v>
      </c>
      <c r="CB638" s="15"/>
    </row>
    <row r="639" spans="2:80" x14ac:dyDescent="0.2">
      <c r="B639" s="14"/>
      <c r="E639" s="121">
        <f>+E577</f>
        <v>1.2</v>
      </c>
      <c r="AG639" s="1" t="s">
        <v>452</v>
      </c>
      <c r="BR639" s="40"/>
      <c r="BV639" s="121"/>
      <c r="CB639" s="15"/>
    </row>
    <row r="640" spans="2:80" x14ac:dyDescent="0.2">
      <c r="B640" s="14"/>
      <c r="E640" s="121"/>
      <c r="AX640" s="35" t="s">
        <v>454</v>
      </c>
      <c r="BR640" s="40"/>
      <c r="BV640" s="121"/>
      <c r="CB640" s="15"/>
    </row>
    <row r="641" spans="2:80" x14ac:dyDescent="0.2">
      <c r="B641" s="14"/>
      <c r="E641" s="121"/>
      <c r="AX641" s="44" t="s">
        <v>452</v>
      </c>
      <c r="BR641" s="40"/>
      <c r="CB641" s="15"/>
    </row>
    <row r="642" spans="2:80" x14ac:dyDescent="0.2">
      <c r="B642" s="14"/>
      <c r="C642" s="36" t="s">
        <v>0</v>
      </c>
      <c r="AD642" s="37"/>
      <c r="AT642" s="1" t="s">
        <v>430</v>
      </c>
      <c r="BN642" s="36" t="s">
        <v>0</v>
      </c>
      <c r="BR642" s="40"/>
      <c r="BU642" s="60">
        <f>+D643</f>
        <v>4</v>
      </c>
      <c r="BV642" s="60"/>
      <c r="BW642" s="183" t="s">
        <v>0</v>
      </c>
      <c r="CB642" s="15"/>
    </row>
    <row r="643" spans="2:80" x14ac:dyDescent="0.2">
      <c r="B643" s="14"/>
      <c r="C643" s="121">
        <f>+C581</f>
        <v>9.1999999999999993</v>
      </c>
      <c r="D643" s="60">
        <f>+E583-D645-D648</f>
        <v>4</v>
      </c>
      <c r="E643" s="60"/>
      <c r="F643" s="1" t="s">
        <v>0</v>
      </c>
      <c r="BN643" s="122">
        <v>0.8</v>
      </c>
      <c r="BR643" s="40"/>
      <c r="BU643" s="60"/>
      <c r="BV643" s="60"/>
      <c r="BW643" s="183"/>
      <c r="CB643" s="15"/>
    </row>
    <row r="644" spans="2:80" x14ac:dyDescent="0.2">
      <c r="B644" s="14"/>
      <c r="C644" s="121"/>
      <c r="AQ644" s="1" t="s">
        <v>422</v>
      </c>
      <c r="AS644" s="1" t="s">
        <v>431</v>
      </c>
      <c r="BN644" s="122"/>
      <c r="BR644" s="40"/>
      <c r="CB644" s="15"/>
    </row>
    <row r="645" spans="2:80" x14ac:dyDescent="0.2">
      <c r="B645" s="14"/>
      <c r="C645" s="121"/>
      <c r="D645" s="60">
        <f>+AH646-D648</f>
        <v>2</v>
      </c>
      <c r="E645" s="60"/>
      <c r="F645" s="183" t="s">
        <v>0</v>
      </c>
      <c r="G645" s="25" t="s">
        <v>455</v>
      </c>
      <c r="AF645" s="25" t="s">
        <v>455</v>
      </c>
      <c r="AH645" s="36" t="s">
        <v>0</v>
      </c>
      <c r="AR645" s="1" t="s">
        <v>237</v>
      </c>
      <c r="BN645" s="122"/>
      <c r="BR645" s="40"/>
      <c r="BS645" s="60">
        <f>+BN643</f>
        <v>0.8</v>
      </c>
      <c r="BT645" s="60"/>
      <c r="BV645" s="36" t="s">
        <v>0</v>
      </c>
      <c r="CB645" s="15"/>
    </row>
    <row r="646" spans="2:80" x14ac:dyDescent="0.2">
      <c r="B646" s="14"/>
      <c r="D646" s="60"/>
      <c r="E646" s="60"/>
      <c r="F646" s="183"/>
      <c r="AH646" s="122">
        <v>4</v>
      </c>
      <c r="BR646" s="40"/>
      <c r="BV646" s="121">
        <f>+AH646</f>
        <v>4</v>
      </c>
      <c r="CB646" s="15"/>
    </row>
    <row r="647" spans="2:80" x14ac:dyDescent="0.2">
      <c r="B647" s="14"/>
      <c r="AH647" s="122"/>
      <c r="BR647" s="40"/>
      <c r="BV647" s="121"/>
      <c r="BX647" s="1" t="s">
        <v>452</v>
      </c>
      <c r="CB647" s="15"/>
    </row>
    <row r="648" spans="2:80" x14ac:dyDescent="0.2">
      <c r="B648" s="14"/>
      <c r="D648" s="91">
        <v>2</v>
      </c>
      <c r="E648" s="91"/>
      <c r="F648" s="1" t="s">
        <v>0</v>
      </c>
      <c r="AH648" s="122"/>
      <c r="AN648" s="60">
        <f>+H651</f>
        <v>3.1666666666666665</v>
      </c>
      <c r="AO648" s="60"/>
      <c r="AQ648" s="60">
        <f>+K651</f>
        <v>3.1666666666666665</v>
      </c>
      <c r="AR648" s="60"/>
      <c r="AT648" s="60">
        <f>+N651</f>
        <v>3.1666666666666665</v>
      </c>
      <c r="AU648" s="60"/>
      <c r="AW648" s="60">
        <f>+S651/2</f>
        <v>2.5</v>
      </c>
      <c r="AX648" s="60"/>
      <c r="AY648" s="1" t="s">
        <v>0</v>
      </c>
      <c r="BA648" s="60">
        <f>+AW648</f>
        <v>2.5</v>
      </c>
      <c r="BB648" s="60"/>
      <c r="BD648" s="60">
        <f>+AT648</f>
        <v>3.1666666666666665</v>
      </c>
      <c r="BE648" s="60"/>
      <c r="BF648" s="1" t="s">
        <v>0</v>
      </c>
      <c r="BG648" s="60">
        <f>+AQ648</f>
        <v>3.1666666666666665</v>
      </c>
      <c r="BH648" s="60"/>
      <c r="BI648" s="1" t="s">
        <v>0</v>
      </c>
      <c r="BJ648" s="60">
        <f>+AN648</f>
        <v>3.1666666666666665</v>
      </c>
      <c r="BK648" s="60"/>
      <c r="BL648" s="1" t="s">
        <v>0</v>
      </c>
      <c r="BR648" s="40"/>
      <c r="BV648" s="121"/>
      <c r="CB648" s="15"/>
    </row>
    <row r="649" spans="2:80" x14ac:dyDescent="0.2">
      <c r="B649" s="14"/>
      <c r="BR649" s="40"/>
      <c r="CB649" s="15"/>
    </row>
    <row r="650" spans="2:80" x14ac:dyDescent="0.2">
      <c r="B650" s="14"/>
      <c r="T650" s="38" t="s">
        <v>451</v>
      </c>
      <c r="BO650" s="40"/>
      <c r="BP650" s="40"/>
      <c r="BQ650" s="40"/>
      <c r="BR650" s="40"/>
      <c r="CB650" s="15"/>
    </row>
    <row r="651" spans="2:80" x14ac:dyDescent="0.2">
      <c r="B651" s="14"/>
      <c r="H651" s="60">
        <f>+K651</f>
        <v>3.1666666666666665</v>
      </c>
      <c r="I651" s="60"/>
      <c r="J651" s="1" t="s">
        <v>0</v>
      </c>
      <c r="K651" s="60">
        <f>+N651</f>
        <v>3.1666666666666665</v>
      </c>
      <c r="L651" s="60"/>
      <c r="M651" s="1" t="s">
        <v>0</v>
      </c>
      <c r="N651" s="60">
        <f>(S653-S651)/2/3</f>
        <v>3.1666666666666665</v>
      </c>
      <c r="O651" s="60"/>
      <c r="P651" s="1" t="s">
        <v>0</v>
      </c>
      <c r="S651" s="91">
        <v>5</v>
      </c>
      <c r="T651" s="91"/>
      <c r="U651" s="1" t="s">
        <v>0</v>
      </c>
      <c r="X651" s="60">
        <f>+N651</f>
        <v>3.1666666666666665</v>
      </c>
      <c r="Y651" s="60"/>
      <c r="Z651" s="1" t="s">
        <v>0</v>
      </c>
      <c r="AA651" s="60">
        <f>+N651</f>
        <v>3.1666666666666665</v>
      </c>
      <c r="AB651" s="60"/>
      <c r="AC651" s="1" t="s">
        <v>0</v>
      </c>
      <c r="AD651" s="60">
        <f>+N651</f>
        <v>3.1666666666666665</v>
      </c>
      <c r="AE651" s="60"/>
      <c r="AF651" s="1" t="s">
        <v>0</v>
      </c>
      <c r="BO651" s="40"/>
      <c r="BP651" s="40"/>
      <c r="BQ651" s="40"/>
      <c r="BR651" s="40"/>
      <c r="CB651" s="15"/>
    </row>
    <row r="652" spans="2:80" x14ac:dyDescent="0.2">
      <c r="B652" s="14"/>
      <c r="BO652" s="40"/>
      <c r="BP652" s="40"/>
      <c r="BQ652" s="40"/>
      <c r="BR652" s="40"/>
      <c r="CB652" s="15"/>
    </row>
    <row r="653" spans="2:80" x14ac:dyDescent="0.2">
      <c r="B653" s="14"/>
      <c r="S653" s="60">
        <f>+S591</f>
        <v>24</v>
      </c>
      <c r="T653" s="60"/>
      <c r="U653" s="1" t="s">
        <v>0</v>
      </c>
      <c r="BO653" s="40"/>
      <c r="BP653" s="40"/>
      <c r="BQ653" s="40"/>
      <c r="BR653" s="40"/>
      <c r="CB653" s="15"/>
    </row>
    <row r="654" spans="2:80" x14ac:dyDescent="0.2">
      <c r="B654" s="14"/>
      <c r="BO654" s="40"/>
      <c r="BP654" s="40"/>
      <c r="BQ654" s="40"/>
      <c r="BR654" s="40"/>
      <c r="CB654" s="15"/>
    </row>
    <row r="655" spans="2:80" ht="11.25" customHeight="1" x14ac:dyDescent="0.2">
      <c r="B655" s="14"/>
      <c r="H655" s="35" t="s">
        <v>542</v>
      </c>
      <c r="Q655" s="1" t="s">
        <v>549</v>
      </c>
      <c r="AH655" s="35" t="s">
        <v>489</v>
      </c>
      <c r="CB655" s="15"/>
    </row>
    <row r="656" spans="2:80" ht="11.25" customHeight="1" x14ac:dyDescent="0.2">
      <c r="B656" s="14"/>
      <c r="E656" s="1" t="s">
        <v>508</v>
      </c>
      <c r="P656" s="1" t="s">
        <v>487</v>
      </c>
      <c r="CB656" s="15"/>
    </row>
    <row r="657" spans="2:80" ht="11.25" customHeight="1" x14ac:dyDescent="0.2">
      <c r="B657" s="14"/>
      <c r="G657" s="1" t="s">
        <v>546</v>
      </c>
      <c r="CB657" s="15"/>
    </row>
    <row r="658" spans="2:80" ht="11.25" customHeight="1" x14ac:dyDescent="0.2">
      <c r="B658" s="14"/>
      <c r="D658" s="91">
        <v>0.15</v>
      </c>
      <c r="E658" s="91"/>
      <c r="F658" s="1" t="s">
        <v>0</v>
      </c>
      <c r="CB658" s="15"/>
    </row>
    <row r="659" spans="2:80" ht="11.25" customHeight="1" x14ac:dyDescent="0.2">
      <c r="B659" s="14"/>
      <c r="CB659" s="15"/>
    </row>
    <row r="660" spans="2:80" ht="11.25" customHeight="1" x14ac:dyDescent="0.2">
      <c r="B660" s="14"/>
      <c r="CB660" s="15"/>
    </row>
    <row r="661" spans="2:80" ht="11.25" customHeight="1" x14ac:dyDescent="0.2">
      <c r="B661" s="14"/>
      <c r="Q661" s="91">
        <v>0.8</v>
      </c>
      <c r="R661" s="91"/>
      <c r="S661" s="1" t="s">
        <v>0</v>
      </c>
      <c r="AZ661" s="88" t="s">
        <v>539</v>
      </c>
      <c r="BA661" s="89"/>
      <c r="BB661" s="89"/>
      <c r="BC661" s="89"/>
      <c r="BD661" s="89"/>
      <c r="BE661" s="89"/>
      <c r="BF661" s="89"/>
      <c r="BG661" s="89"/>
      <c r="BH661" s="89"/>
      <c r="BI661" s="89"/>
      <c r="BJ661" s="89"/>
      <c r="BK661" s="89"/>
      <c r="BL661" s="89"/>
      <c r="BM661" s="89"/>
      <c r="BN661" s="89"/>
      <c r="BO661" s="89"/>
      <c r="BP661" s="89"/>
      <c r="BQ661" s="89"/>
      <c r="BR661" s="90"/>
      <c r="CB661" s="15"/>
    </row>
    <row r="662" spans="2:80" ht="11.25" customHeight="1" x14ac:dyDescent="0.2">
      <c r="B662" s="14"/>
      <c r="O662" s="1" t="s">
        <v>488</v>
      </c>
      <c r="AZ662" s="92" t="s">
        <v>509</v>
      </c>
      <c r="BA662" s="92"/>
      <c r="BB662" s="92"/>
      <c r="BC662" s="162" t="s">
        <v>510</v>
      </c>
      <c r="BD662" s="162"/>
      <c r="BE662" s="92" t="s">
        <v>511</v>
      </c>
      <c r="BF662" s="92"/>
      <c r="BG662" s="92"/>
      <c r="BH662" s="92"/>
      <c r="BI662" s="92" t="s">
        <v>512</v>
      </c>
      <c r="BJ662" s="92"/>
      <c r="BK662" s="92"/>
      <c r="BL662" s="92"/>
      <c r="BM662" s="92" t="s">
        <v>513</v>
      </c>
      <c r="BN662" s="92"/>
      <c r="BO662" s="92"/>
      <c r="BP662" s="92"/>
      <c r="BQ662" s="97" t="s">
        <v>538</v>
      </c>
      <c r="BR662" s="98"/>
      <c r="CB662" s="15"/>
    </row>
    <row r="663" spans="2:80" ht="11.25" customHeight="1" x14ac:dyDescent="0.2">
      <c r="B663" s="14"/>
      <c r="AZ663" s="92"/>
      <c r="BA663" s="92"/>
      <c r="BB663" s="92"/>
      <c r="BC663" s="162"/>
      <c r="BD663" s="162"/>
      <c r="BE663" s="92" t="s">
        <v>514</v>
      </c>
      <c r="BF663" s="92"/>
      <c r="BG663" s="92" t="s">
        <v>515</v>
      </c>
      <c r="BH663" s="92"/>
      <c r="BI663" s="92" t="s">
        <v>514</v>
      </c>
      <c r="BJ663" s="92"/>
      <c r="BK663" s="92" t="s">
        <v>515</v>
      </c>
      <c r="BL663" s="92"/>
      <c r="BM663" s="92" t="s">
        <v>514</v>
      </c>
      <c r="BN663" s="92"/>
      <c r="BO663" s="92" t="s">
        <v>515</v>
      </c>
      <c r="BP663" s="92"/>
      <c r="BQ663" s="97"/>
      <c r="BR663" s="98"/>
      <c r="BU663" s="1" t="s">
        <v>558</v>
      </c>
      <c r="CB663" s="15"/>
    </row>
    <row r="664" spans="2:80" ht="11.25" customHeight="1" thickBot="1" x14ac:dyDescent="0.25">
      <c r="B664" s="14"/>
      <c r="AZ664" s="155"/>
      <c r="BA664" s="155"/>
      <c r="BB664" s="155"/>
      <c r="BC664" s="99" t="s">
        <v>516</v>
      </c>
      <c r="BD664" s="100"/>
      <c r="BE664" s="99" t="s">
        <v>419</v>
      </c>
      <c r="BF664" s="100"/>
      <c r="BG664" s="99" t="s">
        <v>419</v>
      </c>
      <c r="BH664" s="100"/>
      <c r="BI664" s="99" t="s">
        <v>419</v>
      </c>
      <c r="BJ664" s="100"/>
      <c r="BK664" s="99" t="s">
        <v>419</v>
      </c>
      <c r="BL664" s="100"/>
      <c r="BM664" s="99" t="s">
        <v>517</v>
      </c>
      <c r="BN664" s="100"/>
      <c r="BO664" s="99" t="s">
        <v>517</v>
      </c>
      <c r="BP664" s="100"/>
      <c r="BQ664" s="99" t="s">
        <v>412</v>
      </c>
      <c r="BR664" s="100"/>
      <c r="CB664" s="15"/>
    </row>
    <row r="665" spans="2:80" ht="11.25" customHeight="1" thickTop="1" x14ac:dyDescent="0.2">
      <c r="B665" s="14"/>
      <c r="Q665" s="91">
        <v>0.4</v>
      </c>
      <c r="R665" s="91"/>
      <c r="S665" s="1" t="s">
        <v>0</v>
      </c>
      <c r="AZ665" s="108" t="s">
        <v>518</v>
      </c>
      <c r="BA665" s="108"/>
      <c r="BB665" s="108"/>
      <c r="BE665" s="109">
        <v>150</v>
      </c>
      <c r="BF665" s="109"/>
      <c r="BG665" s="109">
        <v>250</v>
      </c>
      <c r="BH665" s="109"/>
      <c r="BI665" s="109">
        <v>5</v>
      </c>
      <c r="BJ665" s="109"/>
      <c r="BK665" s="109">
        <v>5</v>
      </c>
      <c r="BL665" s="109"/>
      <c r="BM665" s="109">
        <v>131</v>
      </c>
      <c r="BN665" s="109"/>
      <c r="BO665" s="109">
        <v>78</v>
      </c>
      <c r="BP665" s="109"/>
      <c r="BQ665" s="101">
        <v>1.64</v>
      </c>
      <c r="BR665" s="102"/>
      <c r="CB665" s="15"/>
    </row>
    <row r="666" spans="2:80" ht="11.25" customHeight="1" x14ac:dyDescent="0.2">
      <c r="B666" s="14"/>
      <c r="AZ666" s="92" t="s">
        <v>519</v>
      </c>
      <c r="BA666" s="92"/>
      <c r="BB666" s="92"/>
      <c r="BE666" s="63">
        <v>150</v>
      </c>
      <c r="BF666" s="63"/>
      <c r="BG666" s="63">
        <v>250</v>
      </c>
      <c r="BH666" s="63"/>
      <c r="BI666" s="63">
        <v>5.5</v>
      </c>
      <c r="BJ666" s="63"/>
      <c r="BK666" s="63">
        <v>5.5</v>
      </c>
      <c r="BL666" s="63"/>
      <c r="BM666" s="63">
        <v>158</v>
      </c>
      <c r="BN666" s="63"/>
      <c r="BO666" s="63">
        <v>78</v>
      </c>
      <c r="BP666" s="63"/>
      <c r="BQ666" s="69">
        <v>1.86</v>
      </c>
      <c r="BR666" s="70"/>
      <c r="CB666" s="15"/>
    </row>
    <row r="667" spans="2:80" ht="11.25" customHeight="1" x14ac:dyDescent="0.2">
      <c r="B667" s="14"/>
      <c r="AZ667" s="92" t="s">
        <v>520</v>
      </c>
      <c r="BA667" s="92"/>
      <c r="BB667" s="92"/>
      <c r="BE667" s="63">
        <v>150</v>
      </c>
      <c r="BF667" s="63"/>
      <c r="BG667" s="63">
        <v>250</v>
      </c>
      <c r="BH667" s="63"/>
      <c r="BI667" s="63">
        <v>6</v>
      </c>
      <c r="BJ667" s="63"/>
      <c r="BK667" s="63">
        <v>5</v>
      </c>
      <c r="BL667" s="63"/>
      <c r="BM667" s="63">
        <v>188</v>
      </c>
      <c r="BN667" s="63"/>
      <c r="BO667" s="63">
        <v>78</v>
      </c>
      <c r="BP667" s="63"/>
      <c r="BQ667" s="69">
        <v>2.1</v>
      </c>
      <c r="BR667" s="70"/>
      <c r="BX667" s="1" t="s">
        <v>559</v>
      </c>
      <c r="CB667" s="15"/>
    </row>
    <row r="668" spans="2:80" ht="11.25" customHeight="1" x14ac:dyDescent="0.2">
      <c r="B668" s="14"/>
      <c r="K668" s="60">
        <f>+R683</f>
        <v>2</v>
      </c>
      <c r="L668" s="60"/>
      <c r="M668" s="1" t="s">
        <v>0</v>
      </c>
      <c r="AF668" s="78" t="s">
        <v>556</v>
      </c>
      <c r="AG668" s="78"/>
      <c r="AH668" s="78"/>
      <c r="AI668" s="78"/>
      <c r="AJ668" s="78"/>
      <c r="AK668" s="78"/>
      <c r="AL668" s="78"/>
      <c r="AM668" s="78"/>
      <c r="AZ668" s="92" t="s">
        <v>521</v>
      </c>
      <c r="BA668" s="92"/>
      <c r="BB668" s="92"/>
      <c r="BE668" s="63">
        <v>150</v>
      </c>
      <c r="BF668" s="63"/>
      <c r="BG668" s="63">
        <v>250</v>
      </c>
      <c r="BH668" s="63"/>
      <c r="BI668" s="63">
        <v>6.5</v>
      </c>
      <c r="BJ668" s="63"/>
      <c r="BK668" s="63">
        <v>5</v>
      </c>
      <c r="BL668" s="63"/>
      <c r="BM668" s="63">
        <v>221</v>
      </c>
      <c r="BN668" s="63"/>
      <c r="BO668" s="63">
        <v>78</v>
      </c>
      <c r="BP668" s="63"/>
      <c r="BQ668" s="69">
        <v>2.35</v>
      </c>
      <c r="BR668" s="70"/>
      <c r="CB668" s="15"/>
    </row>
    <row r="669" spans="2:80" ht="11.25" customHeight="1" x14ac:dyDescent="0.2">
      <c r="B669" s="14"/>
      <c r="AF669" s="78"/>
      <c r="AG669" s="78"/>
      <c r="AH669" s="78"/>
      <c r="AI669" s="78"/>
      <c r="AJ669" s="78"/>
      <c r="AK669" s="78"/>
      <c r="AL669" s="78"/>
      <c r="AM669" s="78"/>
      <c r="AZ669" s="92" t="s">
        <v>522</v>
      </c>
      <c r="BA669" s="92"/>
      <c r="BB669" s="92"/>
      <c r="BE669" s="63">
        <v>150</v>
      </c>
      <c r="BF669" s="63"/>
      <c r="BG669" s="63">
        <v>250</v>
      </c>
      <c r="BH669" s="63"/>
      <c r="BI669" s="63">
        <v>7</v>
      </c>
      <c r="BJ669" s="63"/>
      <c r="BK669" s="63">
        <v>5</v>
      </c>
      <c r="BL669" s="63"/>
      <c r="BM669" s="63">
        <v>257</v>
      </c>
      <c r="BN669" s="63"/>
      <c r="BO669" s="63">
        <v>78</v>
      </c>
      <c r="BP669" s="63"/>
      <c r="BQ669" s="69">
        <v>2.63</v>
      </c>
      <c r="BR669" s="70"/>
      <c r="CB669" s="15"/>
    </row>
    <row r="670" spans="2:80" ht="11.25" customHeight="1" x14ac:dyDescent="0.2">
      <c r="B670" s="14"/>
      <c r="Q670" s="1" t="s">
        <v>574</v>
      </c>
      <c r="AF670" s="78"/>
      <c r="AG670" s="78"/>
      <c r="AH670" s="78"/>
      <c r="AI670" s="78"/>
      <c r="AJ670" s="78"/>
      <c r="AK670" s="78"/>
      <c r="AL670" s="78"/>
      <c r="AM670" s="78"/>
      <c r="AZ670" s="92" t="s">
        <v>523</v>
      </c>
      <c r="BA670" s="92"/>
      <c r="BB670" s="92"/>
      <c r="BC670" s="127">
        <v>5</v>
      </c>
      <c r="BD670" s="127"/>
      <c r="BE670" s="63">
        <v>150</v>
      </c>
      <c r="BF670" s="63"/>
      <c r="BG670" s="63">
        <v>250</v>
      </c>
      <c r="BH670" s="63"/>
      <c r="BI670" s="63">
        <v>7.5</v>
      </c>
      <c r="BJ670" s="63"/>
      <c r="BK670" s="63">
        <v>5</v>
      </c>
      <c r="BL670" s="63"/>
      <c r="BM670" s="63">
        <v>295</v>
      </c>
      <c r="BN670" s="63"/>
      <c r="BO670" s="63">
        <v>78</v>
      </c>
      <c r="BP670" s="63"/>
      <c r="BQ670" s="69">
        <v>2.93</v>
      </c>
      <c r="BR670" s="70"/>
      <c r="CB670" s="15"/>
    </row>
    <row r="671" spans="2:80" ht="11.25" customHeight="1" x14ac:dyDescent="0.2">
      <c r="B671" s="14"/>
      <c r="F671" s="31" t="str">
        <f>IF((C683*1000*K693*1000*0.01)&gt;(F672*PI()*H672^2/4),"artır.","")</f>
        <v/>
      </c>
      <c r="Q671" s="38">
        <f>(ROUNDUP(Q661/(T671/1000),0)+1)</f>
        <v>9</v>
      </c>
      <c r="R671" s="118">
        <v>8</v>
      </c>
      <c r="S671" s="118"/>
      <c r="T671" s="110">
        <v>100</v>
      </c>
      <c r="U671" s="110"/>
      <c r="AF671" s="78"/>
      <c r="AG671" s="78"/>
      <c r="AH671" s="78"/>
      <c r="AI671" s="78"/>
      <c r="AJ671" s="78"/>
      <c r="AK671" s="78"/>
      <c r="AL671" s="78"/>
      <c r="AM671" s="78"/>
      <c r="AZ671" s="92" t="s">
        <v>524</v>
      </c>
      <c r="BA671" s="92"/>
      <c r="BB671" s="92"/>
      <c r="BC671" s="67">
        <v>2.15</v>
      </c>
      <c r="BD671" s="68"/>
      <c r="BE671" s="63">
        <v>150</v>
      </c>
      <c r="BF671" s="63"/>
      <c r="BG671" s="63">
        <v>250</v>
      </c>
      <c r="BH671" s="63"/>
      <c r="BI671" s="63">
        <v>7.8</v>
      </c>
      <c r="BJ671" s="63"/>
      <c r="BK671" s="63">
        <v>5</v>
      </c>
      <c r="BL671" s="63"/>
      <c r="BM671" s="63">
        <v>317</v>
      </c>
      <c r="BN671" s="63"/>
      <c r="BO671" s="63">
        <v>78</v>
      </c>
      <c r="BP671" s="63"/>
      <c r="BQ671" s="69">
        <v>3.12</v>
      </c>
      <c r="BR671" s="70"/>
      <c r="CB671" s="15"/>
    </row>
    <row r="672" spans="2:80" ht="11.25" customHeight="1" x14ac:dyDescent="0.2">
      <c r="B672" s="14"/>
      <c r="F672" s="119">
        <v>16</v>
      </c>
      <c r="G672" s="119"/>
      <c r="H672" s="116">
        <v>26</v>
      </c>
      <c r="I672" s="116"/>
      <c r="Q672" s="1" t="s">
        <v>498</v>
      </c>
      <c r="R672" s="60">
        <f>ROUNDUP(4*(C683-0.1)+2*MAX(6*R671,8)/1000,2)</f>
        <v>3.3</v>
      </c>
      <c r="S672" s="60"/>
      <c r="T672" s="1" t="s">
        <v>0</v>
      </c>
      <c r="AF672" s="78"/>
      <c r="AG672" s="78"/>
      <c r="AH672" s="78"/>
      <c r="AI672" s="78"/>
      <c r="AJ672" s="78"/>
      <c r="AK672" s="78"/>
      <c r="AL672" s="78"/>
      <c r="AM672" s="78"/>
      <c r="AZ672" s="92" t="s">
        <v>525</v>
      </c>
      <c r="BA672" s="92"/>
      <c r="BB672" s="92"/>
      <c r="BE672" s="63">
        <v>150</v>
      </c>
      <c r="BF672" s="63"/>
      <c r="BG672" s="63">
        <v>250</v>
      </c>
      <c r="BH672" s="63"/>
      <c r="BI672" s="63">
        <v>8</v>
      </c>
      <c r="BJ672" s="63"/>
      <c r="BK672" s="63">
        <v>5</v>
      </c>
      <c r="BL672" s="63"/>
      <c r="BM672" s="63">
        <v>335</v>
      </c>
      <c r="BN672" s="63"/>
      <c r="BO672" s="63">
        <v>78</v>
      </c>
      <c r="BP672" s="63"/>
      <c r="BQ672" s="69">
        <v>3.25</v>
      </c>
      <c r="BR672" s="70"/>
      <c r="CB672" s="15"/>
    </row>
    <row r="673" spans="2:80" ht="11.25" customHeight="1" x14ac:dyDescent="0.2">
      <c r="B673" s="14"/>
      <c r="F673" s="1" t="s">
        <v>498</v>
      </c>
      <c r="G673" s="60">
        <f>+Q665+Q661-0.1+0.2</f>
        <v>1.3</v>
      </c>
      <c r="H673" s="60"/>
      <c r="I673" s="1" t="s">
        <v>0</v>
      </c>
      <c r="Q673" s="1" t="s">
        <v>498</v>
      </c>
      <c r="R673" s="60">
        <f>ROUNDUP(((C683-0.1)*2)+((C683-0.1)/3*2)+2*MAX(6*R671,8)/1000,2)</f>
        <v>2.23</v>
      </c>
      <c r="S673" s="60"/>
      <c r="T673" s="1" t="s">
        <v>0</v>
      </c>
      <c r="AF673" s="78"/>
      <c r="AG673" s="78"/>
      <c r="AH673" s="78"/>
      <c r="AI673" s="78"/>
      <c r="AJ673" s="78"/>
      <c r="AK673" s="78"/>
      <c r="AL673" s="78"/>
      <c r="AM673" s="78"/>
      <c r="AZ673" s="92" t="s">
        <v>526</v>
      </c>
      <c r="BA673" s="92"/>
      <c r="BB673" s="92"/>
      <c r="BE673" s="63">
        <v>150</v>
      </c>
      <c r="BF673" s="63"/>
      <c r="BG673" s="63">
        <v>250</v>
      </c>
      <c r="BH673" s="63"/>
      <c r="BI673" s="63">
        <v>8.5</v>
      </c>
      <c r="BJ673" s="63"/>
      <c r="BK673" s="63">
        <v>5</v>
      </c>
      <c r="BL673" s="63"/>
      <c r="BM673" s="63">
        <v>377</v>
      </c>
      <c r="BN673" s="63"/>
      <c r="BO673" s="63">
        <v>78</v>
      </c>
      <c r="BP673" s="63"/>
      <c r="BQ673" s="69">
        <v>3.86</v>
      </c>
      <c r="BR673" s="70"/>
      <c r="CB673" s="15"/>
    </row>
    <row r="674" spans="2:80" ht="11.25" customHeight="1" x14ac:dyDescent="0.2">
      <c r="B674" s="14"/>
      <c r="AF674" s="78"/>
      <c r="AG674" s="78"/>
      <c r="AH674" s="78"/>
      <c r="AI674" s="78"/>
      <c r="AJ674" s="78"/>
      <c r="AK674" s="78"/>
      <c r="AL674" s="78"/>
      <c r="AM674" s="78"/>
      <c r="AZ674" s="92" t="s">
        <v>527</v>
      </c>
      <c r="BA674" s="92"/>
      <c r="BB674" s="92"/>
      <c r="BC674" s="50"/>
      <c r="BD674" s="47"/>
      <c r="BE674" s="63">
        <v>150</v>
      </c>
      <c r="BF674" s="63"/>
      <c r="BG674" s="63">
        <v>150</v>
      </c>
      <c r="BH674" s="63"/>
      <c r="BI674" s="63">
        <v>5</v>
      </c>
      <c r="BJ674" s="63"/>
      <c r="BK674" s="63">
        <v>5</v>
      </c>
      <c r="BL674" s="63"/>
      <c r="BM674" s="63">
        <v>131</v>
      </c>
      <c r="BN674" s="63"/>
      <c r="BO674" s="63">
        <v>131</v>
      </c>
      <c r="BP674" s="63"/>
      <c r="BQ674" s="69">
        <v>2.06</v>
      </c>
      <c r="BR674" s="70"/>
      <c r="CB674" s="15"/>
    </row>
    <row r="675" spans="2:80" ht="11.25" customHeight="1" x14ac:dyDescent="0.2">
      <c r="B675" s="14"/>
      <c r="L675" s="117">
        <f>MAX(2*ROUNDUP((0.002*R683*1000*(Q665*1000-50))/(PI()*N675^2/4),0),2*(ROUNDUP((R683-0.1)/(P675/1000),0)+1))</f>
        <v>18</v>
      </c>
      <c r="M675" s="117"/>
      <c r="N675" s="116">
        <v>16</v>
      </c>
      <c r="O675" s="116"/>
      <c r="P675" s="110">
        <v>250</v>
      </c>
      <c r="Q675" s="110"/>
      <c r="R675" s="1" t="s">
        <v>272</v>
      </c>
      <c r="AF675" s="78"/>
      <c r="AG675" s="78"/>
      <c r="AH675" s="78"/>
      <c r="AI675" s="78"/>
      <c r="AJ675" s="78"/>
      <c r="AK675" s="78"/>
      <c r="AL675" s="78"/>
      <c r="AM675" s="78"/>
      <c r="AZ675" s="92" t="s">
        <v>528</v>
      </c>
      <c r="BA675" s="92"/>
      <c r="BB675" s="92"/>
      <c r="BC675" s="51"/>
      <c r="BD675" s="52"/>
      <c r="BE675" s="63">
        <v>150</v>
      </c>
      <c r="BF675" s="63"/>
      <c r="BG675" s="63">
        <v>150</v>
      </c>
      <c r="BH675" s="63"/>
      <c r="BI675" s="63">
        <v>5.5</v>
      </c>
      <c r="BJ675" s="63"/>
      <c r="BK675" s="63">
        <v>5.5</v>
      </c>
      <c r="BL675" s="63"/>
      <c r="BM675" s="63">
        <v>158</v>
      </c>
      <c r="BN675" s="63"/>
      <c r="BO675" s="63">
        <v>158</v>
      </c>
      <c r="BP675" s="63"/>
      <c r="BQ675" s="69">
        <v>2.4900000000000002</v>
      </c>
      <c r="BR675" s="70"/>
      <c r="CB675" s="15"/>
    </row>
    <row r="676" spans="2:80" ht="11.25" customHeight="1" x14ac:dyDescent="0.2">
      <c r="B676" s="14"/>
      <c r="L676" s="1" t="s">
        <v>498</v>
      </c>
      <c r="M676" s="60">
        <f>K668-0.1+2*(Q665-0.1)</f>
        <v>2.5</v>
      </c>
      <c r="N676" s="60"/>
      <c r="O676" s="1" t="s">
        <v>0</v>
      </c>
      <c r="Q676" s="31" t="str">
        <f>IF(P675&gt;250,"aralık azalt.","")</f>
        <v/>
      </c>
      <c r="AF676" s="78"/>
      <c r="AG676" s="78"/>
      <c r="AH676" s="78"/>
      <c r="AI676" s="78"/>
      <c r="AJ676" s="78"/>
      <c r="AK676" s="78"/>
      <c r="AL676" s="78"/>
      <c r="AM676" s="78"/>
      <c r="AZ676" s="92" t="s">
        <v>529</v>
      </c>
      <c r="BA676" s="92"/>
      <c r="BB676" s="92"/>
      <c r="BC676" s="51"/>
      <c r="BD676" s="52"/>
      <c r="BE676" s="63">
        <v>150</v>
      </c>
      <c r="BF676" s="63"/>
      <c r="BG676" s="63">
        <v>150</v>
      </c>
      <c r="BH676" s="63"/>
      <c r="BI676" s="63">
        <v>6</v>
      </c>
      <c r="BJ676" s="63"/>
      <c r="BK676" s="63">
        <v>6</v>
      </c>
      <c r="BL676" s="63"/>
      <c r="BM676" s="63">
        <v>188</v>
      </c>
      <c r="BN676" s="63"/>
      <c r="BO676" s="63">
        <v>188</v>
      </c>
      <c r="BP676" s="63"/>
      <c r="BQ676" s="69">
        <v>2.96</v>
      </c>
      <c r="BR676" s="70"/>
      <c r="CB676" s="15"/>
    </row>
    <row r="677" spans="2:80" ht="11.25" customHeight="1" x14ac:dyDescent="0.2">
      <c r="B677" s="14"/>
      <c r="H677" s="35" t="s">
        <v>541</v>
      </c>
      <c r="AF677" s="78"/>
      <c r="AG677" s="78"/>
      <c r="AH677" s="78"/>
      <c r="AI677" s="78"/>
      <c r="AJ677" s="78"/>
      <c r="AK677" s="78"/>
      <c r="AL677" s="78"/>
      <c r="AM677" s="78"/>
      <c r="AZ677" s="92" t="s">
        <v>530</v>
      </c>
      <c r="BA677" s="92"/>
      <c r="BB677" s="92"/>
      <c r="BC677" s="51"/>
      <c r="BD677" s="52"/>
      <c r="BE677" s="63">
        <v>150</v>
      </c>
      <c r="BF677" s="63"/>
      <c r="BG677" s="63">
        <v>150</v>
      </c>
      <c r="BH677" s="63"/>
      <c r="BI677" s="63">
        <v>6.5</v>
      </c>
      <c r="BJ677" s="63"/>
      <c r="BK677" s="63">
        <v>6.5</v>
      </c>
      <c r="BL677" s="63"/>
      <c r="BM677" s="63">
        <v>221</v>
      </c>
      <c r="BN677" s="63"/>
      <c r="BO677" s="63">
        <v>221</v>
      </c>
      <c r="BP677" s="63"/>
      <c r="BQ677" s="69">
        <v>3.47</v>
      </c>
      <c r="BR677" s="70"/>
      <c r="CB677" s="15"/>
    </row>
    <row r="678" spans="2:80" ht="11.25" customHeight="1" x14ac:dyDescent="0.2">
      <c r="B678" s="14"/>
      <c r="AF678" s="78"/>
      <c r="AG678" s="78"/>
      <c r="AH678" s="78"/>
      <c r="AI678" s="78"/>
      <c r="AJ678" s="78"/>
      <c r="AK678" s="78"/>
      <c r="AL678" s="78"/>
      <c r="AM678" s="78"/>
      <c r="AZ678" s="92" t="s">
        <v>531</v>
      </c>
      <c r="BA678" s="92"/>
      <c r="BB678" s="92"/>
      <c r="BC678" s="51"/>
      <c r="BD678" s="52"/>
      <c r="BE678" s="63">
        <v>150</v>
      </c>
      <c r="BF678" s="63"/>
      <c r="BG678" s="63">
        <v>150</v>
      </c>
      <c r="BH678" s="63"/>
      <c r="BI678" s="63">
        <v>7</v>
      </c>
      <c r="BJ678" s="63"/>
      <c r="BK678" s="63">
        <v>7</v>
      </c>
      <c r="BL678" s="63"/>
      <c r="BM678" s="63">
        <v>257</v>
      </c>
      <c r="BN678" s="63"/>
      <c r="BO678" s="63">
        <v>257</v>
      </c>
      <c r="BP678" s="63"/>
      <c r="BQ678" s="69">
        <v>4.03</v>
      </c>
      <c r="BR678" s="70"/>
      <c r="CB678" s="15"/>
    </row>
    <row r="679" spans="2:80" ht="11.25" customHeight="1" x14ac:dyDescent="0.2">
      <c r="B679" s="14"/>
      <c r="AF679" s="78"/>
      <c r="AG679" s="78"/>
      <c r="AH679" s="78"/>
      <c r="AI679" s="78"/>
      <c r="AJ679" s="78"/>
      <c r="AK679" s="78"/>
      <c r="AL679" s="78"/>
      <c r="AM679" s="78"/>
      <c r="AZ679" s="92" t="s">
        <v>532</v>
      </c>
      <c r="BA679" s="92"/>
      <c r="BB679" s="92"/>
      <c r="BC679" s="93">
        <v>5</v>
      </c>
      <c r="BD679" s="94"/>
      <c r="BE679" s="63">
        <v>150</v>
      </c>
      <c r="BF679" s="63"/>
      <c r="BG679" s="63">
        <v>150</v>
      </c>
      <c r="BH679" s="63"/>
      <c r="BI679" s="63">
        <v>7.5</v>
      </c>
      <c r="BJ679" s="63"/>
      <c r="BK679" s="63">
        <v>7.5</v>
      </c>
      <c r="BL679" s="63"/>
      <c r="BM679" s="63">
        <v>295</v>
      </c>
      <c r="BN679" s="63"/>
      <c r="BO679" s="63">
        <v>295</v>
      </c>
      <c r="BP679" s="63"/>
      <c r="BQ679" s="69">
        <v>4.62</v>
      </c>
      <c r="BR679" s="70"/>
      <c r="CB679" s="15"/>
    </row>
    <row r="680" spans="2:80" ht="11.25" customHeight="1" x14ac:dyDescent="0.2">
      <c r="B680" s="14"/>
      <c r="AF680" s="78"/>
      <c r="AG680" s="78"/>
      <c r="AH680" s="78"/>
      <c r="AI680" s="78"/>
      <c r="AJ680" s="78"/>
      <c r="AK680" s="78"/>
      <c r="AL680" s="78"/>
      <c r="AM680" s="78"/>
      <c r="AZ680" s="92" t="s">
        <v>533</v>
      </c>
      <c r="BA680" s="92"/>
      <c r="BB680" s="92"/>
      <c r="BC680" s="67">
        <v>2.15</v>
      </c>
      <c r="BD680" s="68"/>
      <c r="BE680" s="63">
        <v>150</v>
      </c>
      <c r="BF680" s="63"/>
      <c r="BG680" s="63">
        <v>150</v>
      </c>
      <c r="BH680" s="63"/>
      <c r="BI680" s="63">
        <v>7.8</v>
      </c>
      <c r="BJ680" s="63"/>
      <c r="BK680" s="63">
        <v>6</v>
      </c>
      <c r="BL680" s="63"/>
      <c r="BM680" s="63">
        <v>317</v>
      </c>
      <c r="BN680" s="63"/>
      <c r="BO680" s="63">
        <v>188</v>
      </c>
      <c r="BP680" s="63"/>
      <c r="BQ680" s="69">
        <v>3.98</v>
      </c>
      <c r="BR680" s="70"/>
      <c r="CB680" s="15"/>
    </row>
    <row r="681" spans="2:80" ht="11.25" customHeight="1" x14ac:dyDescent="0.2">
      <c r="B681" s="14"/>
      <c r="AZ681" s="92" t="s">
        <v>534</v>
      </c>
      <c r="BA681" s="92"/>
      <c r="BB681" s="92"/>
      <c r="BC681" s="51"/>
      <c r="BD681" s="52"/>
      <c r="BE681" s="63">
        <v>150</v>
      </c>
      <c r="BF681" s="63"/>
      <c r="BG681" s="63">
        <v>150</v>
      </c>
      <c r="BH681" s="63"/>
      <c r="BI681" s="63">
        <v>8</v>
      </c>
      <c r="BJ681" s="63"/>
      <c r="BK681" s="63">
        <v>8</v>
      </c>
      <c r="BL681" s="63"/>
      <c r="BM681" s="63">
        <v>335</v>
      </c>
      <c r="BN681" s="63"/>
      <c r="BO681" s="63">
        <v>335</v>
      </c>
      <c r="BP681" s="63"/>
      <c r="BQ681" s="69">
        <v>5.26</v>
      </c>
      <c r="BR681" s="70"/>
      <c r="CB681" s="15"/>
    </row>
    <row r="682" spans="2:80" ht="11.25" customHeight="1" x14ac:dyDescent="0.2">
      <c r="B682" s="14"/>
      <c r="C682" s="36" t="s">
        <v>0</v>
      </c>
      <c r="R682" s="36" t="s">
        <v>0</v>
      </c>
      <c r="S682" s="201" t="str">
        <f>IF(R683&lt;E600,"","azalt.")</f>
        <v/>
      </c>
      <c r="AZ682" s="92" t="s">
        <v>535</v>
      </c>
      <c r="BA682" s="92"/>
      <c r="BB682" s="92"/>
      <c r="BC682" s="51"/>
      <c r="BD682" s="52"/>
      <c r="BE682" s="63">
        <v>150</v>
      </c>
      <c r="BF682" s="63"/>
      <c r="BG682" s="63">
        <v>150</v>
      </c>
      <c r="BH682" s="63"/>
      <c r="BI682" s="63">
        <v>8.5</v>
      </c>
      <c r="BJ682" s="63"/>
      <c r="BK682" s="63">
        <v>6</v>
      </c>
      <c r="BL682" s="63"/>
      <c r="BM682" s="63">
        <v>377</v>
      </c>
      <c r="BN682" s="63"/>
      <c r="BO682" s="63">
        <v>188</v>
      </c>
      <c r="BP682" s="63"/>
      <c r="BQ682" s="69">
        <v>4.45</v>
      </c>
      <c r="BR682" s="70"/>
      <c r="CB682" s="15"/>
    </row>
    <row r="683" spans="2:80" ht="11.25" customHeight="1" x14ac:dyDescent="0.2">
      <c r="B683" s="14"/>
      <c r="C683" s="121">
        <f>+K693</f>
        <v>0.9</v>
      </c>
      <c r="R683" s="122">
        <v>2</v>
      </c>
      <c r="S683" s="201"/>
      <c r="AZ683" s="92" t="s">
        <v>536</v>
      </c>
      <c r="BA683" s="92"/>
      <c r="BB683" s="92"/>
      <c r="BC683" s="51"/>
      <c r="BD683" s="52"/>
      <c r="BE683" s="63">
        <v>150</v>
      </c>
      <c r="BF683" s="63"/>
      <c r="BG683" s="63">
        <v>150</v>
      </c>
      <c r="BH683" s="63"/>
      <c r="BI683" s="63">
        <v>8.5</v>
      </c>
      <c r="BJ683" s="63"/>
      <c r="BK683" s="63">
        <v>8.5</v>
      </c>
      <c r="BL683" s="63"/>
      <c r="BM683" s="63">
        <v>377</v>
      </c>
      <c r="BN683" s="63"/>
      <c r="BO683" s="63">
        <v>377</v>
      </c>
      <c r="BP683" s="63"/>
      <c r="BQ683" s="69">
        <v>5.94</v>
      </c>
      <c r="BR683" s="70"/>
      <c r="CB683" s="15"/>
    </row>
    <row r="684" spans="2:80" ht="11.25" customHeight="1" x14ac:dyDescent="0.2">
      <c r="B684" s="14"/>
      <c r="C684" s="121"/>
      <c r="R684" s="122"/>
      <c r="S684" s="201"/>
      <c r="AZ684" s="103" t="s">
        <v>537</v>
      </c>
      <c r="BA684" s="104"/>
      <c r="BB684" s="104"/>
      <c r="BC684" s="104"/>
      <c r="BD684" s="104"/>
      <c r="BE684" s="104"/>
      <c r="BF684" s="104"/>
      <c r="BG684" s="104"/>
      <c r="BH684" s="104"/>
      <c r="BI684" s="104"/>
      <c r="BJ684" s="104"/>
      <c r="BK684" s="104"/>
      <c r="BL684" s="104"/>
      <c r="BM684" s="104"/>
      <c r="BN684" s="104"/>
      <c r="BO684" s="104"/>
      <c r="BP684" s="104"/>
      <c r="BQ684" s="104"/>
      <c r="BR684" s="105"/>
      <c r="CB684" s="15"/>
    </row>
    <row r="685" spans="2:80" ht="11.25" customHeight="1" x14ac:dyDescent="0.2">
      <c r="B685" s="14"/>
      <c r="C685" s="121"/>
      <c r="R685" s="122"/>
      <c r="S685" s="201"/>
      <c r="CB685" s="15"/>
    </row>
    <row r="686" spans="2:80" ht="11.25" customHeight="1" x14ac:dyDescent="0.2">
      <c r="B686" s="14"/>
      <c r="CB686" s="15"/>
    </row>
    <row r="687" spans="2:80" ht="11.25" customHeight="1" x14ac:dyDescent="0.2">
      <c r="B687" s="14"/>
      <c r="CB687" s="15"/>
    </row>
    <row r="688" spans="2:80" ht="11.25" customHeight="1" x14ac:dyDescent="0.2">
      <c r="B688" s="14"/>
      <c r="CB688" s="15"/>
    </row>
    <row r="689" spans="2:80" ht="11.25" customHeight="1" x14ac:dyDescent="0.2">
      <c r="B689" s="14"/>
      <c r="CB689" s="15"/>
    </row>
    <row r="690" spans="2:80" ht="11.25" customHeight="1" x14ac:dyDescent="0.2">
      <c r="B690" s="14"/>
      <c r="C690" s="78" t="s">
        <v>552</v>
      </c>
      <c r="D690" s="78"/>
      <c r="E690" s="78"/>
      <c r="F690" s="78"/>
      <c r="G690" s="78"/>
      <c r="H690" s="78"/>
      <c r="CB690" s="15"/>
    </row>
    <row r="691" spans="2:80" ht="11.25" customHeight="1" x14ac:dyDescent="0.2">
      <c r="B691" s="14"/>
      <c r="C691" s="78"/>
      <c r="D691" s="78"/>
      <c r="E691" s="78"/>
      <c r="F691" s="78"/>
      <c r="G691" s="78"/>
      <c r="H691" s="78"/>
      <c r="K691" s="123">
        <v>0.15</v>
      </c>
      <c r="L691" s="123"/>
      <c r="M691" s="1" t="s">
        <v>0</v>
      </c>
      <c r="CB691" s="15"/>
    </row>
    <row r="692" spans="2:80" ht="11.25" customHeight="1" x14ac:dyDescent="0.2">
      <c r="B692" s="14"/>
      <c r="C692" s="78"/>
      <c r="D692" s="78"/>
      <c r="E692" s="78"/>
      <c r="F692" s="78"/>
      <c r="G692" s="78"/>
      <c r="H692" s="78"/>
      <c r="CB692" s="15"/>
    </row>
    <row r="693" spans="2:80" ht="11.25" customHeight="1" x14ac:dyDescent="0.2">
      <c r="B693" s="14"/>
      <c r="C693" s="78"/>
      <c r="D693" s="78"/>
      <c r="E693" s="78"/>
      <c r="F693" s="78"/>
      <c r="G693" s="78"/>
      <c r="H693" s="78"/>
      <c r="K693" s="91">
        <v>0.9</v>
      </c>
      <c r="L693" s="91"/>
      <c r="M693" s="1" t="s">
        <v>0</v>
      </c>
      <c r="CB693" s="15"/>
    </row>
    <row r="694" spans="2:80" ht="11.25" customHeight="1" x14ac:dyDescent="0.2">
      <c r="B694" s="54"/>
      <c r="C694" s="81"/>
      <c r="D694" s="81"/>
      <c r="E694" s="81"/>
      <c r="F694" s="81"/>
      <c r="G694" s="81"/>
      <c r="H694" s="81"/>
      <c r="I694" s="30"/>
      <c r="J694" s="113" t="str">
        <f>IF(K693&gt;(MAX(P723,U723)/1000+0.04),"","artır.")</f>
        <v/>
      </c>
      <c r="K694" s="113"/>
      <c r="L694" s="113"/>
      <c r="M694" s="113"/>
      <c r="N694" s="30"/>
      <c r="O694" s="30"/>
      <c r="P694" s="30"/>
      <c r="Q694" s="30"/>
      <c r="R694" s="30"/>
      <c r="S694" s="30"/>
      <c r="T694" s="30"/>
      <c r="U694" s="30"/>
      <c r="V694" s="30"/>
      <c r="W694" s="30"/>
      <c r="X694" s="30"/>
      <c r="Y694" s="30"/>
      <c r="Z694" s="30"/>
      <c r="AA694" s="30"/>
      <c r="AB694" s="30"/>
      <c r="AC694" s="30"/>
      <c r="AD694" s="30"/>
      <c r="AE694" s="30"/>
      <c r="AF694" s="30"/>
      <c r="AG694" s="30"/>
      <c r="AH694" s="30"/>
      <c r="AI694" s="30"/>
      <c r="AJ694" s="30"/>
      <c r="AK694" s="30"/>
      <c r="AL694" s="30"/>
      <c r="AM694" s="30"/>
      <c r="AN694" s="30"/>
      <c r="AO694" s="30"/>
      <c r="AP694" s="30"/>
      <c r="AQ694" s="30"/>
      <c r="AR694" s="30"/>
      <c r="AS694" s="30"/>
      <c r="AT694" s="30"/>
      <c r="AU694" s="30"/>
      <c r="AV694" s="30"/>
      <c r="AW694" s="30"/>
      <c r="AX694" s="30"/>
      <c r="AY694" s="30"/>
      <c r="AZ694" s="30"/>
      <c r="BA694" s="30"/>
      <c r="BB694" s="30"/>
      <c r="BC694" s="30"/>
      <c r="BD694" s="30"/>
      <c r="BE694" s="30"/>
      <c r="BF694" s="30"/>
      <c r="BG694" s="30"/>
      <c r="BH694" s="30"/>
      <c r="BI694" s="30"/>
      <c r="BJ694" s="30"/>
      <c r="BK694" s="30"/>
      <c r="BL694" s="30"/>
      <c r="BM694" s="30"/>
      <c r="BN694" s="30"/>
      <c r="BO694" s="30"/>
      <c r="BP694" s="30"/>
      <c r="BQ694" s="30"/>
      <c r="BR694" s="30"/>
      <c r="BS694" s="30"/>
      <c r="BT694" s="30"/>
      <c r="BU694" s="30"/>
      <c r="BV694" s="30"/>
      <c r="BW694" s="30"/>
      <c r="BX694" s="30"/>
      <c r="BY694" s="30"/>
      <c r="BZ694" s="30"/>
      <c r="CA694" s="30"/>
      <c r="CB694" s="55"/>
    </row>
    <row r="695" spans="2:80" x14ac:dyDescent="0.2">
      <c r="B695" s="150" t="s">
        <v>305</v>
      </c>
      <c r="C695" s="151"/>
      <c r="D695" s="151"/>
      <c r="E695" s="151"/>
      <c r="F695" s="151"/>
      <c r="G695" s="151"/>
      <c r="H695" s="151"/>
      <c r="I695" s="151"/>
      <c r="J695" s="151"/>
      <c r="K695" s="151"/>
      <c r="L695" s="151"/>
      <c r="M695" s="151"/>
      <c r="N695" s="151"/>
      <c r="O695" s="151"/>
      <c r="P695" s="151"/>
      <c r="Q695" s="151"/>
      <c r="R695" s="151"/>
      <c r="S695" s="151"/>
      <c r="T695" s="151"/>
      <c r="U695" s="151"/>
      <c r="V695" s="151"/>
      <c r="W695" s="151"/>
      <c r="X695" s="151"/>
      <c r="Y695" s="151"/>
      <c r="Z695" s="151"/>
      <c r="AA695" s="151"/>
      <c r="AB695" s="151"/>
      <c r="AC695" s="151"/>
      <c r="AD695" s="151"/>
      <c r="AE695" s="151"/>
      <c r="AF695" s="151"/>
      <c r="AG695" s="151"/>
      <c r="AH695" s="151"/>
      <c r="AI695" s="151"/>
      <c r="AJ695" s="151"/>
      <c r="AK695" s="151"/>
      <c r="AL695" s="151"/>
      <c r="AM695" s="151"/>
      <c r="AN695" s="151"/>
      <c r="AO695" s="151"/>
      <c r="AP695" s="151"/>
      <c r="AQ695" s="151"/>
      <c r="AR695" s="151"/>
      <c r="AS695" s="151"/>
      <c r="AT695" s="151"/>
      <c r="AU695" s="151"/>
      <c r="AV695" s="151"/>
      <c r="AW695" s="151"/>
      <c r="AX695" s="151"/>
      <c r="AY695" s="151"/>
      <c r="AZ695" s="151"/>
      <c r="BA695" s="151"/>
      <c r="BB695" s="151"/>
      <c r="BC695" s="151"/>
      <c r="BD695" s="151"/>
      <c r="BE695" s="151"/>
      <c r="BF695" s="151"/>
      <c r="BG695" s="151"/>
      <c r="BH695" s="151"/>
      <c r="BI695" s="151"/>
      <c r="BJ695" s="151"/>
      <c r="BK695" s="151"/>
      <c r="BL695" s="151"/>
      <c r="BM695" s="151"/>
      <c r="BN695" s="151"/>
      <c r="BO695" s="151"/>
      <c r="BP695" s="151"/>
      <c r="BQ695" s="151"/>
      <c r="BR695" s="151"/>
      <c r="BS695" s="151"/>
      <c r="BT695" s="151"/>
      <c r="BU695" s="151"/>
      <c r="BV695" s="151"/>
      <c r="BW695" s="151"/>
      <c r="BX695" s="151"/>
      <c r="BY695" s="151"/>
      <c r="BZ695" s="151"/>
      <c r="CA695" s="151"/>
      <c r="CB695" s="152"/>
    </row>
    <row r="696" spans="2:80" x14ac:dyDescent="0.2">
      <c r="B696" s="150"/>
      <c r="C696" s="151"/>
      <c r="D696" s="151"/>
      <c r="E696" s="151"/>
      <c r="F696" s="151"/>
      <c r="G696" s="151"/>
      <c r="H696" s="151"/>
      <c r="I696" s="151"/>
      <c r="J696" s="151"/>
      <c r="K696" s="151"/>
      <c r="L696" s="151"/>
      <c r="M696" s="151"/>
      <c r="N696" s="151"/>
      <c r="O696" s="151"/>
      <c r="P696" s="151"/>
      <c r="Q696" s="151"/>
      <c r="R696" s="151"/>
      <c r="S696" s="151"/>
      <c r="T696" s="151"/>
      <c r="U696" s="151"/>
      <c r="V696" s="151"/>
      <c r="W696" s="151"/>
      <c r="X696" s="151"/>
      <c r="Y696" s="151"/>
      <c r="Z696" s="151"/>
      <c r="AA696" s="151"/>
      <c r="AB696" s="151"/>
      <c r="AC696" s="151"/>
      <c r="AD696" s="151"/>
      <c r="AE696" s="151"/>
      <c r="AF696" s="151"/>
      <c r="AG696" s="151"/>
      <c r="AH696" s="151"/>
      <c r="AI696" s="151"/>
      <c r="AJ696" s="151"/>
      <c r="AK696" s="151"/>
      <c r="AL696" s="151"/>
      <c r="AM696" s="151"/>
      <c r="AN696" s="151"/>
      <c r="AO696" s="151"/>
      <c r="AP696" s="151"/>
      <c r="AQ696" s="151"/>
      <c r="AR696" s="151"/>
      <c r="AS696" s="151"/>
      <c r="AT696" s="151"/>
      <c r="AU696" s="151"/>
      <c r="AV696" s="151"/>
      <c r="AW696" s="151"/>
      <c r="AX696" s="151"/>
      <c r="AY696" s="151"/>
      <c r="AZ696" s="151"/>
      <c r="BA696" s="151"/>
      <c r="BB696" s="151"/>
      <c r="BC696" s="151"/>
      <c r="BD696" s="151"/>
      <c r="BE696" s="151"/>
      <c r="BF696" s="151"/>
      <c r="BG696" s="151"/>
      <c r="BH696" s="151"/>
      <c r="BI696" s="151"/>
      <c r="BJ696" s="151"/>
      <c r="BK696" s="151"/>
      <c r="BL696" s="151"/>
      <c r="BM696" s="151"/>
      <c r="BN696" s="151"/>
      <c r="BO696" s="151"/>
      <c r="BP696" s="151"/>
      <c r="BQ696" s="151"/>
      <c r="BR696" s="151"/>
      <c r="BS696" s="151"/>
      <c r="BT696" s="151"/>
      <c r="BU696" s="151"/>
      <c r="BV696" s="151"/>
      <c r="BW696" s="151"/>
      <c r="BX696" s="151"/>
      <c r="BY696" s="151"/>
      <c r="BZ696" s="151"/>
      <c r="CA696" s="151"/>
      <c r="CB696" s="152"/>
    </row>
    <row r="697" spans="2:80" x14ac:dyDescent="0.2">
      <c r="B697" s="153" t="s">
        <v>264</v>
      </c>
      <c r="C697" s="92"/>
      <c r="D697" s="92"/>
      <c r="E697" s="92"/>
      <c r="F697" s="92"/>
      <c r="G697" s="92"/>
      <c r="H697" s="92"/>
      <c r="I697" s="92"/>
      <c r="J697" s="92"/>
      <c r="K697" s="92"/>
      <c r="L697" s="92"/>
      <c r="M697" s="92"/>
      <c r="N697" s="92"/>
      <c r="O697" s="92" t="s">
        <v>304</v>
      </c>
      <c r="P697" s="92"/>
      <c r="Q697" s="92"/>
      <c r="R697" s="92"/>
      <c r="S697" s="92"/>
      <c r="T697" s="92"/>
      <c r="U697" s="92"/>
      <c r="V697" s="92"/>
      <c r="W697" s="92"/>
      <c r="X697" s="92"/>
      <c r="Y697" s="92"/>
      <c r="Z697" s="92"/>
      <c r="AA697" s="92"/>
      <c r="AB697" s="92"/>
      <c r="AC697" s="92"/>
      <c r="AD697" s="92"/>
      <c r="AE697" s="92"/>
      <c r="AF697" s="92"/>
      <c r="AG697" s="92"/>
      <c r="AH697" s="92"/>
      <c r="AI697" s="92"/>
      <c r="AJ697" s="92"/>
      <c r="AK697" s="92"/>
      <c r="AL697" s="92"/>
      <c r="AM697" s="92"/>
      <c r="AN697" s="92"/>
      <c r="AO697" s="92"/>
      <c r="AP697" s="92"/>
      <c r="AQ697" s="92"/>
      <c r="AR697" s="92"/>
      <c r="AS697" s="92"/>
      <c r="AT697" s="92"/>
      <c r="AU697" s="92"/>
      <c r="AV697" s="92"/>
      <c r="AW697" s="92"/>
      <c r="AX697" s="92"/>
      <c r="AY697" s="92"/>
      <c r="AZ697" s="92"/>
      <c r="BA697" s="92"/>
      <c r="BB697" s="92" t="s">
        <v>262</v>
      </c>
      <c r="BC697" s="92"/>
      <c r="BD697" s="92"/>
      <c r="BE697" s="92" t="s">
        <v>266</v>
      </c>
      <c r="BF697" s="92"/>
      <c r="BG697" s="92"/>
      <c r="BH697" s="92" t="s">
        <v>263</v>
      </c>
      <c r="BI697" s="92"/>
      <c r="BJ697" s="92"/>
      <c r="BK697" s="156" t="s">
        <v>384</v>
      </c>
      <c r="BL697" s="157"/>
      <c r="BM697" s="157"/>
      <c r="BN697" s="162" t="s">
        <v>303</v>
      </c>
      <c r="BO697" s="92"/>
      <c r="BP697" s="92"/>
      <c r="BQ697" s="92"/>
      <c r="BR697" s="162" t="s">
        <v>298</v>
      </c>
      <c r="BS697" s="162"/>
      <c r="BT697" s="162"/>
      <c r="BU697" s="162"/>
      <c r="BV697" s="92"/>
      <c r="BW697" s="92"/>
      <c r="BX697" s="162" t="s">
        <v>279</v>
      </c>
      <c r="BY697" s="162"/>
      <c r="BZ697" s="162"/>
      <c r="CA697" s="162"/>
      <c r="CB697" s="163"/>
    </row>
    <row r="698" spans="2:80" x14ac:dyDescent="0.2">
      <c r="B698" s="153"/>
      <c r="C698" s="92"/>
      <c r="D698" s="92"/>
      <c r="E698" s="92"/>
      <c r="F698" s="92"/>
      <c r="G698" s="92"/>
      <c r="H698" s="92"/>
      <c r="I698" s="92"/>
      <c r="J698" s="92"/>
      <c r="K698" s="92"/>
      <c r="L698" s="92"/>
      <c r="M698" s="92"/>
      <c r="N698" s="92"/>
      <c r="O698" s="166" t="s">
        <v>17</v>
      </c>
      <c r="P698" s="167"/>
      <c r="Q698" s="167"/>
      <c r="R698" s="167"/>
      <c r="S698" s="168"/>
      <c r="T698" s="108" t="s">
        <v>417</v>
      </c>
      <c r="U698" s="108"/>
      <c r="V698" s="108"/>
      <c r="W698" s="108"/>
      <c r="X698" s="108"/>
      <c r="Y698" s="108"/>
      <c r="Z698" s="108"/>
      <c r="AA698" s="108"/>
      <c r="AB698" s="108" t="s">
        <v>414</v>
      </c>
      <c r="AC698" s="108"/>
      <c r="AD698" s="108"/>
      <c r="AE698" s="108"/>
      <c r="AF698" s="108"/>
      <c r="AG698" s="175" t="s">
        <v>429</v>
      </c>
      <c r="AH698" s="176"/>
      <c r="AI698" s="176"/>
      <c r="AJ698" s="176"/>
      <c r="AK698" s="177"/>
      <c r="AL698" s="178" t="s">
        <v>16</v>
      </c>
      <c r="AM698" s="178"/>
      <c r="AN698" s="178"/>
      <c r="AO698" s="178"/>
      <c r="AP698" s="178"/>
      <c r="AQ698" s="178"/>
      <c r="AR698" s="178" t="s">
        <v>267</v>
      </c>
      <c r="AS698" s="178"/>
      <c r="AT698" s="178"/>
      <c r="AU698" s="178"/>
      <c r="AV698" s="178"/>
      <c r="AW698" s="178" t="s">
        <v>423</v>
      </c>
      <c r="AX698" s="178"/>
      <c r="AY698" s="178"/>
      <c r="AZ698" s="178"/>
      <c r="BA698" s="178"/>
      <c r="BB698" s="92"/>
      <c r="BC698" s="92"/>
      <c r="BD698" s="92"/>
      <c r="BE698" s="92"/>
      <c r="BF698" s="92"/>
      <c r="BG698" s="92"/>
      <c r="BH698" s="92"/>
      <c r="BI698" s="92"/>
      <c r="BJ698" s="92"/>
      <c r="BK698" s="158"/>
      <c r="BL698" s="159"/>
      <c r="BM698" s="159"/>
      <c r="BN698" s="162"/>
      <c r="BO698" s="92"/>
      <c r="BP698" s="92"/>
      <c r="BQ698" s="92"/>
      <c r="BR698" s="162"/>
      <c r="BS698" s="162"/>
      <c r="BT698" s="162"/>
      <c r="BU698" s="162"/>
      <c r="BV698" s="92"/>
      <c r="BW698" s="92"/>
      <c r="BX698" s="162"/>
      <c r="BY698" s="162"/>
      <c r="BZ698" s="162"/>
      <c r="CA698" s="162"/>
      <c r="CB698" s="163"/>
    </row>
    <row r="699" spans="2:80" x14ac:dyDescent="0.2">
      <c r="B699" s="153"/>
      <c r="C699" s="92"/>
      <c r="D699" s="92"/>
      <c r="E699" s="92"/>
      <c r="F699" s="92"/>
      <c r="G699" s="92"/>
      <c r="H699" s="92"/>
      <c r="I699" s="92"/>
      <c r="J699" s="92"/>
      <c r="K699" s="92"/>
      <c r="L699" s="92"/>
      <c r="M699" s="92"/>
      <c r="N699" s="92"/>
      <c r="O699" s="169"/>
      <c r="P699" s="170"/>
      <c r="Q699" s="170"/>
      <c r="R699" s="170"/>
      <c r="S699" s="171"/>
      <c r="T699" s="97" t="s">
        <v>418</v>
      </c>
      <c r="U699" s="95"/>
      <c r="V699" s="29" t="s">
        <v>415</v>
      </c>
      <c r="W699" s="95" t="s">
        <v>420</v>
      </c>
      <c r="X699" s="95"/>
      <c r="Y699" s="29" t="s">
        <v>415</v>
      </c>
      <c r="Z699" s="95" t="s">
        <v>421</v>
      </c>
      <c r="AA699" s="98"/>
      <c r="AB699" s="97" t="s">
        <v>422</v>
      </c>
      <c r="AC699" s="95"/>
      <c r="AD699" s="29" t="s">
        <v>415</v>
      </c>
      <c r="AE699" s="95" t="s">
        <v>421</v>
      </c>
      <c r="AF699" s="98"/>
      <c r="AG699" s="97" t="s">
        <v>473</v>
      </c>
      <c r="AH699" s="95"/>
      <c r="AI699" s="95"/>
      <c r="AJ699" s="95"/>
      <c r="AK699" s="98"/>
      <c r="AL699" s="179"/>
      <c r="AM699" s="179"/>
      <c r="AN699" s="179"/>
      <c r="AO699" s="179"/>
      <c r="AP699" s="179"/>
      <c r="AQ699" s="179"/>
      <c r="AR699" s="179"/>
      <c r="AS699" s="179"/>
      <c r="AT699" s="179"/>
      <c r="AU699" s="179"/>
      <c r="AV699" s="179"/>
      <c r="AW699" s="179"/>
      <c r="AX699" s="179"/>
      <c r="AY699" s="179"/>
      <c r="AZ699" s="179"/>
      <c r="BA699" s="179"/>
      <c r="BB699" s="92"/>
      <c r="BC699" s="92"/>
      <c r="BD699" s="92"/>
      <c r="BE699" s="92"/>
      <c r="BF699" s="92"/>
      <c r="BG699" s="92"/>
      <c r="BH699" s="92"/>
      <c r="BI699" s="92"/>
      <c r="BJ699" s="92"/>
      <c r="BK699" s="158"/>
      <c r="BL699" s="159"/>
      <c r="BM699" s="159"/>
      <c r="BN699" s="92"/>
      <c r="BO699" s="92"/>
      <c r="BP699" s="92"/>
      <c r="BQ699" s="92"/>
      <c r="BR699" s="162"/>
      <c r="BS699" s="162"/>
      <c r="BT699" s="162"/>
      <c r="BU699" s="162"/>
      <c r="BV699" s="92"/>
      <c r="BW699" s="92"/>
      <c r="BX699" s="162"/>
      <c r="BY699" s="162"/>
      <c r="BZ699" s="162"/>
      <c r="CA699" s="162"/>
      <c r="CB699" s="163"/>
    </row>
    <row r="700" spans="2:80" ht="12" thickBot="1" x14ac:dyDescent="0.25">
      <c r="B700" s="154"/>
      <c r="C700" s="155"/>
      <c r="D700" s="155"/>
      <c r="E700" s="155"/>
      <c r="F700" s="155"/>
      <c r="G700" s="155"/>
      <c r="H700" s="155"/>
      <c r="I700" s="155"/>
      <c r="J700" s="155"/>
      <c r="K700" s="155"/>
      <c r="L700" s="155"/>
      <c r="M700" s="155"/>
      <c r="N700" s="155"/>
      <c r="O700" s="172"/>
      <c r="P700" s="173"/>
      <c r="Q700" s="173"/>
      <c r="R700" s="173"/>
      <c r="S700" s="174"/>
      <c r="T700" s="181" t="s">
        <v>419</v>
      </c>
      <c r="U700" s="182"/>
      <c r="V700" s="28" t="s">
        <v>415</v>
      </c>
      <c r="W700" s="182" t="s">
        <v>419</v>
      </c>
      <c r="X700" s="182"/>
      <c r="Y700" s="28" t="s">
        <v>415</v>
      </c>
      <c r="Z700" s="182" t="s">
        <v>419</v>
      </c>
      <c r="AA700" s="192"/>
      <c r="AB700" s="181" t="s">
        <v>419</v>
      </c>
      <c r="AC700" s="182"/>
      <c r="AD700" s="28" t="s">
        <v>415</v>
      </c>
      <c r="AE700" s="182" t="s">
        <v>419</v>
      </c>
      <c r="AF700" s="192"/>
      <c r="AG700" s="181" t="s">
        <v>419</v>
      </c>
      <c r="AH700" s="182"/>
      <c r="AI700" s="182"/>
      <c r="AJ700" s="182"/>
      <c r="AK700" s="192"/>
      <c r="AL700" s="180"/>
      <c r="AM700" s="180"/>
      <c r="AN700" s="180"/>
      <c r="AO700" s="180"/>
      <c r="AP700" s="180"/>
      <c r="AQ700" s="180"/>
      <c r="AR700" s="180"/>
      <c r="AS700" s="180"/>
      <c r="AT700" s="180"/>
      <c r="AU700" s="180"/>
      <c r="AV700" s="180"/>
      <c r="AW700" s="180"/>
      <c r="AX700" s="180"/>
      <c r="AY700" s="180"/>
      <c r="AZ700" s="180"/>
      <c r="BA700" s="180"/>
      <c r="BB700" s="155"/>
      <c r="BC700" s="155"/>
      <c r="BD700" s="155"/>
      <c r="BE700" s="155"/>
      <c r="BF700" s="155"/>
      <c r="BG700" s="155"/>
      <c r="BH700" s="155"/>
      <c r="BI700" s="155"/>
      <c r="BJ700" s="155"/>
      <c r="BK700" s="160"/>
      <c r="BL700" s="161"/>
      <c r="BM700" s="161"/>
      <c r="BN700" s="155"/>
      <c r="BO700" s="155"/>
      <c r="BP700" s="155"/>
      <c r="BQ700" s="155"/>
      <c r="BR700" s="155"/>
      <c r="BS700" s="155"/>
      <c r="BT700" s="155"/>
      <c r="BU700" s="155"/>
      <c r="BV700" s="155"/>
      <c r="BW700" s="155"/>
      <c r="BX700" s="164"/>
      <c r="BY700" s="164"/>
      <c r="BZ700" s="164"/>
      <c r="CA700" s="164"/>
      <c r="CB700" s="165"/>
    </row>
    <row r="701" spans="2:80" ht="12" thickTop="1" x14ac:dyDescent="0.2">
      <c r="B701" s="71" t="s">
        <v>268</v>
      </c>
      <c r="C701" s="72"/>
      <c r="D701" s="72"/>
      <c r="E701" s="72"/>
      <c r="F701" s="72"/>
      <c r="G701" s="72"/>
      <c r="H701" s="72"/>
      <c r="I701" s="72"/>
      <c r="J701" s="72"/>
      <c r="K701" s="72"/>
      <c r="L701" s="72"/>
      <c r="M701" s="72"/>
      <c r="N701" s="72"/>
      <c r="O701" s="193">
        <v>12</v>
      </c>
      <c r="P701" s="194"/>
      <c r="Q701" s="21" t="s">
        <v>272</v>
      </c>
      <c r="R701" s="21"/>
      <c r="S701" s="21"/>
      <c r="T701" s="27"/>
      <c r="U701" s="27"/>
      <c r="V701" s="27"/>
      <c r="W701" s="27"/>
      <c r="X701" s="27"/>
      <c r="Y701" s="27"/>
      <c r="Z701" s="27"/>
      <c r="AA701" s="27"/>
      <c r="AB701" s="27"/>
      <c r="AC701" s="27"/>
      <c r="AD701" s="27"/>
      <c r="AE701" s="27"/>
      <c r="AF701" s="27"/>
      <c r="AG701" s="27"/>
      <c r="AH701" s="21"/>
      <c r="AI701" s="21"/>
      <c r="AJ701" s="21"/>
      <c r="AK701" s="21"/>
      <c r="AL701" s="21"/>
      <c r="AM701" s="21"/>
      <c r="AN701" s="21"/>
      <c r="AO701" s="21"/>
      <c r="AP701" s="21"/>
      <c r="AQ701" s="21"/>
      <c r="AR701" s="21"/>
      <c r="AS701" s="21"/>
      <c r="AT701" s="21"/>
      <c r="AU701" s="21"/>
      <c r="AV701" s="21"/>
      <c r="AW701" s="21"/>
      <c r="AX701" s="21"/>
      <c r="AY701" s="21"/>
      <c r="AZ701" s="21"/>
      <c r="BA701" s="22"/>
      <c r="BB701" s="195">
        <f>ROUND(PI()*O701^2/4*7.85/1000,3)</f>
        <v>0.88800000000000001</v>
      </c>
      <c r="BC701" s="195"/>
      <c r="BD701" s="195"/>
      <c r="BE701" s="63">
        <f>C621*2</f>
        <v>14</v>
      </c>
      <c r="BF701" s="63"/>
      <c r="BG701" s="63"/>
      <c r="BH701" s="83">
        <f>2*SQRT((E615/2)^2+T596^2)+(AL603/2-2)*W596</f>
        <v>17.485281374238568</v>
      </c>
      <c r="BI701" s="83"/>
      <c r="BJ701" s="83"/>
      <c r="BK701" s="124">
        <f t="shared" ref="BK701:BK720" si="49">+BE701*BH701</f>
        <v>244.79393923933995</v>
      </c>
      <c r="BL701" s="125"/>
      <c r="BM701" s="126"/>
      <c r="BN701" s="83">
        <f t="shared" ref="BN701:BN720" si="50">BB701*(BE701*BH701)</f>
        <v>217.37701804453388</v>
      </c>
      <c r="BO701" s="83"/>
      <c r="BP701" s="83"/>
      <c r="BQ701" s="83"/>
      <c r="BR701" s="84">
        <v>25</v>
      </c>
      <c r="BS701" s="84"/>
      <c r="BT701" s="84"/>
      <c r="BU701" s="84"/>
      <c r="BV701" s="84"/>
      <c r="BW701" s="84"/>
      <c r="BX701" s="65">
        <f t="shared" ref="BX701" si="51">BR701*BN701</f>
        <v>5434.4254511133468</v>
      </c>
      <c r="BY701" s="65"/>
      <c r="BZ701" s="65"/>
      <c r="CA701" s="65"/>
      <c r="CB701" s="66"/>
    </row>
    <row r="702" spans="2:80" x14ac:dyDescent="0.2">
      <c r="B702" s="147" t="s">
        <v>14</v>
      </c>
      <c r="C702" s="148"/>
      <c r="D702" s="148"/>
      <c r="E702" s="148"/>
      <c r="F702" s="148"/>
      <c r="G702" s="148"/>
      <c r="H702" s="148"/>
      <c r="I702" s="148"/>
      <c r="J702" s="148"/>
      <c r="K702" s="148"/>
      <c r="L702" s="148"/>
      <c r="M702" s="148"/>
      <c r="N702" s="148"/>
      <c r="O702" s="120" t="s">
        <v>413</v>
      </c>
      <c r="P702" s="73"/>
      <c r="Q702" s="73"/>
      <c r="R702" s="73"/>
      <c r="S702" s="128"/>
      <c r="T702" s="129">
        <v>150</v>
      </c>
      <c r="U702" s="130"/>
      <c r="V702" s="26" t="s">
        <v>415</v>
      </c>
      <c r="W702" s="130">
        <v>150</v>
      </c>
      <c r="X702" s="130"/>
      <c r="Y702" s="26" t="s">
        <v>415</v>
      </c>
      <c r="Z702" s="130">
        <v>10</v>
      </c>
      <c r="AA702" s="131"/>
      <c r="AB702" s="129">
        <v>150</v>
      </c>
      <c r="AC702" s="130"/>
      <c r="AD702" s="26" t="s">
        <v>415</v>
      </c>
      <c r="AE702" s="130">
        <v>10</v>
      </c>
      <c r="AF702" s="131"/>
      <c r="AG702" s="129" t="s">
        <v>395</v>
      </c>
      <c r="AH702" s="130"/>
      <c r="AI702" s="130"/>
      <c r="AJ702" s="130"/>
      <c r="AK702" s="131"/>
      <c r="AL702" s="129" t="s">
        <v>306</v>
      </c>
      <c r="AM702" s="130"/>
      <c r="AN702" s="130"/>
      <c r="AO702" s="130"/>
      <c r="AP702" s="130"/>
      <c r="AQ702" s="131"/>
      <c r="AR702" s="129" t="s">
        <v>246</v>
      </c>
      <c r="AS702" s="130"/>
      <c r="AT702" s="130"/>
      <c r="AU702" s="130"/>
      <c r="AV702" s="131"/>
      <c r="AW702" s="146" t="s">
        <v>160</v>
      </c>
      <c r="AX702" s="146"/>
      <c r="AY702" s="146"/>
      <c r="AZ702" s="146"/>
      <c r="BA702" s="146"/>
      <c r="BB702" s="143" cm="1">
        <f t="array" ref="BB702">IF(O702="C profil",INDEX($CX$4:$CX$28,MATCH(AG702,$CW$4:$CW$28,0),0),IF(O702="kutu profil",(((T702*W702-4*((2*Z702)*(2*Z702)-PI()*(2*Z702)^2/4))-((T702-2*Z702)*(W702-2*Z702)-4*((1*Z702)*(1*Z702)-PI()*(1*Z702)^2/4)))/1000000*7850),IF(O702="boru profil",((PI()*AB702^2/4-PI()*(AB702-2*AE702)^2/4)/1000000*7850),IF(O702="I profil",INDEX($CN$4:$CN$118,MATCH(AL702,$CM$4:$CM$118,0),0),IF(O702="U profil",INDEX($CU$4:$CU$28,MATCH(AR702,$CT$4:$CT$28,0),0),IF(O702="korniyer",INDEX($CR$4:$CR$176,MATCH(AW702,$CQ$4:$CQ$176,0),0),"hatalı"))))))</f>
        <v>4.72</v>
      </c>
      <c r="BC702" s="143"/>
      <c r="BD702" s="143"/>
      <c r="BE702" s="109">
        <f>AL603</f>
        <v>10</v>
      </c>
      <c r="BF702" s="109"/>
      <c r="BG702" s="109"/>
      <c r="BH702" s="149">
        <f>C611</f>
        <v>42</v>
      </c>
      <c r="BI702" s="149"/>
      <c r="BJ702" s="149"/>
      <c r="BK702" s="134">
        <f t="shared" si="49"/>
        <v>420</v>
      </c>
      <c r="BL702" s="135"/>
      <c r="BM702" s="136"/>
      <c r="BN702" s="149">
        <f t="shared" si="50"/>
        <v>1982.3999999999999</v>
      </c>
      <c r="BO702" s="149"/>
      <c r="BP702" s="149"/>
      <c r="BQ702" s="149"/>
      <c r="BR702" s="84">
        <v>28</v>
      </c>
      <c r="BS702" s="84"/>
      <c r="BT702" s="84"/>
      <c r="BU702" s="84"/>
      <c r="BV702" s="84"/>
      <c r="BW702" s="84"/>
      <c r="BX702" s="85">
        <f>BR702*BN702</f>
        <v>55507.199999999997</v>
      </c>
      <c r="BY702" s="85"/>
      <c r="BZ702" s="85"/>
      <c r="CA702" s="85"/>
      <c r="CB702" s="86"/>
    </row>
    <row r="703" spans="2:80" x14ac:dyDescent="0.2">
      <c r="B703" s="71" t="s">
        <v>12</v>
      </c>
      <c r="C703" s="72"/>
      <c r="D703" s="72"/>
      <c r="E703" s="72"/>
      <c r="F703" s="72"/>
      <c r="G703" s="72"/>
      <c r="H703" s="72"/>
      <c r="I703" s="72"/>
      <c r="J703" s="72"/>
      <c r="K703" s="72"/>
      <c r="L703" s="72"/>
      <c r="M703" s="72"/>
      <c r="N703" s="72"/>
      <c r="O703" s="120" t="s">
        <v>16</v>
      </c>
      <c r="P703" s="73"/>
      <c r="Q703" s="73"/>
      <c r="R703" s="73"/>
      <c r="S703" s="128"/>
      <c r="T703" s="129">
        <v>150</v>
      </c>
      <c r="U703" s="130"/>
      <c r="V703" s="26" t="s">
        <v>415</v>
      </c>
      <c r="W703" s="130">
        <v>150</v>
      </c>
      <c r="X703" s="130"/>
      <c r="Y703" s="26" t="s">
        <v>415</v>
      </c>
      <c r="Z703" s="130">
        <v>10</v>
      </c>
      <c r="AA703" s="131"/>
      <c r="AB703" s="129">
        <v>150</v>
      </c>
      <c r="AC703" s="130"/>
      <c r="AD703" s="26" t="s">
        <v>415</v>
      </c>
      <c r="AE703" s="130">
        <v>10</v>
      </c>
      <c r="AF703" s="131"/>
      <c r="AG703" s="13"/>
      <c r="AH703" s="11"/>
      <c r="AI703" s="11"/>
      <c r="AJ703" s="11"/>
      <c r="AK703" s="12"/>
      <c r="AL703" s="129" t="s">
        <v>281</v>
      </c>
      <c r="AM703" s="130"/>
      <c r="AN703" s="130"/>
      <c r="AO703" s="130"/>
      <c r="AP703" s="130"/>
      <c r="AQ703" s="131"/>
      <c r="AR703" s="129" t="s">
        <v>246</v>
      </c>
      <c r="AS703" s="130"/>
      <c r="AT703" s="130"/>
      <c r="AU703" s="130"/>
      <c r="AV703" s="131"/>
      <c r="AW703" s="146" t="s">
        <v>345</v>
      </c>
      <c r="AX703" s="146"/>
      <c r="AY703" s="146"/>
      <c r="AZ703" s="146"/>
      <c r="BA703" s="146"/>
      <c r="BB703" s="143" cm="1">
        <f t="array" ref="BB703">IF(O703="kutu profil",(((T703*W703-4*((2*Z703)*(2*Z703)-PI()*(2*Z703)^2/4))-((T703-2*Z703)*(W703-2*Z703)-4*((1*Z703)*(1*Z703)-PI()*(1*Z703)^2/4)))/1000000*7850),IF(O703="boru profil",((PI()*AB703^2/4-PI()*(AB703-2*AE703)^2/4)/1000000*7850),IF(O703="I profil",INDEX($CN$4:$CN$118,MATCH(AL703,$CM$4:$CM$118,0),0),IF(O703="U profil",INDEX($CU$4:$CU$28,MATCH(AR703,$CT$4:$CT$28,0),0),IF(O703="korniyer",INDEX($CR$4:$CR$176,MATCH(AW703,$CQ$4:$CQ$176,0),0),"hatalı")))))</f>
        <v>122</v>
      </c>
      <c r="BC703" s="143"/>
      <c r="BD703" s="143"/>
      <c r="BE703" s="63">
        <f>(C621+1)*2</f>
        <v>16</v>
      </c>
      <c r="BF703" s="63"/>
      <c r="BG703" s="63"/>
      <c r="BH703" s="83">
        <f>+N580</f>
        <v>12.059850745345068</v>
      </c>
      <c r="BI703" s="83"/>
      <c r="BJ703" s="83"/>
      <c r="BK703" s="134">
        <f t="shared" si="49"/>
        <v>192.95761192552109</v>
      </c>
      <c r="BL703" s="135"/>
      <c r="BM703" s="136"/>
      <c r="BN703" s="83">
        <f t="shared" si="50"/>
        <v>23540.828654913574</v>
      </c>
      <c r="BO703" s="83"/>
      <c r="BP703" s="83"/>
      <c r="BQ703" s="83"/>
      <c r="BR703" s="84">
        <v>28</v>
      </c>
      <c r="BS703" s="84"/>
      <c r="BT703" s="84"/>
      <c r="BU703" s="84"/>
      <c r="BV703" s="84"/>
      <c r="BW703" s="84"/>
      <c r="BX703" s="85">
        <f t="shared" ref="BX703:BX733" si="52">BR703*BN703</f>
        <v>659143.20233758003</v>
      </c>
      <c r="BY703" s="85"/>
      <c r="BZ703" s="85"/>
      <c r="CA703" s="85"/>
      <c r="CB703" s="86"/>
    </row>
    <row r="704" spans="2:80" x14ac:dyDescent="0.2">
      <c r="B704" s="71" t="s">
        <v>13</v>
      </c>
      <c r="C704" s="72"/>
      <c r="D704" s="72"/>
      <c r="E704" s="72"/>
      <c r="F704" s="72"/>
      <c r="G704" s="72"/>
      <c r="H704" s="72"/>
      <c r="I704" s="72"/>
      <c r="J704" s="72"/>
      <c r="K704" s="72"/>
      <c r="L704" s="72"/>
      <c r="M704" s="72"/>
      <c r="N704" s="72"/>
      <c r="O704" s="120" t="s">
        <v>16</v>
      </c>
      <c r="P704" s="73"/>
      <c r="Q704" s="73"/>
      <c r="R704" s="73"/>
      <c r="S704" s="128"/>
      <c r="T704" s="129">
        <v>150</v>
      </c>
      <c r="U704" s="130"/>
      <c r="V704" s="26" t="s">
        <v>415</v>
      </c>
      <c r="W704" s="130">
        <v>150</v>
      </c>
      <c r="X704" s="130"/>
      <c r="Y704" s="26" t="s">
        <v>415</v>
      </c>
      <c r="Z704" s="130">
        <v>10</v>
      </c>
      <c r="AA704" s="131"/>
      <c r="AB704" s="129">
        <v>150</v>
      </c>
      <c r="AC704" s="130"/>
      <c r="AD704" s="26" t="s">
        <v>415</v>
      </c>
      <c r="AE704" s="130">
        <v>10</v>
      </c>
      <c r="AF704" s="131"/>
      <c r="AG704" s="13"/>
      <c r="AH704" s="11"/>
      <c r="AI704" s="11"/>
      <c r="AJ704" s="11"/>
      <c r="AK704" s="12"/>
      <c r="AL704" s="129" t="s">
        <v>281</v>
      </c>
      <c r="AM704" s="130"/>
      <c r="AN704" s="130"/>
      <c r="AO704" s="130"/>
      <c r="AP704" s="130"/>
      <c r="AQ704" s="131"/>
      <c r="AR704" s="129" t="s">
        <v>246</v>
      </c>
      <c r="AS704" s="130"/>
      <c r="AT704" s="130"/>
      <c r="AU704" s="130"/>
      <c r="AV704" s="131"/>
      <c r="AW704" s="146" t="s">
        <v>345</v>
      </c>
      <c r="AX704" s="146"/>
      <c r="AY704" s="146"/>
      <c r="AZ704" s="146"/>
      <c r="BA704" s="146"/>
      <c r="BB704" s="143" cm="1">
        <f t="array" ref="BB704">IF(O704="kutu profil",(((T704*W704-4*((2*Z704)*(2*Z704)-PI()*(2*Z704)^2/4))-((T704-2*Z704)*(W704-2*Z704)-4*((1*Z704)*(1*Z704)-PI()*(1*Z704)^2/4)))/1000000*7850),IF(O704="boru profil",((PI()*AB704^2/4-PI()*(AB704-2*AE704)^2/4)/1000000*7850),IF(O704="I profil",INDEX($CN$4:$CN$118,MATCH(AL704,$CM$4:$CM$118,0),0),IF(O704="U profil",INDEX($CU$4:$CU$28,MATCH(AR704,$CT$4:$CT$28,0),0),IF(O704="korniyer",INDEX($CR$4:$CR$176,MATCH(AW704,$CQ$4:$CQ$176,0),0),"hatalı")))))</f>
        <v>122</v>
      </c>
      <c r="BC704" s="143"/>
      <c r="BD704" s="143"/>
      <c r="BE704" s="63">
        <f>(C621+1)*2</f>
        <v>16</v>
      </c>
      <c r="BF704" s="63"/>
      <c r="BG704" s="63"/>
      <c r="BH704" s="83">
        <f>+E583</f>
        <v>8</v>
      </c>
      <c r="BI704" s="83"/>
      <c r="BJ704" s="83"/>
      <c r="BK704" s="134">
        <f t="shared" si="49"/>
        <v>128</v>
      </c>
      <c r="BL704" s="135"/>
      <c r="BM704" s="136"/>
      <c r="BN704" s="83">
        <f t="shared" si="50"/>
        <v>15616</v>
      </c>
      <c r="BO704" s="83"/>
      <c r="BP704" s="83"/>
      <c r="BQ704" s="83"/>
      <c r="BR704" s="84">
        <v>28</v>
      </c>
      <c r="BS704" s="84"/>
      <c r="BT704" s="84"/>
      <c r="BU704" s="84"/>
      <c r="BV704" s="84"/>
      <c r="BW704" s="84"/>
      <c r="BX704" s="85">
        <f t="shared" si="52"/>
        <v>437248</v>
      </c>
      <c r="BY704" s="85"/>
      <c r="BZ704" s="85"/>
      <c r="CA704" s="85"/>
      <c r="CB704" s="86"/>
    </row>
    <row r="705" spans="2:80" x14ac:dyDescent="0.2">
      <c r="B705" s="71" t="s">
        <v>466</v>
      </c>
      <c r="C705" s="72"/>
      <c r="D705" s="72"/>
      <c r="E705" s="72"/>
      <c r="F705" s="72"/>
      <c r="G705" s="72"/>
      <c r="H705" s="72"/>
      <c r="I705" s="72"/>
      <c r="J705" s="72"/>
      <c r="K705" s="72"/>
      <c r="L705" s="72"/>
      <c r="M705" s="72"/>
      <c r="N705" s="72"/>
      <c r="O705" s="120" t="s">
        <v>416</v>
      </c>
      <c r="P705" s="73"/>
      <c r="Q705" s="73"/>
      <c r="R705" s="73"/>
      <c r="S705" s="128"/>
      <c r="T705" s="129">
        <v>80</v>
      </c>
      <c r="U705" s="130"/>
      <c r="V705" s="26" t="s">
        <v>415</v>
      </c>
      <c r="W705" s="130">
        <v>80</v>
      </c>
      <c r="X705" s="130"/>
      <c r="Y705" s="26" t="s">
        <v>415</v>
      </c>
      <c r="Z705" s="130">
        <v>4</v>
      </c>
      <c r="AA705" s="131"/>
      <c r="AB705" s="129">
        <v>150</v>
      </c>
      <c r="AC705" s="130"/>
      <c r="AD705" s="26" t="s">
        <v>415</v>
      </c>
      <c r="AE705" s="130">
        <v>10</v>
      </c>
      <c r="AF705" s="131"/>
      <c r="AG705" s="13"/>
      <c r="AH705" s="11"/>
      <c r="AI705" s="11"/>
      <c r="AJ705" s="11"/>
      <c r="AK705" s="12"/>
      <c r="AL705" s="129" t="s">
        <v>281</v>
      </c>
      <c r="AM705" s="130"/>
      <c r="AN705" s="130"/>
      <c r="AO705" s="130"/>
      <c r="AP705" s="130"/>
      <c r="AQ705" s="131"/>
      <c r="AR705" s="129" t="s">
        <v>246</v>
      </c>
      <c r="AS705" s="130"/>
      <c r="AT705" s="130"/>
      <c r="AU705" s="130"/>
      <c r="AV705" s="131"/>
      <c r="AW705" s="146" t="s">
        <v>345</v>
      </c>
      <c r="AX705" s="146"/>
      <c r="AY705" s="146"/>
      <c r="AZ705" s="146"/>
      <c r="BA705" s="146"/>
      <c r="BB705" s="143" cm="1">
        <f t="array" ref="BB705">IF(O705="kutu profil",(((T705*W705-4*((2*Z705)*(2*Z705)-PI()*(2*Z705)^2/4))-((T705-2*Z705)*(W705-2*Z705)-4*((1*Z705)*(1*Z705)-PI()*(1*Z705)^2/4)))/1000000*7850),IF(O705="boru profil",((PI()*AB705^2/4-PI()*(AB705-2*AE705)^2/4)/1000000*7850),IF(O705="I profil",INDEX($CN$4:$CN$118,MATCH(AL705,$CM$4:$CM$118,0),0),IF(O705="U profil",INDEX($CU$4:$CU$28,MATCH(AR705,$CT$4:$CT$28,0),0),IF(O705="korniyer",INDEX($CR$4:$CR$176,MATCH(AW705,$CQ$4:$CQ$176,0),0),"hatalı")))))</f>
        <v>9.2221521118726368</v>
      </c>
      <c r="BC705" s="143"/>
      <c r="BD705" s="143"/>
      <c r="BE705" s="63" cm="1">
        <f t="array" ref="BE705">INDEX(AZ600:AZ610,MATCH(C621,AY600:AY610,0),0)*2*4+INDEX(BA600:BA610,MATCH(C621,AY600:AY610,0),0)*2*2</f>
        <v>40</v>
      </c>
      <c r="BF705" s="63"/>
      <c r="BG705" s="63"/>
      <c r="BH705" s="83">
        <f>SQRT(E600^2+(2*H596)^2)</f>
        <v>8.4852813742385695</v>
      </c>
      <c r="BI705" s="83"/>
      <c r="BJ705" s="83"/>
      <c r="BK705" s="134">
        <f t="shared" si="49"/>
        <v>339.41125496954277</v>
      </c>
      <c r="BL705" s="135"/>
      <c r="BM705" s="136"/>
      <c r="BN705" s="83">
        <f t="shared" si="50"/>
        <v>3130.1022218107109</v>
      </c>
      <c r="BO705" s="83"/>
      <c r="BP705" s="83"/>
      <c r="BQ705" s="83"/>
      <c r="BR705" s="84">
        <v>28</v>
      </c>
      <c r="BS705" s="84"/>
      <c r="BT705" s="84"/>
      <c r="BU705" s="84"/>
      <c r="BV705" s="84"/>
      <c r="BW705" s="84"/>
      <c r="BX705" s="85">
        <f t="shared" si="52"/>
        <v>87642.86221069991</v>
      </c>
      <c r="BY705" s="85"/>
      <c r="BZ705" s="85"/>
      <c r="CA705" s="85"/>
      <c r="CB705" s="86"/>
    </row>
    <row r="706" spans="2:80" x14ac:dyDescent="0.2">
      <c r="B706" s="71" t="s">
        <v>289</v>
      </c>
      <c r="C706" s="72"/>
      <c r="D706" s="72"/>
      <c r="E706" s="72"/>
      <c r="F706" s="72"/>
      <c r="G706" s="72"/>
      <c r="H706" s="72"/>
      <c r="I706" s="72"/>
      <c r="J706" s="72"/>
      <c r="K706" s="72"/>
      <c r="L706" s="72"/>
      <c r="M706" s="72"/>
      <c r="N706" s="72"/>
      <c r="O706" s="120" t="s">
        <v>416</v>
      </c>
      <c r="P706" s="73"/>
      <c r="Q706" s="73"/>
      <c r="R706" s="73"/>
      <c r="S706" s="128"/>
      <c r="T706" s="129">
        <v>150</v>
      </c>
      <c r="U706" s="130"/>
      <c r="V706" s="26" t="s">
        <v>415</v>
      </c>
      <c r="W706" s="130">
        <v>150</v>
      </c>
      <c r="X706" s="130"/>
      <c r="Y706" s="26" t="s">
        <v>415</v>
      </c>
      <c r="Z706" s="130">
        <v>5</v>
      </c>
      <c r="AA706" s="131"/>
      <c r="AB706" s="129">
        <v>150</v>
      </c>
      <c r="AC706" s="130"/>
      <c r="AD706" s="26" t="s">
        <v>415</v>
      </c>
      <c r="AE706" s="130">
        <v>10</v>
      </c>
      <c r="AF706" s="131"/>
      <c r="AG706" s="13"/>
      <c r="AH706" s="11"/>
      <c r="AI706" s="11"/>
      <c r="AJ706" s="11"/>
      <c r="AK706" s="12"/>
      <c r="AL706" s="129" t="s">
        <v>281</v>
      </c>
      <c r="AM706" s="130"/>
      <c r="AN706" s="130"/>
      <c r="AO706" s="130"/>
      <c r="AP706" s="130"/>
      <c r="AQ706" s="131"/>
      <c r="AR706" s="129" t="s">
        <v>247</v>
      </c>
      <c r="AS706" s="130"/>
      <c r="AT706" s="130"/>
      <c r="AU706" s="130"/>
      <c r="AV706" s="131"/>
      <c r="AW706" s="146" t="s">
        <v>345</v>
      </c>
      <c r="AX706" s="146"/>
      <c r="AY706" s="146"/>
      <c r="AZ706" s="146"/>
      <c r="BA706" s="146"/>
      <c r="BB706" s="143" cm="1">
        <f t="array" ref="BB706">IF(O706="kutu profil",(((T706*W706-4*((2*Z706)*(2*Z706)-PI()*(2*Z706)^2/4))-((T706-2*Z706)*(W706-2*Z706)-4*((1*Z706)*(1*Z706)-PI()*(1*Z706)^2/4)))/1000000*7850),IF(O706="boru profil",((PI()*AB706^2/4-PI()*(AB706-2*AE706)^2/4)/1000000*7850),IF(O706="I profil",INDEX($CN$4:$CN$118,MATCH(AL706,$CM$4:$CM$118,0),0),IF(O706="U profil",INDEX($CU$4:$CU$28,MATCH(AR706,$CT$4:$CT$28,0),0),IF(O706="korniyer",INDEX($CR$4:$CR$176,MATCH(AW706,$CQ$4:$CQ$176,0),0),"hatalı")))))</f>
        <v>22.259612674800998</v>
      </c>
      <c r="BC706" s="143"/>
      <c r="BD706" s="143"/>
      <c r="BE706" s="63">
        <v>2</v>
      </c>
      <c r="BF706" s="63"/>
      <c r="BG706" s="63"/>
      <c r="BH706" s="83">
        <f>+C611</f>
        <v>42</v>
      </c>
      <c r="BI706" s="83"/>
      <c r="BJ706" s="83"/>
      <c r="BK706" s="134">
        <f t="shared" si="49"/>
        <v>84</v>
      </c>
      <c r="BL706" s="135"/>
      <c r="BM706" s="136"/>
      <c r="BN706" s="83">
        <f t="shared" si="50"/>
        <v>1869.8074646832838</v>
      </c>
      <c r="BO706" s="83"/>
      <c r="BP706" s="83"/>
      <c r="BQ706" s="83"/>
      <c r="BR706" s="84">
        <v>28</v>
      </c>
      <c r="BS706" s="84"/>
      <c r="BT706" s="84"/>
      <c r="BU706" s="84"/>
      <c r="BV706" s="84"/>
      <c r="BW706" s="84"/>
      <c r="BX706" s="85">
        <f t="shared" si="52"/>
        <v>52354.60901113195</v>
      </c>
      <c r="BY706" s="85"/>
      <c r="BZ706" s="85"/>
      <c r="CA706" s="85"/>
      <c r="CB706" s="86"/>
    </row>
    <row r="707" spans="2:80" x14ac:dyDescent="0.2">
      <c r="B707" s="71" t="s">
        <v>288</v>
      </c>
      <c r="C707" s="72"/>
      <c r="D707" s="72"/>
      <c r="E707" s="72"/>
      <c r="F707" s="72"/>
      <c r="G707" s="72"/>
      <c r="H707" s="72"/>
      <c r="I707" s="72"/>
      <c r="J707" s="72"/>
      <c r="K707" s="72"/>
      <c r="L707" s="72"/>
      <c r="M707" s="72"/>
      <c r="N707" s="72"/>
      <c r="O707" s="120" t="s">
        <v>416</v>
      </c>
      <c r="P707" s="73"/>
      <c r="Q707" s="73"/>
      <c r="R707" s="73"/>
      <c r="S707" s="128"/>
      <c r="T707" s="129">
        <v>150</v>
      </c>
      <c r="U707" s="130"/>
      <c r="V707" s="26" t="s">
        <v>415</v>
      </c>
      <c r="W707" s="130">
        <v>150</v>
      </c>
      <c r="X707" s="130"/>
      <c r="Y707" s="26" t="s">
        <v>415</v>
      </c>
      <c r="Z707" s="130">
        <v>5</v>
      </c>
      <c r="AA707" s="131"/>
      <c r="AB707" s="129">
        <v>150</v>
      </c>
      <c r="AC707" s="130"/>
      <c r="AD707" s="26" t="s">
        <v>415</v>
      </c>
      <c r="AE707" s="130">
        <v>10</v>
      </c>
      <c r="AF707" s="131"/>
      <c r="AG707" s="13"/>
      <c r="AH707" s="11"/>
      <c r="AI707" s="11"/>
      <c r="AJ707" s="11"/>
      <c r="AK707" s="12"/>
      <c r="AL707" s="129" t="s">
        <v>281</v>
      </c>
      <c r="AM707" s="130"/>
      <c r="AN707" s="130"/>
      <c r="AO707" s="130"/>
      <c r="AP707" s="130"/>
      <c r="AQ707" s="131"/>
      <c r="AR707" s="129" t="s">
        <v>246</v>
      </c>
      <c r="AS707" s="130"/>
      <c r="AT707" s="130"/>
      <c r="AU707" s="130"/>
      <c r="AV707" s="131"/>
      <c r="AW707" s="146" t="s">
        <v>345</v>
      </c>
      <c r="AX707" s="146"/>
      <c r="AY707" s="146"/>
      <c r="AZ707" s="146"/>
      <c r="BA707" s="146"/>
      <c r="BB707" s="143" cm="1">
        <f t="array" ref="BB707">IF(O707="kutu profil",(((T707*W707-4*((2*Z707)*(2*Z707)-PI()*(2*Z707)^2/4))-((T707-2*Z707)*(W707-2*Z707)-4*((1*Z707)*(1*Z707)-PI()*(1*Z707)^2/4)))/1000000*7850),IF(O707="boru profil",((PI()*AB707^2/4-PI()*(AB707-2*AE707)^2/4)/1000000*7850),IF(O707="I profil",INDEX($CN$4:$CN$118,MATCH(AL707,$CM$4:$CM$118,0),0),IF(O707="U profil",INDEX($CU$4:$CU$28,MATCH(AR707,$CT$4:$CT$28,0),0),IF(O707="korniyer",INDEX($CR$4:$CR$176,MATCH(AW707,$CQ$4:$CQ$176,0),0),"hatalı")))))</f>
        <v>22.259612674800998</v>
      </c>
      <c r="BC707" s="143"/>
      <c r="BD707" s="143"/>
      <c r="BE707" s="63" cm="1">
        <f t="array" ref="BE707">INDEX(BA600:BA610,MATCH(C621,AY600:AY610,0),0)*2*2</f>
        <v>16</v>
      </c>
      <c r="BF707" s="63"/>
      <c r="BG707" s="63"/>
      <c r="BH707" s="83">
        <f>+AQ589</f>
        <v>6</v>
      </c>
      <c r="BI707" s="83"/>
      <c r="BJ707" s="83"/>
      <c r="BK707" s="134">
        <f t="shared" si="49"/>
        <v>96</v>
      </c>
      <c r="BL707" s="135"/>
      <c r="BM707" s="136"/>
      <c r="BN707" s="83">
        <f t="shared" si="50"/>
        <v>2136.922816780896</v>
      </c>
      <c r="BO707" s="83"/>
      <c r="BP707" s="83"/>
      <c r="BQ707" s="83"/>
      <c r="BR707" s="84">
        <v>28</v>
      </c>
      <c r="BS707" s="84"/>
      <c r="BT707" s="84"/>
      <c r="BU707" s="84"/>
      <c r="BV707" s="84"/>
      <c r="BW707" s="84"/>
      <c r="BX707" s="85">
        <f t="shared" si="52"/>
        <v>59833.838869865089</v>
      </c>
      <c r="BY707" s="85"/>
      <c r="BZ707" s="85"/>
      <c r="CA707" s="85"/>
      <c r="CB707" s="86"/>
    </row>
    <row r="708" spans="2:80" x14ac:dyDescent="0.2">
      <c r="B708" s="71" t="s">
        <v>447</v>
      </c>
      <c r="C708" s="72"/>
      <c r="D708" s="72"/>
      <c r="E708" s="72"/>
      <c r="F708" s="72"/>
      <c r="G708" s="72"/>
      <c r="H708" s="72"/>
      <c r="I708" s="72"/>
      <c r="J708" s="72"/>
      <c r="K708" s="72"/>
      <c r="L708" s="72"/>
      <c r="M708" s="72"/>
      <c r="N708" s="72"/>
      <c r="O708" s="120" t="s">
        <v>414</v>
      </c>
      <c r="P708" s="73"/>
      <c r="Q708" s="73"/>
      <c r="R708" s="73"/>
      <c r="S708" s="128"/>
      <c r="T708" s="129">
        <v>150</v>
      </c>
      <c r="U708" s="130"/>
      <c r="V708" s="26" t="s">
        <v>415</v>
      </c>
      <c r="W708" s="130">
        <v>150</v>
      </c>
      <c r="X708" s="130"/>
      <c r="Y708" s="26" t="s">
        <v>415</v>
      </c>
      <c r="Z708" s="130">
        <v>8</v>
      </c>
      <c r="AA708" s="131"/>
      <c r="AB708" s="129">
        <v>101.6</v>
      </c>
      <c r="AC708" s="130"/>
      <c r="AD708" s="26" t="s">
        <v>415</v>
      </c>
      <c r="AE708" s="130">
        <v>4.6500000000000004</v>
      </c>
      <c r="AF708" s="131"/>
      <c r="AG708" s="13"/>
      <c r="AH708" s="11"/>
      <c r="AI708" s="11"/>
      <c r="AJ708" s="11"/>
      <c r="AK708" s="12"/>
      <c r="AL708" s="129" t="s">
        <v>281</v>
      </c>
      <c r="AM708" s="130"/>
      <c r="AN708" s="130"/>
      <c r="AO708" s="130"/>
      <c r="AP708" s="130"/>
      <c r="AQ708" s="131"/>
      <c r="AR708" s="129" t="s">
        <v>246</v>
      </c>
      <c r="AS708" s="130"/>
      <c r="AT708" s="130"/>
      <c r="AU708" s="130"/>
      <c r="AV708" s="131"/>
      <c r="AW708" s="146" t="s">
        <v>188</v>
      </c>
      <c r="AX708" s="146"/>
      <c r="AY708" s="146"/>
      <c r="AZ708" s="146"/>
      <c r="BA708" s="146"/>
      <c r="BB708" s="143" cm="1">
        <f t="array" ref="BB708">IF(O708="kutu profil",(((T708*W708-4*((2*Z708)*(2*Z708)-PI()*(2*Z708)^2/4))-((T708-2*Z708)*(W708-2*Z708)-4*((1*Z708)*(1*Z708)-PI()*(1*Z708)^2/4)))/1000000*7850),IF(O708="boru profil",((PI()*AB708^2/4-PI()*(AB708-2*AE708)^2/4)/1000000*7850),IF(O708="I profil",INDEX($CN$4:$CN$118,MATCH(AL708,$CM$4:$CM$118,0),0),IF(O708="U profil",INDEX($CU$4:$CU$28,MATCH(AR708,$CT$4:$CT$28,0),0),IF(O708="korniyer",INDEX($CR$4:$CR$176,MATCH(AW708,$CQ$4:$CQ$176,0),0),"hatalı")))))</f>
        <v>11.117836826961277</v>
      </c>
      <c r="BC708" s="143"/>
      <c r="BD708" s="143"/>
      <c r="BE708" s="63" cm="1">
        <f t="array" ref="BE708">INDEX(AZ600:AZ610,MATCH(C621,AY600:AY610,0),0)*2*3*2</f>
        <v>36</v>
      </c>
      <c r="BF708" s="63"/>
      <c r="BG708" s="63"/>
      <c r="BH708" s="83">
        <f>SQRT(AM589^2+AH586^2)</f>
        <v>6.5659052011974035</v>
      </c>
      <c r="BI708" s="83"/>
      <c r="BJ708" s="83"/>
      <c r="BK708" s="134">
        <f t="shared" si="49"/>
        <v>236.37258724310652</v>
      </c>
      <c r="BL708" s="135"/>
      <c r="BM708" s="136"/>
      <c r="BN708" s="83">
        <f t="shared" si="50"/>
        <v>2627.9518553355269</v>
      </c>
      <c r="BO708" s="83"/>
      <c r="BP708" s="83"/>
      <c r="BQ708" s="83"/>
      <c r="BR708" s="84">
        <v>28</v>
      </c>
      <c r="BS708" s="84"/>
      <c r="BT708" s="84"/>
      <c r="BU708" s="84"/>
      <c r="BV708" s="84"/>
      <c r="BW708" s="84"/>
      <c r="BX708" s="85">
        <f t="shared" si="52"/>
        <v>73582.651949394756</v>
      </c>
      <c r="BY708" s="85"/>
      <c r="BZ708" s="85"/>
      <c r="CA708" s="85"/>
      <c r="CB708" s="86"/>
    </row>
    <row r="709" spans="2:80" x14ac:dyDescent="0.2">
      <c r="B709" s="71" t="s">
        <v>448</v>
      </c>
      <c r="C709" s="72"/>
      <c r="D709" s="72"/>
      <c r="E709" s="72"/>
      <c r="F709" s="72"/>
      <c r="G709" s="72"/>
      <c r="H709" s="72"/>
      <c r="I709" s="72"/>
      <c r="J709" s="72"/>
      <c r="K709" s="72"/>
      <c r="L709" s="72"/>
      <c r="M709" s="72"/>
      <c r="N709" s="72"/>
      <c r="O709" s="120" t="s">
        <v>416</v>
      </c>
      <c r="P709" s="73"/>
      <c r="Q709" s="73"/>
      <c r="R709" s="73"/>
      <c r="S709" s="128"/>
      <c r="T709" s="129">
        <v>140</v>
      </c>
      <c r="U709" s="130"/>
      <c r="V709" s="26" t="s">
        <v>415</v>
      </c>
      <c r="W709" s="130">
        <v>140</v>
      </c>
      <c r="X709" s="130"/>
      <c r="Y709" s="26" t="s">
        <v>415</v>
      </c>
      <c r="Z709" s="130">
        <v>8</v>
      </c>
      <c r="AA709" s="131"/>
      <c r="AB709" s="129">
        <v>150</v>
      </c>
      <c r="AC709" s="130"/>
      <c r="AD709" s="26" t="s">
        <v>415</v>
      </c>
      <c r="AE709" s="130">
        <v>10</v>
      </c>
      <c r="AF709" s="131"/>
      <c r="AG709" s="13"/>
      <c r="AH709" s="11"/>
      <c r="AI709" s="11"/>
      <c r="AJ709" s="11"/>
      <c r="AK709" s="12"/>
      <c r="AL709" s="129" t="s">
        <v>281</v>
      </c>
      <c r="AM709" s="130"/>
      <c r="AN709" s="130"/>
      <c r="AO709" s="130"/>
      <c r="AP709" s="130"/>
      <c r="AQ709" s="131"/>
      <c r="AR709" s="129" t="s">
        <v>246</v>
      </c>
      <c r="AS709" s="130"/>
      <c r="AT709" s="130"/>
      <c r="AU709" s="130"/>
      <c r="AV709" s="131"/>
      <c r="AW709" s="146" t="s">
        <v>345</v>
      </c>
      <c r="AX709" s="146"/>
      <c r="AY709" s="146"/>
      <c r="AZ709" s="146"/>
      <c r="BA709" s="146"/>
      <c r="BB709" s="143" cm="1">
        <f t="array" ref="BB709">IF(O709="kutu profil",(((T709*W709-4*((2*Z709)*(2*Z709)-PI()*(2*Z709)^2/4))-((T709-2*Z709)*(W709-2*Z709)-4*((1*Z709)*(1*Z709)-PI()*(1*Z709)^2/4)))/1000000*7850),IF(O709="boru profil",((PI()*AB709^2/4-PI()*(AB709-2*AE709)^2/4)/1000000*7850),IF(O709="I profil",INDEX($CN$4:$CN$118,MATCH(AL709,$CM$4:$CM$118,0),0),IF(O709="U profil",INDEX($CU$4:$CU$28,MATCH(AR709,$CT$4:$CT$28,0),0),IF(O709="korniyer",INDEX($CR$4:$CR$176,MATCH(AW709,$CQ$4:$CQ$176,0),0),"hatalı")))))</f>
        <v>31.86460844749055</v>
      </c>
      <c r="BC709" s="143"/>
      <c r="BD709" s="143"/>
      <c r="BE709" s="63" cm="1">
        <f t="array" ref="BE709">INDEX(AZ600:AZ610,MATCH(C621,AY600:AY610,0),0)*2*2</f>
        <v>12</v>
      </c>
      <c r="BF709" s="63"/>
      <c r="BG709" s="63"/>
      <c r="BH709" s="83">
        <f>+AM589</f>
        <v>6</v>
      </c>
      <c r="BI709" s="83"/>
      <c r="BJ709" s="83"/>
      <c r="BK709" s="134">
        <f t="shared" si="49"/>
        <v>72</v>
      </c>
      <c r="BL709" s="135"/>
      <c r="BM709" s="136"/>
      <c r="BN709" s="83">
        <f t="shared" si="50"/>
        <v>2294.2518082193196</v>
      </c>
      <c r="BO709" s="83"/>
      <c r="BP709" s="83"/>
      <c r="BQ709" s="83"/>
      <c r="BR709" s="84">
        <v>28</v>
      </c>
      <c r="BS709" s="84"/>
      <c r="BT709" s="84"/>
      <c r="BU709" s="84"/>
      <c r="BV709" s="84"/>
      <c r="BW709" s="84"/>
      <c r="BX709" s="85">
        <f t="shared" si="52"/>
        <v>64239.050630140948</v>
      </c>
      <c r="BY709" s="85"/>
      <c r="BZ709" s="85"/>
      <c r="CA709" s="85"/>
      <c r="CB709" s="86"/>
    </row>
    <row r="710" spans="2:80" x14ac:dyDescent="0.2">
      <c r="B710" s="71" t="s">
        <v>284</v>
      </c>
      <c r="C710" s="72"/>
      <c r="D710" s="72"/>
      <c r="E710" s="72"/>
      <c r="F710" s="72"/>
      <c r="G710" s="72"/>
      <c r="H710" s="72"/>
      <c r="I710" s="72"/>
      <c r="J710" s="72"/>
      <c r="K710" s="72"/>
      <c r="L710" s="72"/>
      <c r="M710" s="72"/>
      <c r="N710" s="72"/>
      <c r="O710" s="120" t="s">
        <v>16</v>
      </c>
      <c r="P710" s="73"/>
      <c r="Q710" s="73"/>
      <c r="R710" s="73"/>
      <c r="S710" s="128"/>
      <c r="T710" s="129">
        <v>150</v>
      </c>
      <c r="U710" s="130"/>
      <c r="V710" s="26" t="s">
        <v>415</v>
      </c>
      <c r="W710" s="130">
        <v>150</v>
      </c>
      <c r="X710" s="130"/>
      <c r="Y710" s="26" t="s">
        <v>415</v>
      </c>
      <c r="Z710" s="130">
        <v>10</v>
      </c>
      <c r="AA710" s="131"/>
      <c r="AB710" s="129">
        <v>150</v>
      </c>
      <c r="AC710" s="130"/>
      <c r="AD710" s="26" t="s">
        <v>415</v>
      </c>
      <c r="AE710" s="130">
        <v>10</v>
      </c>
      <c r="AF710" s="131"/>
      <c r="AG710" s="13"/>
      <c r="AH710" s="11"/>
      <c r="AI710" s="11"/>
      <c r="AJ710" s="11"/>
      <c r="AK710" s="12"/>
      <c r="AL710" s="129" t="s">
        <v>446</v>
      </c>
      <c r="AM710" s="130"/>
      <c r="AN710" s="130"/>
      <c r="AO710" s="130"/>
      <c r="AP710" s="130"/>
      <c r="AQ710" s="131"/>
      <c r="AR710" s="129" t="s">
        <v>246</v>
      </c>
      <c r="AS710" s="130"/>
      <c r="AT710" s="130"/>
      <c r="AU710" s="130"/>
      <c r="AV710" s="131"/>
      <c r="AW710" s="146" t="s">
        <v>345</v>
      </c>
      <c r="AX710" s="146"/>
      <c r="AY710" s="146"/>
      <c r="AZ710" s="146"/>
      <c r="BA710" s="146"/>
      <c r="BB710" s="143" cm="1">
        <f t="array" ref="BB710">IF(O710="kutu profil",(((T710*W710-4*((2*Z710)*(2*Z710)-PI()*(2*Z710)^2/4))-((T710-2*Z710)*(W710-2*Z710)-4*((1*Z710)*(1*Z710)-PI()*(1*Z710)^2/4)))/1000000*7850),IF(O710="boru profil",((PI()*AB710^2/4-PI()*(AB710-2*AE710)^2/4)/1000000*7850),IF(O710="I profil",INDEX($CN$4:$CN$118,MATCH(AL710,$CM$4:$CM$118,0),0),IF(O710="U profil",INDEX($CU$4:$CU$28,MATCH(AR710,$CT$4:$CT$28,0),0),IF(O710="korniyer",INDEX($CR$4:$CR$176,MATCH(AW710,$CQ$4:$CQ$176,0),0),"hatalı")))))</f>
        <v>22.4</v>
      </c>
      <c r="BC710" s="143"/>
      <c r="BD710" s="143"/>
      <c r="BE710" s="63">
        <v>4</v>
      </c>
      <c r="BF710" s="63"/>
      <c r="BG710" s="63"/>
      <c r="BH710" s="83">
        <f>(AD651*TAN(AB580*PI()/180)+E583)+(2*AD651*TAN(AB580*PI()/180)+E583)+(3*AD651*TAN(AB580*PI()/180)+E583)</f>
        <v>25.9</v>
      </c>
      <c r="BI710" s="83"/>
      <c r="BJ710" s="83"/>
      <c r="BK710" s="134">
        <f t="shared" si="49"/>
        <v>103.6</v>
      </c>
      <c r="BL710" s="135"/>
      <c r="BM710" s="136"/>
      <c r="BN710" s="83">
        <f t="shared" si="50"/>
        <v>2320.64</v>
      </c>
      <c r="BO710" s="83"/>
      <c r="BP710" s="83"/>
      <c r="BQ710" s="83"/>
      <c r="BR710" s="84">
        <v>28</v>
      </c>
      <c r="BS710" s="84"/>
      <c r="BT710" s="84"/>
      <c r="BU710" s="84"/>
      <c r="BV710" s="84"/>
      <c r="BW710" s="84"/>
      <c r="BX710" s="85">
        <f t="shared" si="52"/>
        <v>64977.919999999998</v>
      </c>
      <c r="BY710" s="85"/>
      <c r="BZ710" s="85"/>
      <c r="CA710" s="85"/>
      <c r="CB710" s="86"/>
    </row>
    <row r="711" spans="2:80" x14ac:dyDescent="0.2">
      <c r="B711" s="71" t="s">
        <v>285</v>
      </c>
      <c r="C711" s="72"/>
      <c r="D711" s="72"/>
      <c r="E711" s="72"/>
      <c r="F711" s="72"/>
      <c r="G711" s="72"/>
      <c r="H711" s="72"/>
      <c r="I711" s="72"/>
      <c r="J711" s="72"/>
      <c r="K711" s="72"/>
      <c r="L711" s="72"/>
      <c r="M711" s="72"/>
      <c r="N711" s="72"/>
      <c r="O711" s="120" t="s">
        <v>416</v>
      </c>
      <c r="P711" s="73"/>
      <c r="Q711" s="73"/>
      <c r="R711" s="73"/>
      <c r="S711" s="128"/>
      <c r="T711" s="129">
        <v>150</v>
      </c>
      <c r="U711" s="130"/>
      <c r="V711" s="26" t="s">
        <v>415</v>
      </c>
      <c r="W711" s="130">
        <v>100</v>
      </c>
      <c r="X711" s="130"/>
      <c r="Y711" s="26" t="s">
        <v>415</v>
      </c>
      <c r="Z711" s="130">
        <v>5</v>
      </c>
      <c r="AA711" s="131"/>
      <c r="AB711" s="129">
        <v>150</v>
      </c>
      <c r="AC711" s="130"/>
      <c r="AD711" s="26" t="s">
        <v>415</v>
      </c>
      <c r="AE711" s="130">
        <v>10</v>
      </c>
      <c r="AF711" s="131"/>
      <c r="AG711" s="13"/>
      <c r="AH711" s="11"/>
      <c r="AI711" s="11"/>
      <c r="AJ711" s="11"/>
      <c r="AK711" s="12"/>
      <c r="AL711" s="129" t="s">
        <v>281</v>
      </c>
      <c r="AM711" s="130"/>
      <c r="AN711" s="130"/>
      <c r="AO711" s="130"/>
      <c r="AP711" s="130"/>
      <c r="AQ711" s="131"/>
      <c r="AR711" s="129" t="s">
        <v>246</v>
      </c>
      <c r="AS711" s="130"/>
      <c r="AT711" s="130"/>
      <c r="AU711" s="130"/>
      <c r="AV711" s="131"/>
      <c r="AW711" s="146" t="s">
        <v>345</v>
      </c>
      <c r="AX711" s="146"/>
      <c r="AY711" s="146"/>
      <c r="AZ711" s="146"/>
      <c r="BA711" s="146"/>
      <c r="BB711" s="143" cm="1">
        <f t="array" ref="BB711">IF(O711="kutu profil",(((T711*W711-4*((2*Z711)*(2*Z711)-PI()*(2*Z711)^2/4))-((T711-2*Z711)*(W711-2*Z711)-4*((1*Z711)*(1*Z711)-PI()*(1*Z711)^2/4)))/1000000*7850),IF(O711="boru profil",((PI()*AB711^2/4-PI()*(AB711-2*AE711)^2/4)/1000000*7850),IF(O711="I profil",INDEX($CN$4:$CN$118,MATCH(AL711,$CM$4:$CM$118,0),0),IF(O711="U profil",INDEX($CU$4:$CU$28,MATCH(AR711,$CT$4:$CT$28,0),0),IF(O711="korniyer",INDEX($CR$4:$CR$176,MATCH(AW711,$CQ$4:$CQ$176,0),0),"hatalı")))))</f>
        <v>18.334612674801001</v>
      </c>
      <c r="BC711" s="143"/>
      <c r="BD711" s="143"/>
      <c r="BE711" s="63">
        <v>2</v>
      </c>
      <c r="BF711" s="63"/>
      <c r="BG711" s="63"/>
      <c r="BH711" s="83">
        <f>+E583+E577-AH646</f>
        <v>5.1999999999999993</v>
      </c>
      <c r="BI711" s="83"/>
      <c r="BJ711" s="83"/>
      <c r="BK711" s="134">
        <f t="shared" si="49"/>
        <v>10.399999999999999</v>
      </c>
      <c r="BL711" s="135"/>
      <c r="BM711" s="136"/>
      <c r="BN711" s="83">
        <f t="shared" si="50"/>
        <v>190.67997181793038</v>
      </c>
      <c r="BO711" s="83"/>
      <c r="BP711" s="83"/>
      <c r="BQ711" s="83"/>
      <c r="BR711" s="84">
        <v>28</v>
      </c>
      <c r="BS711" s="84"/>
      <c r="BT711" s="84"/>
      <c r="BU711" s="84"/>
      <c r="BV711" s="84"/>
      <c r="BW711" s="84"/>
      <c r="BX711" s="85">
        <f t="shared" si="52"/>
        <v>5339.0392109020504</v>
      </c>
      <c r="BY711" s="85"/>
      <c r="BZ711" s="85"/>
      <c r="CA711" s="85"/>
      <c r="CB711" s="86"/>
    </row>
    <row r="712" spans="2:80" x14ac:dyDescent="0.2">
      <c r="B712" s="71" t="s">
        <v>286</v>
      </c>
      <c r="C712" s="72"/>
      <c r="D712" s="72"/>
      <c r="E712" s="72"/>
      <c r="F712" s="72"/>
      <c r="G712" s="72"/>
      <c r="H712" s="72"/>
      <c r="I712" s="72"/>
      <c r="J712" s="72"/>
      <c r="K712" s="72"/>
      <c r="L712" s="72"/>
      <c r="M712" s="72"/>
      <c r="N712" s="72"/>
      <c r="O712" s="120" t="s">
        <v>416</v>
      </c>
      <c r="P712" s="73"/>
      <c r="Q712" s="73"/>
      <c r="R712" s="73"/>
      <c r="S712" s="128"/>
      <c r="T712" s="129">
        <v>100</v>
      </c>
      <c r="U712" s="130"/>
      <c r="V712" s="26" t="s">
        <v>415</v>
      </c>
      <c r="W712" s="130">
        <v>100</v>
      </c>
      <c r="X712" s="130"/>
      <c r="Y712" s="26" t="s">
        <v>415</v>
      </c>
      <c r="Z712" s="130">
        <v>5</v>
      </c>
      <c r="AA712" s="131"/>
      <c r="AB712" s="129">
        <v>150</v>
      </c>
      <c r="AC712" s="130"/>
      <c r="AD712" s="26" t="s">
        <v>415</v>
      </c>
      <c r="AE712" s="130">
        <v>10</v>
      </c>
      <c r="AF712" s="131"/>
      <c r="AG712" s="13"/>
      <c r="AH712" s="11"/>
      <c r="AI712" s="11"/>
      <c r="AJ712" s="11"/>
      <c r="AK712" s="12"/>
      <c r="AL712" s="129" t="s">
        <v>281</v>
      </c>
      <c r="AM712" s="130"/>
      <c r="AN712" s="130"/>
      <c r="AO712" s="130"/>
      <c r="AP712" s="130"/>
      <c r="AQ712" s="131"/>
      <c r="AR712" s="129" t="s">
        <v>246</v>
      </c>
      <c r="AS712" s="130"/>
      <c r="AT712" s="130"/>
      <c r="AU712" s="130"/>
      <c r="AV712" s="131"/>
      <c r="AW712" s="146" t="s">
        <v>345</v>
      </c>
      <c r="AX712" s="146"/>
      <c r="AY712" s="146"/>
      <c r="AZ712" s="146"/>
      <c r="BA712" s="146"/>
      <c r="BB712" s="143" cm="1">
        <f t="array" ref="BB712">IF(O712="kutu profil",(((T712*W712-4*((2*Z712)*(2*Z712)-PI()*(2*Z712)^2/4))-((T712-2*Z712)*(W712-2*Z712)-4*((1*Z712)*(1*Z712)-PI()*(1*Z712)^2/4)))/1000000*7850),IF(O712="boru profil",((PI()*AB712^2/4-PI()*(AB712-2*AE712)^2/4)/1000000*7850),IF(O712="I profil",INDEX($CN$4:$CN$118,MATCH(AL712,$CM$4:$CM$118,0),0),IF(O712="U profil",INDEX($CU$4:$CU$28,MATCH(AR712,$CT$4:$CT$28,0),0),IF(O712="korniyer",INDEX($CR$4:$CR$176,MATCH(AW712,$CQ$4:$CQ$176,0),0),"hatalı")))))</f>
        <v>14.409612674800993</v>
      </c>
      <c r="BC712" s="143"/>
      <c r="BD712" s="143"/>
      <c r="BE712" s="63">
        <f>6*3*2</f>
        <v>36</v>
      </c>
      <c r="BF712" s="63"/>
      <c r="BG712" s="63"/>
      <c r="BH712" s="83">
        <f>+AD651</f>
        <v>3.1666666666666665</v>
      </c>
      <c r="BI712" s="83"/>
      <c r="BJ712" s="83"/>
      <c r="BK712" s="134">
        <f t="shared" si="49"/>
        <v>114</v>
      </c>
      <c r="BL712" s="135"/>
      <c r="BM712" s="136"/>
      <c r="BN712" s="83">
        <f t="shared" si="50"/>
        <v>1642.6958449273131</v>
      </c>
      <c r="BO712" s="83"/>
      <c r="BP712" s="83"/>
      <c r="BQ712" s="83"/>
      <c r="BR712" s="84">
        <v>28</v>
      </c>
      <c r="BS712" s="84"/>
      <c r="BT712" s="84"/>
      <c r="BU712" s="84"/>
      <c r="BV712" s="84"/>
      <c r="BW712" s="84"/>
      <c r="BX712" s="85">
        <f t="shared" si="52"/>
        <v>45995.483657964767</v>
      </c>
      <c r="BY712" s="85"/>
      <c r="BZ712" s="85"/>
      <c r="CA712" s="85"/>
      <c r="CB712" s="86"/>
    </row>
    <row r="713" spans="2:80" x14ac:dyDescent="0.2">
      <c r="B713" s="71" t="s">
        <v>287</v>
      </c>
      <c r="C713" s="72"/>
      <c r="D713" s="72"/>
      <c r="E713" s="72"/>
      <c r="F713" s="72"/>
      <c r="G713" s="72"/>
      <c r="H713" s="72"/>
      <c r="I713" s="72"/>
      <c r="J713" s="72"/>
      <c r="K713" s="72"/>
      <c r="L713" s="72"/>
      <c r="M713" s="72"/>
      <c r="N713" s="72"/>
      <c r="O713" s="120" t="s">
        <v>416</v>
      </c>
      <c r="P713" s="73"/>
      <c r="Q713" s="73"/>
      <c r="R713" s="73"/>
      <c r="S713" s="128"/>
      <c r="T713" s="129">
        <v>150</v>
      </c>
      <c r="U713" s="130"/>
      <c r="V713" s="26" t="s">
        <v>415</v>
      </c>
      <c r="W713" s="130">
        <v>150</v>
      </c>
      <c r="X713" s="130"/>
      <c r="Y713" s="26" t="s">
        <v>415</v>
      </c>
      <c r="Z713" s="130">
        <v>5</v>
      </c>
      <c r="AA713" s="131"/>
      <c r="AB713" s="129">
        <v>150</v>
      </c>
      <c r="AC713" s="130"/>
      <c r="AD713" s="26" t="s">
        <v>415</v>
      </c>
      <c r="AE713" s="130">
        <v>10</v>
      </c>
      <c r="AF713" s="131"/>
      <c r="AG713" s="13"/>
      <c r="AH713" s="11"/>
      <c r="AI713" s="11"/>
      <c r="AJ713" s="11"/>
      <c r="AK713" s="12"/>
      <c r="AL713" s="129" t="s">
        <v>281</v>
      </c>
      <c r="AM713" s="130"/>
      <c r="AN713" s="130"/>
      <c r="AO713" s="130"/>
      <c r="AP713" s="130"/>
      <c r="AQ713" s="131"/>
      <c r="AR713" s="129" t="s">
        <v>246</v>
      </c>
      <c r="AS713" s="130"/>
      <c r="AT713" s="130"/>
      <c r="AU713" s="130"/>
      <c r="AV713" s="131"/>
      <c r="AW713" s="146" t="s">
        <v>345</v>
      </c>
      <c r="AX713" s="146"/>
      <c r="AY713" s="146"/>
      <c r="AZ713" s="146"/>
      <c r="BA713" s="146"/>
      <c r="BB713" s="143" cm="1">
        <f t="array" ref="BB713">IF(O713="kutu profil",(((T713*W713-4*((2*Z713)*(2*Z713)-PI()*(2*Z713)^2/4))-((T713-2*Z713)*(W713-2*Z713)-4*((1*Z713)*(1*Z713)-PI()*(1*Z713)^2/4)))/1000000*7850),IF(O713="boru profil",((PI()*AB713^2/4-PI()*(AB713-2*AE713)^2/4)/1000000*7850),IF(O713="I profil",INDEX($CN$4:$CN$118,MATCH(AL713,$CM$4:$CM$118,0),0),IF(O713="U profil",INDEX($CU$4:$CU$28,MATCH(AR713,$CT$4:$CT$28,0),0),IF(O713="korniyer",INDEX($CR$4:$CR$176,MATCH(AW713,$CQ$4:$CQ$176,0),0),"hatalı")))))</f>
        <v>22.259612674800998</v>
      </c>
      <c r="BC713" s="143"/>
      <c r="BD713" s="143"/>
      <c r="BE713" s="63">
        <v>8</v>
      </c>
      <c r="BF713" s="63"/>
      <c r="BG713" s="63"/>
      <c r="BH713" s="83">
        <f>+S651/2</f>
        <v>2.5</v>
      </c>
      <c r="BI713" s="83"/>
      <c r="BJ713" s="83"/>
      <c r="BK713" s="134">
        <f t="shared" si="49"/>
        <v>20</v>
      </c>
      <c r="BL713" s="135"/>
      <c r="BM713" s="136"/>
      <c r="BN713" s="83">
        <f t="shared" si="50"/>
        <v>445.19225349601993</v>
      </c>
      <c r="BO713" s="83"/>
      <c r="BP713" s="83"/>
      <c r="BQ713" s="83"/>
      <c r="BR713" s="84">
        <v>28</v>
      </c>
      <c r="BS713" s="84"/>
      <c r="BT713" s="84"/>
      <c r="BU713" s="84"/>
      <c r="BV713" s="84"/>
      <c r="BW713" s="84"/>
      <c r="BX713" s="85">
        <f t="shared" si="52"/>
        <v>12465.383097888558</v>
      </c>
      <c r="BY713" s="85"/>
      <c r="BZ713" s="85"/>
      <c r="CA713" s="85"/>
      <c r="CB713" s="86"/>
    </row>
    <row r="714" spans="2:80" x14ac:dyDescent="0.2">
      <c r="B714" s="71" t="s">
        <v>555</v>
      </c>
      <c r="C714" s="72"/>
      <c r="D714" s="72"/>
      <c r="E714" s="72"/>
      <c r="F714" s="72"/>
      <c r="G714" s="72"/>
      <c r="H714" s="72"/>
      <c r="I714" s="72"/>
      <c r="J714" s="72"/>
      <c r="K714" s="72"/>
      <c r="L714" s="72"/>
      <c r="M714" s="72"/>
      <c r="N714" s="72"/>
      <c r="O714" s="120" t="s">
        <v>416</v>
      </c>
      <c r="P714" s="73"/>
      <c r="Q714" s="73"/>
      <c r="R714" s="73"/>
      <c r="S714" s="128"/>
      <c r="T714" s="129">
        <v>100</v>
      </c>
      <c r="U714" s="130"/>
      <c r="V714" s="26" t="s">
        <v>415</v>
      </c>
      <c r="W714" s="130">
        <v>100</v>
      </c>
      <c r="X714" s="130"/>
      <c r="Y714" s="26" t="s">
        <v>415</v>
      </c>
      <c r="Z714" s="130">
        <v>3</v>
      </c>
      <c r="AA714" s="131"/>
      <c r="AB714" s="129">
        <v>150</v>
      </c>
      <c r="AC714" s="130"/>
      <c r="AD714" s="26" t="s">
        <v>415</v>
      </c>
      <c r="AE714" s="130">
        <v>10</v>
      </c>
      <c r="AF714" s="131"/>
      <c r="AG714" s="13"/>
      <c r="AH714" s="11"/>
      <c r="AI714" s="11"/>
      <c r="AJ714" s="11"/>
      <c r="AK714" s="12"/>
      <c r="AL714" s="129" t="s">
        <v>281</v>
      </c>
      <c r="AM714" s="130"/>
      <c r="AN714" s="130"/>
      <c r="AO714" s="130"/>
      <c r="AP714" s="130"/>
      <c r="AQ714" s="131"/>
      <c r="AR714" s="129" t="s">
        <v>246</v>
      </c>
      <c r="AS714" s="130"/>
      <c r="AT714" s="130"/>
      <c r="AU714" s="130"/>
      <c r="AV714" s="131"/>
      <c r="AW714" s="146" t="s">
        <v>345</v>
      </c>
      <c r="AX714" s="146"/>
      <c r="AY714" s="146"/>
      <c r="AZ714" s="146"/>
      <c r="BA714" s="146"/>
      <c r="BB714" s="143" cm="1">
        <f t="array" ref="BB714">IF(O714="kutu profil",(((T714*W714-4*((2*Z714)*(2*Z714)-PI()*(2*Z714)^2/4))-((T714-2*Z714)*(W714-2*Z714)-4*((1*Z714)*(1*Z714)-PI()*(1*Z714)^2/4)))/1000000*7850),IF(O714="boru profil",((PI()*AB714^2/4-PI()*(AB714-2*AE714)^2/4)/1000000*7850),IF(O714="I profil",INDEX($CN$4:$CN$118,MATCH(AL714,$CM$4:$CM$118,0),0),IF(O714="U profil",INDEX($CU$4:$CU$28,MATCH(AR714,$CT$4:$CT$28,0),0),IF(O714="korniyer",INDEX($CR$4:$CR$176,MATCH(AW714,$CQ$4:$CQ$176,0),0),"hatalı")))))</f>
        <v>8.955460562928355</v>
      </c>
      <c r="BC714" s="143"/>
      <c r="BD714" s="143"/>
      <c r="BE714" s="63">
        <v>2</v>
      </c>
      <c r="BF714" s="63"/>
      <c r="BG714" s="63"/>
      <c r="BH714" s="83">
        <f>2*(S651+AH646+SQRT(S651^2+AH646^2))</f>
        <v>30.806248474865697</v>
      </c>
      <c r="BI714" s="83"/>
      <c r="BJ714" s="83"/>
      <c r="BK714" s="134">
        <f t="shared" si="49"/>
        <v>61.612496949731394</v>
      </c>
      <c r="BL714" s="135"/>
      <c r="BM714" s="136"/>
      <c r="BN714" s="83">
        <f t="shared" si="50"/>
        <v>551.76828661686307</v>
      </c>
      <c r="BO714" s="83"/>
      <c r="BP714" s="83"/>
      <c r="BQ714" s="83"/>
      <c r="BR714" s="84">
        <v>28</v>
      </c>
      <c r="BS714" s="84"/>
      <c r="BT714" s="84"/>
      <c r="BU714" s="84"/>
      <c r="BV714" s="84"/>
      <c r="BW714" s="84"/>
      <c r="BX714" s="85">
        <f t="shared" si="52"/>
        <v>15449.512025272166</v>
      </c>
      <c r="BY714" s="85"/>
      <c r="BZ714" s="85"/>
      <c r="CA714" s="85"/>
      <c r="CB714" s="86"/>
    </row>
    <row r="715" spans="2:80" x14ac:dyDescent="0.2">
      <c r="B715" s="41" t="s">
        <v>554</v>
      </c>
      <c r="C715" s="42"/>
      <c r="D715" s="42"/>
      <c r="E715" s="42"/>
      <c r="F715" s="42"/>
      <c r="G715" s="42" t="s">
        <v>553</v>
      </c>
      <c r="H715" s="42"/>
      <c r="I715" s="42"/>
      <c r="J715" s="42"/>
      <c r="K715" s="73">
        <v>200</v>
      </c>
      <c r="L715" s="73"/>
      <c r="M715" s="42" t="s">
        <v>272</v>
      </c>
      <c r="N715" s="43"/>
      <c r="O715" s="120" t="s">
        <v>382</v>
      </c>
      <c r="P715" s="73"/>
      <c r="Q715" s="73"/>
      <c r="R715" s="73"/>
      <c r="S715" s="128"/>
      <c r="T715" s="129">
        <v>100</v>
      </c>
      <c r="U715" s="130"/>
      <c r="V715" s="26" t="s">
        <v>415</v>
      </c>
      <c r="W715" s="130">
        <v>100</v>
      </c>
      <c r="X715" s="130"/>
      <c r="Y715" s="26" t="s">
        <v>415</v>
      </c>
      <c r="Z715" s="130">
        <v>3</v>
      </c>
      <c r="AA715" s="131"/>
      <c r="AB715" s="129">
        <v>150</v>
      </c>
      <c r="AC715" s="130"/>
      <c r="AD715" s="26" t="s">
        <v>415</v>
      </c>
      <c r="AE715" s="130">
        <v>10</v>
      </c>
      <c r="AF715" s="131"/>
      <c r="AG715" s="13"/>
      <c r="AH715" s="11"/>
      <c r="AI715" s="11"/>
      <c r="AJ715" s="11"/>
      <c r="AK715" s="12"/>
      <c r="AL715" s="129" t="s">
        <v>281</v>
      </c>
      <c r="AM715" s="130"/>
      <c r="AN715" s="130"/>
      <c r="AO715" s="130"/>
      <c r="AP715" s="130"/>
      <c r="AQ715" s="131"/>
      <c r="AR715" s="129" t="s">
        <v>246</v>
      </c>
      <c r="AS715" s="130"/>
      <c r="AT715" s="130"/>
      <c r="AU715" s="130"/>
      <c r="AV715" s="131"/>
      <c r="AW715" s="146" t="s">
        <v>345</v>
      </c>
      <c r="AX715" s="146"/>
      <c r="AY715" s="146"/>
      <c r="AZ715" s="146"/>
      <c r="BA715" s="146"/>
      <c r="BB715" s="143" cm="1">
        <f t="array" ref="BB715">IF(O715="kutu profil",(((T715*W715-4*((2*Z715)*(2*Z715)-PI()*(2*Z715)^2/4))-((T715-2*Z715)*(W715-2*Z715)-4*((1*Z715)*(1*Z715)-PI()*(1*Z715)^2/4)))/1000000*7850),IF(O715="boru profil",((PI()*AB715^2/4-PI()*(AB715-2*AE715)^2/4)/1000000*7850),IF(O715="I profil",INDEX($CN$4:$CN$118,MATCH(AL715,$CM$4:$CM$118,0),0),IF(O715="U profil",INDEX($CU$4:$CU$28,MATCH(AR715,$CT$4:$CT$28,0),0),IF(O715="korniyer",INDEX($CR$4:$CR$176,MATCH(AW715,$CQ$4:$CQ$176,0),0),"hatalı")))))</f>
        <v>13.4</v>
      </c>
      <c r="BC715" s="143"/>
      <c r="BD715" s="143"/>
      <c r="BE715" s="63">
        <f>BE704+12</f>
        <v>28</v>
      </c>
      <c r="BF715" s="63"/>
      <c r="BG715" s="63"/>
      <c r="BH715" s="83">
        <f>+K715/1000</f>
        <v>0.2</v>
      </c>
      <c r="BI715" s="83"/>
      <c r="BJ715" s="83"/>
      <c r="BK715" s="134">
        <f t="shared" si="49"/>
        <v>5.6000000000000005</v>
      </c>
      <c r="BL715" s="135"/>
      <c r="BM715" s="136"/>
      <c r="BN715" s="83">
        <f t="shared" si="50"/>
        <v>75.040000000000006</v>
      </c>
      <c r="BO715" s="83"/>
      <c r="BP715" s="83"/>
      <c r="BQ715" s="83"/>
      <c r="BR715" s="84">
        <v>28</v>
      </c>
      <c r="BS715" s="84"/>
      <c r="BT715" s="84"/>
      <c r="BU715" s="84"/>
      <c r="BV715" s="84"/>
      <c r="BW715" s="84"/>
      <c r="BX715" s="85">
        <f t="shared" si="52"/>
        <v>2101.1200000000003</v>
      </c>
      <c r="BY715" s="85"/>
      <c r="BZ715" s="85"/>
      <c r="CA715" s="85"/>
      <c r="CB715" s="86"/>
    </row>
    <row r="716" spans="2:80" x14ac:dyDescent="0.2">
      <c r="B716" s="41" t="s">
        <v>456</v>
      </c>
      <c r="C716" s="42"/>
      <c r="D716" s="42"/>
      <c r="E716" s="42"/>
      <c r="F716" s="42"/>
      <c r="G716" s="42"/>
      <c r="H716" s="42"/>
      <c r="I716" s="42"/>
      <c r="J716" s="73" t="s">
        <v>438</v>
      </c>
      <c r="K716" s="73"/>
      <c r="L716" s="73"/>
      <c r="M716" s="73"/>
      <c r="N716" s="43"/>
      <c r="O716" s="120" t="s">
        <v>382</v>
      </c>
      <c r="P716" s="73"/>
      <c r="Q716" s="73"/>
      <c r="R716" s="73"/>
      <c r="S716" s="128"/>
      <c r="T716" s="129">
        <v>150</v>
      </c>
      <c r="U716" s="130"/>
      <c r="V716" s="26" t="s">
        <v>415</v>
      </c>
      <c r="W716" s="130">
        <v>150</v>
      </c>
      <c r="X716" s="130"/>
      <c r="Y716" s="26" t="s">
        <v>415</v>
      </c>
      <c r="Z716" s="130">
        <v>10</v>
      </c>
      <c r="AA716" s="131"/>
      <c r="AB716" s="129">
        <v>150</v>
      </c>
      <c r="AC716" s="130"/>
      <c r="AD716" s="26" t="s">
        <v>415</v>
      </c>
      <c r="AE716" s="130">
        <v>10</v>
      </c>
      <c r="AF716" s="131"/>
      <c r="AG716" s="13"/>
      <c r="AH716" s="11"/>
      <c r="AI716" s="11"/>
      <c r="AJ716" s="11"/>
      <c r="AK716" s="12"/>
      <c r="AL716" s="129" t="s">
        <v>281</v>
      </c>
      <c r="AM716" s="130"/>
      <c r="AN716" s="130"/>
      <c r="AO716" s="130"/>
      <c r="AP716" s="130"/>
      <c r="AQ716" s="131"/>
      <c r="AR716" s="129" t="s">
        <v>246</v>
      </c>
      <c r="AS716" s="130"/>
      <c r="AT716" s="130"/>
      <c r="AU716" s="130"/>
      <c r="AV716" s="131"/>
      <c r="AW716" s="146" t="s">
        <v>160</v>
      </c>
      <c r="AX716" s="146"/>
      <c r="AY716" s="146"/>
      <c r="AZ716" s="146"/>
      <c r="BA716" s="146"/>
      <c r="BB716" s="143" cm="1">
        <f t="array" ref="BB716">IF(O716="kutu profil",(((T716*W716-4*((2*Z716)*(2*Z716)-PI()*(2*Z716)^2/4))-((T716-2*Z716)*(W716-2*Z716)-4*((1*Z716)*(1*Z716)-PI()*(1*Z716)^2/4)))/1000000*7850),IF(O716="boru profil",((PI()*AB716^2/4-PI()*(AB716-2*AE716)^2/4)/1000000*7850),IF(O716="I profil",INDEX($CN$4:$CN$118,MATCH(AL716,$CM$4:$CM$118,0),0),IF(O716="U profil",INDEX($CU$4:$CU$28,MATCH(AR716,$CT$4:$CT$28,0),0),IF(O716="korniyer",INDEX($CR$4:$CR$176,MATCH(AW716,$CQ$4:$CQ$176,0),0),"hatalı")))))</f>
        <v>3.77</v>
      </c>
      <c r="BC716" s="143"/>
      <c r="BD716" s="143"/>
      <c r="BE716" s="63">
        <f>IF(J716="tek çubuk",1,2)*2</f>
        <v>2</v>
      </c>
      <c r="BF716" s="63"/>
      <c r="BG716" s="63"/>
      <c r="BH716" s="83">
        <f>(AQ648+AT648+AW648+BA648+BD648+BG648)</f>
        <v>17.666666666666664</v>
      </c>
      <c r="BI716" s="83"/>
      <c r="BJ716" s="83"/>
      <c r="BK716" s="134">
        <f t="shared" si="49"/>
        <v>35.333333333333329</v>
      </c>
      <c r="BL716" s="135"/>
      <c r="BM716" s="136"/>
      <c r="BN716" s="83">
        <f t="shared" si="50"/>
        <v>133.20666666666665</v>
      </c>
      <c r="BO716" s="83"/>
      <c r="BP716" s="83"/>
      <c r="BQ716" s="83"/>
      <c r="BR716" s="84">
        <v>28</v>
      </c>
      <c r="BS716" s="84"/>
      <c r="BT716" s="84"/>
      <c r="BU716" s="84"/>
      <c r="BV716" s="84"/>
      <c r="BW716" s="84"/>
      <c r="BX716" s="85">
        <f t="shared" si="52"/>
        <v>3729.786666666666</v>
      </c>
      <c r="BY716" s="85"/>
      <c r="BZ716" s="85"/>
      <c r="CA716" s="85"/>
      <c r="CB716" s="86"/>
    </row>
    <row r="717" spans="2:80" x14ac:dyDescent="0.2">
      <c r="B717" s="41" t="s">
        <v>457</v>
      </c>
      <c r="C717" s="42"/>
      <c r="D717" s="42"/>
      <c r="E717" s="42"/>
      <c r="F717" s="42"/>
      <c r="G717" s="42"/>
      <c r="H717" s="42"/>
      <c r="I717" s="42"/>
      <c r="J717" s="73" t="s">
        <v>438</v>
      </c>
      <c r="K717" s="73"/>
      <c r="L717" s="73"/>
      <c r="M717" s="73"/>
      <c r="N717" s="43"/>
      <c r="O717" s="120" t="s">
        <v>382</v>
      </c>
      <c r="P717" s="73"/>
      <c r="Q717" s="73"/>
      <c r="R717" s="73"/>
      <c r="S717" s="128"/>
      <c r="T717" s="129">
        <v>150</v>
      </c>
      <c r="U717" s="130"/>
      <c r="V717" s="26" t="s">
        <v>415</v>
      </c>
      <c r="W717" s="130">
        <v>150</v>
      </c>
      <c r="X717" s="130"/>
      <c r="Y717" s="26" t="s">
        <v>415</v>
      </c>
      <c r="Z717" s="130">
        <v>10</v>
      </c>
      <c r="AA717" s="131"/>
      <c r="AB717" s="129">
        <v>150</v>
      </c>
      <c r="AC717" s="130"/>
      <c r="AD717" s="26" t="s">
        <v>415</v>
      </c>
      <c r="AE717" s="130">
        <v>10</v>
      </c>
      <c r="AF717" s="131"/>
      <c r="AG717" s="13"/>
      <c r="AH717" s="11"/>
      <c r="AI717" s="11"/>
      <c r="AJ717" s="11"/>
      <c r="AK717" s="12"/>
      <c r="AL717" s="129" t="s">
        <v>281</v>
      </c>
      <c r="AM717" s="130"/>
      <c r="AN717" s="130"/>
      <c r="AO717" s="130"/>
      <c r="AP717" s="130"/>
      <c r="AQ717" s="131"/>
      <c r="AR717" s="129" t="s">
        <v>246</v>
      </c>
      <c r="AS717" s="130"/>
      <c r="AT717" s="130"/>
      <c r="AU717" s="130"/>
      <c r="AV717" s="131"/>
      <c r="AW717" s="146" t="s">
        <v>160</v>
      </c>
      <c r="AX717" s="146"/>
      <c r="AY717" s="146"/>
      <c r="AZ717" s="146"/>
      <c r="BA717" s="146"/>
      <c r="BB717" s="143" cm="1">
        <f t="array" ref="BB717">IF(O717="kutu profil",(((T717*W717-4*((2*Z717)*(2*Z717)-PI()*(2*Z717)^2/4))-((T717-2*Z717)*(W717-2*Z717)-4*((1*Z717)*(1*Z717)-PI()*(1*Z717)^2/4)))/1000000*7850),IF(O717="boru profil",((PI()*AB717^2/4-PI()*(AB717-2*AE717)^2/4)/1000000*7850),IF(O717="I profil",INDEX($CN$4:$CN$118,MATCH(AL717,$CM$4:$CM$118,0),0),IF(O717="U profil",INDEX($CU$4:$CU$28,MATCH(AR717,$CT$4:$CT$28,0),0),IF(O717="korniyer",INDEX($CR$4:$CR$176,MATCH(AW717,$CQ$4:$CQ$176,0),0),"hatalı")))))</f>
        <v>3.77</v>
      </c>
      <c r="BC717" s="143"/>
      <c r="BD717" s="143"/>
      <c r="BE717" s="63">
        <f>IF(J717="tek çubuk",1,2)*2</f>
        <v>2</v>
      </c>
      <c r="BF717" s="63"/>
      <c r="BG717" s="63"/>
      <c r="BH717" s="83">
        <f>(AN648+AQ648+AT648+AW648+BA648+BD648+BG648+BJ648)</f>
        <v>24.000000000000004</v>
      </c>
      <c r="BI717" s="83"/>
      <c r="BJ717" s="83"/>
      <c r="BK717" s="134">
        <f t="shared" si="49"/>
        <v>48.000000000000007</v>
      </c>
      <c r="BL717" s="135"/>
      <c r="BM717" s="136"/>
      <c r="BN717" s="83">
        <f t="shared" si="50"/>
        <v>180.96000000000004</v>
      </c>
      <c r="BO717" s="83"/>
      <c r="BP717" s="83"/>
      <c r="BQ717" s="83"/>
      <c r="BR717" s="84">
        <v>28</v>
      </c>
      <c r="BS717" s="84"/>
      <c r="BT717" s="84"/>
      <c r="BU717" s="84"/>
      <c r="BV717" s="84"/>
      <c r="BW717" s="84"/>
      <c r="BX717" s="85">
        <f t="shared" si="52"/>
        <v>5066.880000000001</v>
      </c>
      <c r="BY717" s="85"/>
      <c r="BZ717" s="85"/>
      <c r="CA717" s="85"/>
      <c r="CB717" s="86"/>
    </row>
    <row r="718" spans="2:80" x14ac:dyDescent="0.2">
      <c r="B718" s="41" t="s">
        <v>458</v>
      </c>
      <c r="C718" s="42"/>
      <c r="D718" s="42"/>
      <c r="E718" s="42"/>
      <c r="F718" s="42"/>
      <c r="G718" s="42"/>
      <c r="H718" s="42"/>
      <c r="I718" s="42"/>
      <c r="J718" s="73" t="s">
        <v>438</v>
      </c>
      <c r="K718" s="73"/>
      <c r="L718" s="73"/>
      <c r="M718" s="73"/>
      <c r="N718" s="43"/>
      <c r="O718" s="120" t="s">
        <v>382</v>
      </c>
      <c r="P718" s="73"/>
      <c r="Q718" s="73"/>
      <c r="R718" s="73"/>
      <c r="S718" s="128"/>
      <c r="T718" s="129">
        <v>150</v>
      </c>
      <c r="U718" s="130"/>
      <c r="V718" s="26" t="s">
        <v>415</v>
      </c>
      <c r="W718" s="130">
        <v>150</v>
      </c>
      <c r="X718" s="130"/>
      <c r="Y718" s="26" t="s">
        <v>415</v>
      </c>
      <c r="Z718" s="130">
        <v>10</v>
      </c>
      <c r="AA718" s="131"/>
      <c r="AB718" s="129">
        <v>150</v>
      </c>
      <c r="AC718" s="130"/>
      <c r="AD718" s="26" t="s">
        <v>415</v>
      </c>
      <c r="AE718" s="130">
        <v>10</v>
      </c>
      <c r="AF718" s="131"/>
      <c r="AG718" s="13"/>
      <c r="AH718" s="11"/>
      <c r="AI718" s="11"/>
      <c r="AJ718" s="11"/>
      <c r="AK718" s="12"/>
      <c r="AL718" s="129" t="s">
        <v>281</v>
      </c>
      <c r="AM718" s="130"/>
      <c r="AN718" s="130"/>
      <c r="AO718" s="130"/>
      <c r="AP718" s="130"/>
      <c r="AQ718" s="131"/>
      <c r="AR718" s="129" t="s">
        <v>246</v>
      </c>
      <c r="AS718" s="130"/>
      <c r="AT718" s="130"/>
      <c r="AU718" s="130"/>
      <c r="AV718" s="131"/>
      <c r="AW718" s="146" t="s">
        <v>160</v>
      </c>
      <c r="AX718" s="146"/>
      <c r="AY718" s="146"/>
      <c r="AZ718" s="146"/>
      <c r="BA718" s="146"/>
      <c r="BB718" s="143" cm="1">
        <f t="array" ref="BB718">IF(O718="kutu profil",(((T718*W718-4*((2*Z718)*(2*Z718)-PI()*(2*Z718)^2/4))-((T718-2*Z718)*(W718-2*Z718)-4*((1*Z718)*(1*Z718)-PI()*(1*Z718)^2/4)))/1000000*7850),IF(O718="boru profil",((PI()*AB718^2/4-PI()*(AB718-2*AE718)^2/4)/1000000*7850),IF(O718="I profil",INDEX($CN$4:$CN$118,MATCH(AL718,$CM$4:$CM$118,0),0),IF(O718="U profil",INDEX($CU$4:$CU$28,MATCH(AR718,$CT$4:$CT$28,0),0),IF(O718="korniyer",INDEX($CR$4:$CR$176,MATCH(AW718,$CQ$4:$CQ$176,0),0),"hatalı")))))</f>
        <v>3.77</v>
      </c>
      <c r="BC718" s="143"/>
      <c r="BD718" s="143"/>
      <c r="BE718" s="63">
        <f>IF(J718="tek çubuk",1,2)*2</f>
        <v>2</v>
      </c>
      <c r="BF718" s="63"/>
      <c r="BG718" s="63"/>
      <c r="BH718" s="83">
        <f>(SQRT(AN648^2+BN643^2)*6+SQRT(AW648^2+BN643^2)*2)</f>
        <v>24.846700435776977</v>
      </c>
      <c r="BI718" s="83"/>
      <c r="BJ718" s="83"/>
      <c r="BK718" s="134">
        <f t="shared" si="49"/>
        <v>49.693400871553955</v>
      </c>
      <c r="BL718" s="135"/>
      <c r="BM718" s="136"/>
      <c r="BN718" s="83">
        <f t="shared" si="50"/>
        <v>187.3441212857584</v>
      </c>
      <c r="BO718" s="83"/>
      <c r="BP718" s="83"/>
      <c r="BQ718" s="83"/>
      <c r="BR718" s="84">
        <v>28</v>
      </c>
      <c r="BS718" s="84"/>
      <c r="BT718" s="84"/>
      <c r="BU718" s="84"/>
      <c r="BV718" s="84"/>
      <c r="BW718" s="84"/>
      <c r="BX718" s="85">
        <f t="shared" si="52"/>
        <v>5245.6353960012357</v>
      </c>
      <c r="BY718" s="85"/>
      <c r="BZ718" s="85"/>
      <c r="CA718" s="85"/>
      <c r="CB718" s="86"/>
    </row>
    <row r="719" spans="2:80" x14ac:dyDescent="0.2">
      <c r="B719" s="41" t="s">
        <v>459</v>
      </c>
      <c r="C719" s="42"/>
      <c r="D719" s="42"/>
      <c r="E719" s="42"/>
      <c r="F719" s="42"/>
      <c r="G719" s="42"/>
      <c r="H719" s="42"/>
      <c r="I719" s="42"/>
      <c r="J719" s="73" t="s">
        <v>438</v>
      </c>
      <c r="K719" s="73"/>
      <c r="L719" s="73"/>
      <c r="M719" s="73"/>
      <c r="N719" s="43"/>
      <c r="O719" s="120" t="s">
        <v>382</v>
      </c>
      <c r="P719" s="73"/>
      <c r="Q719" s="73"/>
      <c r="R719" s="73"/>
      <c r="S719" s="128"/>
      <c r="T719" s="129">
        <v>150</v>
      </c>
      <c r="U719" s="130"/>
      <c r="V719" s="26" t="s">
        <v>415</v>
      </c>
      <c r="W719" s="130">
        <v>150</v>
      </c>
      <c r="X719" s="130"/>
      <c r="Y719" s="26" t="s">
        <v>415</v>
      </c>
      <c r="Z719" s="130">
        <v>10</v>
      </c>
      <c r="AA719" s="131"/>
      <c r="AB719" s="129">
        <v>150</v>
      </c>
      <c r="AC719" s="130"/>
      <c r="AD719" s="26" t="s">
        <v>415</v>
      </c>
      <c r="AE719" s="130">
        <v>10</v>
      </c>
      <c r="AF719" s="131"/>
      <c r="AG719" s="13"/>
      <c r="AH719" s="11"/>
      <c r="AI719" s="11"/>
      <c r="AJ719" s="11"/>
      <c r="AK719" s="12"/>
      <c r="AL719" s="129" t="s">
        <v>281</v>
      </c>
      <c r="AM719" s="130"/>
      <c r="AN719" s="130"/>
      <c r="AO719" s="130"/>
      <c r="AP719" s="130"/>
      <c r="AQ719" s="131"/>
      <c r="AR719" s="129" t="s">
        <v>246</v>
      </c>
      <c r="AS719" s="130"/>
      <c r="AT719" s="130"/>
      <c r="AU719" s="130"/>
      <c r="AV719" s="131"/>
      <c r="AW719" s="146" t="s">
        <v>160</v>
      </c>
      <c r="AX719" s="146"/>
      <c r="AY719" s="146"/>
      <c r="AZ719" s="146"/>
      <c r="BA719" s="146"/>
      <c r="BB719" s="143" cm="1">
        <f t="array" ref="BB719">IF(O719="kutu profil",(((T719*W719-4*((2*Z719)*(2*Z719)-PI()*(2*Z719)^2/4))-((T719-2*Z719)*(W719-2*Z719)-4*((1*Z719)*(1*Z719)-PI()*(1*Z719)^2/4)))/1000000*7850),IF(O719="boru profil",((PI()*AB719^2/4-PI()*(AB719-2*AE719)^2/4)/1000000*7850),IF(O719="I profil",INDEX($CN$4:$CN$118,MATCH(AL719,$CM$4:$CM$118,0),0),IF(O719="U profil",INDEX($CU$4:$CU$28,MATCH(AR719,$CT$4:$CT$28,0),0),IF(O719="korniyer",INDEX($CR$4:$CR$176,MATCH(AW719,$CQ$4:$CQ$176,0),0),"hatalı")))))</f>
        <v>3.77</v>
      </c>
      <c r="BC719" s="143"/>
      <c r="BD719" s="143"/>
      <c r="BE719" s="63">
        <f>IF(J719="tek çubuk",1,2)*2</f>
        <v>2</v>
      </c>
      <c r="BF719" s="63"/>
      <c r="BG719" s="63"/>
      <c r="BH719" s="83">
        <f>+BN643*7</f>
        <v>5.6000000000000005</v>
      </c>
      <c r="BI719" s="83"/>
      <c r="BJ719" s="83"/>
      <c r="BK719" s="134">
        <f t="shared" si="49"/>
        <v>11.200000000000001</v>
      </c>
      <c r="BL719" s="135"/>
      <c r="BM719" s="136"/>
      <c r="BN719" s="83">
        <f t="shared" si="50"/>
        <v>42.224000000000004</v>
      </c>
      <c r="BO719" s="83"/>
      <c r="BP719" s="83"/>
      <c r="BQ719" s="83"/>
      <c r="BR719" s="84">
        <v>28</v>
      </c>
      <c r="BS719" s="84"/>
      <c r="BT719" s="84"/>
      <c r="BU719" s="84"/>
      <c r="BV719" s="84"/>
      <c r="BW719" s="84"/>
      <c r="BX719" s="85">
        <f t="shared" si="52"/>
        <v>1182.2720000000002</v>
      </c>
      <c r="BY719" s="85"/>
      <c r="BZ719" s="85"/>
      <c r="CA719" s="85"/>
      <c r="CB719" s="86"/>
    </row>
    <row r="720" spans="2:80" x14ac:dyDescent="0.2">
      <c r="B720" s="41" t="s">
        <v>460</v>
      </c>
      <c r="C720" s="42"/>
      <c r="D720" s="42"/>
      <c r="E720" s="42"/>
      <c r="F720" s="42"/>
      <c r="G720" s="42"/>
      <c r="H720" s="42"/>
      <c r="I720" s="42"/>
      <c r="J720" s="73" t="s">
        <v>438</v>
      </c>
      <c r="K720" s="73"/>
      <c r="L720" s="73"/>
      <c r="M720" s="73"/>
      <c r="N720" s="43"/>
      <c r="O720" s="120" t="s">
        <v>382</v>
      </c>
      <c r="P720" s="73"/>
      <c r="Q720" s="73"/>
      <c r="R720" s="73"/>
      <c r="S720" s="128"/>
      <c r="T720" s="129">
        <v>150</v>
      </c>
      <c r="U720" s="130"/>
      <c r="V720" s="26" t="s">
        <v>415</v>
      </c>
      <c r="W720" s="130">
        <v>150</v>
      </c>
      <c r="X720" s="130"/>
      <c r="Y720" s="26" t="s">
        <v>415</v>
      </c>
      <c r="Z720" s="130">
        <v>10</v>
      </c>
      <c r="AA720" s="131"/>
      <c r="AB720" s="129">
        <v>150</v>
      </c>
      <c r="AC720" s="130"/>
      <c r="AD720" s="26" t="s">
        <v>415</v>
      </c>
      <c r="AE720" s="130">
        <v>10</v>
      </c>
      <c r="AF720" s="131"/>
      <c r="AG720" s="13"/>
      <c r="AH720" s="11"/>
      <c r="AI720" s="11"/>
      <c r="AJ720" s="11"/>
      <c r="AK720" s="12"/>
      <c r="AL720" s="129" t="s">
        <v>281</v>
      </c>
      <c r="AM720" s="130"/>
      <c r="AN720" s="130"/>
      <c r="AO720" s="130"/>
      <c r="AP720" s="130"/>
      <c r="AQ720" s="131"/>
      <c r="AR720" s="129" t="s">
        <v>246</v>
      </c>
      <c r="AS720" s="130"/>
      <c r="AT720" s="130"/>
      <c r="AU720" s="130"/>
      <c r="AV720" s="131"/>
      <c r="AW720" s="146" t="s">
        <v>160</v>
      </c>
      <c r="AX720" s="146"/>
      <c r="AY720" s="146"/>
      <c r="AZ720" s="146"/>
      <c r="BA720" s="146"/>
      <c r="BB720" s="143" cm="1">
        <f t="array" ref="BB720">IF(O720="kutu profil",(((T720*W720-4*((2*Z720)*(2*Z720)-PI()*(2*Z720)^2/4))-((T720-2*Z720)*(W720-2*Z720)-4*((1*Z720)*(1*Z720)-PI()*(1*Z720)^2/4)))/1000000*7850),IF(O720="boru profil",((PI()*AB720^2/4-PI()*(AB720-2*AE720)^2/4)/1000000*7850),IF(O720="I profil",INDEX($CN$4:$CN$118,MATCH(AL720,$CM$4:$CM$118,0),0),IF(O720="U profil",INDEX($CU$4:$CU$28,MATCH(AR720,$CT$4:$CT$28,0),0),IF(O720="korniyer",INDEX($CR$4:$CR$176,MATCH(AW720,$CQ$4:$CQ$176,0),0),"hatalı")))))</f>
        <v>3.77</v>
      </c>
      <c r="BC720" s="143"/>
      <c r="BD720" s="143"/>
      <c r="BE720" s="63">
        <f>IF(J720="tek çubuk",1,2)*2</f>
        <v>2</v>
      </c>
      <c r="BF720" s="63"/>
      <c r="BG720" s="63"/>
      <c r="BH720" s="83">
        <f>SQRT(BS645^2+BU642^2)*7</f>
        <v>28.554509276119596</v>
      </c>
      <c r="BI720" s="83"/>
      <c r="BJ720" s="83"/>
      <c r="BK720" s="134">
        <f t="shared" si="49"/>
        <v>57.109018552239192</v>
      </c>
      <c r="BL720" s="135"/>
      <c r="BM720" s="136"/>
      <c r="BN720" s="83">
        <f t="shared" si="50"/>
        <v>215.30099994194177</v>
      </c>
      <c r="BO720" s="83"/>
      <c r="BP720" s="83"/>
      <c r="BQ720" s="83"/>
      <c r="BR720" s="84">
        <v>28</v>
      </c>
      <c r="BS720" s="84"/>
      <c r="BT720" s="84"/>
      <c r="BU720" s="84"/>
      <c r="BV720" s="84"/>
      <c r="BW720" s="84"/>
      <c r="BX720" s="85">
        <f t="shared" si="52"/>
        <v>6028.4279983743691</v>
      </c>
      <c r="BY720" s="85"/>
      <c r="BZ720" s="85"/>
      <c r="CA720" s="85"/>
      <c r="CB720" s="86"/>
    </row>
    <row r="721" spans="2:80" x14ac:dyDescent="0.2">
      <c r="B721" s="71" t="s">
        <v>570</v>
      </c>
      <c r="C721" s="72"/>
      <c r="D721" s="72"/>
      <c r="E721" s="72"/>
      <c r="F721" s="72"/>
      <c r="G721" s="72"/>
      <c r="H721" s="72"/>
      <c r="I721" s="72"/>
      <c r="J721" s="72"/>
      <c r="K721" s="72"/>
      <c r="L721" s="72"/>
      <c r="M721" s="72"/>
      <c r="N721" s="72"/>
      <c r="O721" s="13" t="s">
        <v>271</v>
      </c>
      <c r="P721" s="73">
        <v>450</v>
      </c>
      <c r="Q721" s="73"/>
      <c r="R721" s="11" t="s">
        <v>272</v>
      </c>
      <c r="S721" s="11"/>
      <c r="T721" s="11" t="s">
        <v>273</v>
      </c>
      <c r="U721" s="73">
        <v>800</v>
      </c>
      <c r="V721" s="73"/>
      <c r="W721" s="11" t="s">
        <v>272</v>
      </c>
      <c r="X721" s="11"/>
      <c r="Y721" s="11" t="s">
        <v>274</v>
      </c>
      <c r="Z721" s="73">
        <v>30</v>
      </c>
      <c r="AA721" s="73"/>
      <c r="AB721" s="11" t="s">
        <v>272</v>
      </c>
      <c r="AC721" s="11"/>
      <c r="AD721" s="11"/>
      <c r="AE721" s="11"/>
      <c r="AF721" s="11"/>
      <c r="AG721" s="11" t="s">
        <v>282</v>
      </c>
      <c r="AH721" s="11"/>
      <c r="AI721" s="11"/>
      <c r="AJ721" s="11"/>
      <c r="AK721" s="11"/>
      <c r="AL721" s="11"/>
      <c r="AM721" s="73">
        <v>2</v>
      </c>
      <c r="AN721" s="73"/>
      <c r="AO721" s="11" t="s">
        <v>433</v>
      </c>
      <c r="AP721" s="11"/>
      <c r="AQ721" s="11"/>
      <c r="AR721" s="11"/>
      <c r="AS721" s="11"/>
      <c r="AT721" s="11"/>
      <c r="AU721" s="11"/>
      <c r="AV721" s="11"/>
      <c r="AW721" s="11"/>
      <c r="AX721" s="11"/>
      <c r="AY721" s="11"/>
      <c r="AZ721" s="11"/>
      <c r="BA721" s="12"/>
      <c r="BB721" s="63" t="s">
        <v>276</v>
      </c>
      <c r="BC721" s="63"/>
      <c r="BD721" s="63"/>
      <c r="BE721" s="63">
        <f>(C621+1)*2*AM721</f>
        <v>32</v>
      </c>
      <c r="BF721" s="63"/>
      <c r="BG721" s="63"/>
      <c r="BH721" s="62" t="s">
        <v>276</v>
      </c>
      <c r="BI721" s="62"/>
      <c r="BJ721" s="62"/>
      <c r="BK721" s="62" t="s">
        <v>276</v>
      </c>
      <c r="BL721" s="62"/>
      <c r="BM721" s="62"/>
      <c r="BN721" s="83">
        <f t="shared" ref="BN721:BN722" si="53">P721/1000*U721/1000*Z721/1000*7850*BE721</f>
        <v>2712.9599999999996</v>
      </c>
      <c r="BO721" s="83"/>
      <c r="BP721" s="83"/>
      <c r="BQ721" s="83"/>
      <c r="BR721" s="84">
        <v>28</v>
      </c>
      <c r="BS721" s="84"/>
      <c r="BT721" s="84"/>
      <c r="BU721" s="84"/>
      <c r="BV721" s="84"/>
      <c r="BW721" s="84"/>
      <c r="BX721" s="85">
        <f t="shared" si="52"/>
        <v>75962.87999999999</v>
      </c>
      <c r="BY721" s="85"/>
      <c r="BZ721" s="85"/>
      <c r="CA721" s="85"/>
      <c r="CB721" s="86"/>
    </row>
    <row r="722" spans="2:80" x14ac:dyDescent="0.2">
      <c r="B722" s="71" t="s">
        <v>571</v>
      </c>
      <c r="C722" s="72"/>
      <c r="D722" s="72"/>
      <c r="E722" s="72"/>
      <c r="F722" s="72"/>
      <c r="G722" s="72"/>
      <c r="H722" s="72"/>
      <c r="I722" s="72"/>
      <c r="J722" s="72"/>
      <c r="K722" s="72"/>
      <c r="L722" s="72"/>
      <c r="M722" s="72"/>
      <c r="N722" s="72"/>
      <c r="O722" s="13" t="s">
        <v>271</v>
      </c>
      <c r="P722" s="73">
        <v>450</v>
      </c>
      <c r="Q722" s="73"/>
      <c r="R722" s="11" t="s">
        <v>272</v>
      </c>
      <c r="S722" s="11"/>
      <c r="T722" s="11" t="s">
        <v>273</v>
      </c>
      <c r="U722" s="73">
        <v>800</v>
      </c>
      <c r="V722" s="73"/>
      <c r="W722" s="11" t="s">
        <v>272</v>
      </c>
      <c r="X722" s="11"/>
      <c r="Y722" s="11" t="s">
        <v>274</v>
      </c>
      <c r="Z722" s="73">
        <v>30</v>
      </c>
      <c r="AA722" s="73"/>
      <c r="AB722" s="11" t="s">
        <v>272</v>
      </c>
      <c r="AC722" s="11"/>
      <c r="AD722" s="11"/>
      <c r="AE722" s="11"/>
      <c r="AF722" s="11"/>
      <c r="AG722" s="11" t="s">
        <v>282</v>
      </c>
      <c r="AH722" s="11"/>
      <c r="AI722" s="11"/>
      <c r="AJ722" s="11"/>
      <c r="AK722" s="11"/>
      <c r="AL722" s="11"/>
      <c r="AM722" s="73">
        <v>2</v>
      </c>
      <c r="AN722" s="73"/>
      <c r="AO722" s="11" t="s">
        <v>433</v>
      </c>
      <c r="AP722" s="11"/>
      <c r="AQ722" s="11"/>
      <c r="AR722" s="11"/>
      <c r="AS722" s="11"/>
      <c r="AT722" s="11"/>
      <c r="AU722" s="11"/>
      <c r="AV722" s="11"/>
      <c r="AW722" s="11"/>
      <c r="AX722" s="11"/>
      <c r="AY722" s="11"/>
      <c r="AZ722" s="11"/>
      <c r="BA722" s="12"/>
      <c r="BB722" s="63" t="s">
        <v>276</v>
      </c>
      <c r="BC722" s="63"/>
      <c r="BD722" s="63"/>
      <c r="BE722" s="63">
        <f>(C621+1)*AM722</f>
        <v>16</v>
      </c>
      <c r="BF722" s="63"/>
      <c r="BG722" s="63"/>
      <c r="BH722" s="62" t="s">
        <v>276</v>
      </c>
      <c r="BI722" s="62"/>
      <c r="BJ722" s="62"/>
      <c r="BK722" s="62" t="s">
        <v>276</v>
      </c>
      <c r="BL722" s="62"/>
      <c r="BM722" s="62"/>
      <c r="BN722" s="83">
        <f t="shared" si="53"/>
        <v>1356.4799999999998</v>
      </c>
      <c r="BO722" s="83"/>
      <c r="BP722" s="83"/>
      <c r="BQ722" s="83"/>
      <c r="BR722" s="84">
        <v>28</v>
      </c>
      <c r="BS722" s="84"/>
      <c r="BT722" s="84"/>
      <c r="BU722" s="84"/>
      <c r="BV722" s="84"/>
      <c r="BW722" s="84"/>
      <c r="BX722" s="85">
        <f t="shared" si="52"/>
        <v>37981.439999999995</v>
      </c>
      <c r="BY722" s="85"/>
      <c r="BZ722" s="85"/>
      <c r="CA722" s="85"/>
      <c r="CB722" s="86"/>
    </row>
    <row r="723" spans="2:80" x14ac:dyDescent="0.2">
      <c r="B723" s="71" t="s">
        <v>275</v>
      </c>
      <c r="C723" s="72"/>
      <c r="D723" s="72"/>
      <c r="E723" s="72"/>
      <c r="F723" s="72"/>
      <c r="G723" s="72"/>
      <c r="H723" s="72"/>
      <c r="I723" s="72"/>
      <c r="J723" s="72"/>
      <c r="K723" s="72"/>
      <c r="L723" s="72"/>
      <c r="M723" s="72"/>
      <c r="N723" s="72"/>
      <c r="O723" s="13" t="s">
        <v>271</v>
      </c>
      <c r="P723" s="73">
        <v>450</v>
      </c>
      <c r="Q723" s="73"/>
      <c r="R723" s="11" t="s">
        <v>272</v>
      </c>
      <c r="S723" s="11"/>
      <c r="T723" s="11" t="s">
        <v>273</v>
      </c>
      <c r="U723" s="73">
        <v>800</v>
      </c>
      <c r="V723" s="73"/>
      <c r="W723" s="11" t="s">
        <v>272</v>
      </c>
      <c r="X723" s="11"/>
      <c r="Y723" s="11" t="s">
        <v>274</v>
      </c>
      <c r="Z723" s="73">
        <v>30</v>
      </c>
      <c r="AA723" s="73"/>
      <c r="AB723" s="11" t="s">
        <v>272</v>
      </c>
      <c r="AC723" s="11"/>
      <c r="AD723" s="11"/>
      <c r="AE723" s="11"/>
      <c r="AF723" s="11"/>
      <c r="AG723" s="11"/>
      <c r="AH723" s="11"/>
      <c r="AI723" s="11"/>
      <c r="AJ723" s="11"/>
      <c r="AK723" s="11"/>
      <c r="AL723" s="11"/>
      <c r="AM723" s="11"/>
      <c r="AN723" s="11"/>
      <c r="AO723" s="11"/>
      <c r="AP723" s="11"/>
      <c r="AQ723" s="11"/>
      <c r="AR723" s="11"/>
      <c r="AS723" s="11"/>
      <c r="AT723" s="11"/>
      <c r="AU723" s="11"/>
      <c r="AV723" s="11"/>
      <c r="AW723" s="11"/>
      <c r="AX723" s="11"/>
      <c r="AY723" s="11"/>
      <c r="AZ723" s="11"/>
      <c r="BA723" s="12"/>
      <c r="BB723" s="63" t="s">
        <v>276</v>
      </c>
      <c r="BC723" s="63"/>
      <c r="BD723" s="63"/>
      <c r="BE723" s="63">
        <f>+BE704</f>
        <v>16</v>
      </c>
      <c r="BF723" s="63"/>
      <c r="BG723" s="63"/>
      <c r="BH723" s="62" t="s">
        <v>276</v>
      </c>
      <c r="BI723" s="62"/>
      <c r="BJ723" s="62"/>
      <c r="BK723" s="62" t="s">
        <v>276</v>
      </c>
      <c r="BL723" s="62"/>
      <c r="BM723" s="62"/>
      <c r="BN723" s="83">
        <f t="shared" ref="BN723:BN733" si="54">P723/1000*U723/1000*Z723/1000*7850*BE723</f>
        <v>1356.4799999999998</v>
      </c>
      <c r="BO723" s="83"/>
      <c r="BP723" s="83"/>
      <c r="BQ723" s="83"/>
      <c r="BR723" s="84">
        <v>28</v>
      </c>
      <c r="BS723" s="84"/>
      <c r="BT723" s="84"/>
      <c r="BU723" s="84"/>
      <c r="BV723" s="84"/>
      <c r="BW723" s="84"/>
      <c r="BX723" s="85">
        <f t="shared" si="52"/>
        <v>37981.439999999995</v>
      </c>
      <c r="BY723" s="85"/>
      <c r="BZ723" s="85"/>
      <c r="CA723" s="85"/>
      <c r="CB723" s="86"/>
    </row>
    <row r="724" spans="2:80" x14ac:dyDescent="0.2">
      <c r="B724" s="71" t="s">
        <v>442</v>
      </c>
      <c r="C724" s="72"/>
      <c r="D724" s="72"/>
      <c r="E724" s="72"/>
      <c r="F724" s="72"/>
      <c r="G724" s="72"/>
      <c r="H724" s="72"/>
      <c r="I724" s="72"/>
      <c r="J724" s="72"/>
      <c r="K724" s="72"/>
      <c r="L724" s="72"/>
      <c r="M724" s="72"/>
      <c r="N724" s="72"/>
      <c r="O724" s="13" t="s">
        <v>271</v>
      </c>
      <c r="P724" s="73">
        <v>350</v>
      </c>
      <c r="Q724" s="73"/>
      <c r="R724" s="11" t="s">
        <v>272</v>
      </c>
      <c r="S724" s="11"/>
      <c r="T724" s="11" t="s">
        <v>273</v>
      </c>
      <c r="U724" s="73">
        <v>350</v>
      </c>
      <c r="V724" s="73"/>
      <c r="W724" s="11" t="s">
        <v>272</v>
      </c>
      <c r="X724" s="11"/>
      <c r="Y724" s="11" t="s">
        <v>274</v>
      </c>
      <c r="Z724" s="73">
        <v>20</v>
      </c>
      <c r="AA724" s="73"/>
      <c r="AB724" s="11" t="s">
        <v>272</v>
      </c>
      <c r="AC724" s="11"/>
      <c r="AD724" s="11"/>
      <c r="AE724" s="11"/>
      <c r="AF724" s="11"/>
      <c r="AG724" s="11"/>
      <c r="AH724" s="11"/>
      <c r="AI724" s="11"/>
      <c r="AJ724" s="11"/>
      <c r="AK724" s="11"/>
      <c r="AL724" s="11"/>
      <c r="AM724" s="11"/>
      <c r="AN724" s="11"/>
      <c r="AO724" s="11"/>
      <c r="AP724" s="11"/>
      <c r="AQ724" s="11"/>
      <c r="AR724" s="11"/>
      <c r="AS724" s="11"/>
      <c r="AT724" s="11"/>
      <c r="AU724" s="11"/>
      <c r="AV724" s="11"/>
      <c r="AW724" s="11"/>
      <c r="AX724" s="11"/>
      <c r="AY724" s="11"/>
      <c r="AZ724" s="11"/>
      <c r="BA724" s="12"/>
      <c r="BB724" s="63" t="s">
        <v>276</v>
      </c>
      <c r="BC724" s="63"/>
      <c r="BD724" s="63"/>
      <c r="BE724" s="63">
        <f>6*2</f>
        <v>12</v>
      </c>
      <c r="BF724" s="63"/>
      <c r="BG724" s="63"/>
      <c r="BH724" s="62" t="s">
        <v>276</v>
      </c>
      <c r="BI724" s="62"/>
      <c r="BJ724" s="62"/>
      <c r="BK724" s="62" t="s">
        <v>276</v>
      </c>
      <c r="BL724" s="62"/>
      <c r="BM724" s="62"/>
      <c r="BN724" s="83">
        <f t="shared" si="54"/>
        <v>230.78999999999996</v>
      </c>
      <c r="BO724" s="83"/>
      <c r="BP724" s="83"/>
      <c r="BQ724" s="83"/>
      <c r="BR724" s="84">
        <v>28</v>
      </c>
      <c r="BS724" s="84"/>
      <c r="BT724" s="84"/>
      <c r="BU724" s="84"/>
      <c r="BV724" s="84"/>
      <c r="BW724" s="84"/>
      <c r="BX724" s="85">
        <f t="shared" si="52"/>
        <v>6462.119999999999</v>
      </c>
      <c r="BY724" s="85"/>
      <c r="BZ724" s="85"/>
      <c r="CA724" s="85"/>
      <c r="CB724" s="86"/>
    </row>
    <row r="725" spans="2:80" x14ac:dyDescent="0.2">
      <c r="B725" s="71" t="s">
        <v>277</v>
      </c>
      <c r="C725" s="72"/>
      <c r="D725" s="72"/>
      <c r="E725" s="72"/>
      <c r="F725" s="72"/>
      <c r="G725" s="72"/>
      <c r="H725" s="72"/>
      <c r="I725" s="72"/>
      <c r="J725" s="72"/>
      <c r="K725" s="72"/>
      <c r="L725" s="72"/>
      <c r="M725" s="72"/>
      <c r="N725" s="72"/>
      <c r="O725" s="13" t="s">
        <v>271</v>
      </c>
      <c r="P725" s="73">
        <v>200</v>
      </c>
      <c r="Q725" s="73"/>
      <c r="R725" s="11" t="s">
        <v>272</v>
      </c>
      <c r="S725" s="11"/>
      <c r="T725" s="11" t="s">
        <v>273</v>
      </c>
      <c r="U725" s="73">
        <v>200</v>
      </c>
      <c r="V725" s="73"/>
      <c r="W725" s="11" t="s">
        <v>272</v>
      </c>
      <c r="X725" s="11"/>
      <c r="Y725" s="11" t="s">
        <v>274</v>
      </c>
      <c r="Z725" s="73">
        <v>15</v>
      </c>
      <c r="AA725" s="73"/>
      <c r="AB725" s="11" t="s">
        <v>272</v>
      </c>
      <c r="AC725" s="11"/>
      <c r="AD725" s="11"/>
      <c r="AE725" s="11"/>
      <c r="AF725" s="11"/>
      <c r="AG725" s="11"/>
      <c r="AH725" s="11"/>
      <c r="AI725" s="11"/>
      <c r="AJ725" s="11"/>
      <c r="AK725" s="11"/>
      <c r="AL725" s="11"/>
      <c r="AM725" s="11"/>
      <c r="AN725" s="11"/>
      <c r="AO725" s="11"/>
      <c r="AP725" s="11"/>
      <c r="AQ725" s="11"/>
      <c r="AR725" s="11"/>
      <c r="AS725" s="11"/>
      <c r="AT725" s="11"/>
      <c r="AU725" s="11"/>
      <c r="AV725" s="11"/>
      <c r="AW725" s="11"/>
      <c r="AX725" s="11"/>
      <c r="AY725" s="11"/>
      <c r="AZ725" s="11"/>
      <c r="BA725" s="12"/>
      <c r="BB725" s="63" t="s">
        <v>276</v>
      </c>
      <c r="BC725" s="63"/>
      <c r="BD725" s="63"/>
      <c r="BE725" s="63" cm="1">
        <f t="array" ref="BE725">INDEX(AZ600:AZ610,MATCH(C621,AY600:AY610,0),0)*3*2</f>
        <v>18</v>
      </c>
      <c r="BF725" s="63"/>
      <c r="BG725" s="63"/>
      <c r="BH725" s="62" t="s">
        <v>276</v>
      </c>
      <c r="BI725" s="62"/>
      <c r="BJ725" s="62"/>
      <c r="BK725" s="62" t="s">
        <v>276</v>
      </c>
      <c r="BL725" s="62"/>
      <c r="BM725" s="62"/>
      <c r="BN725" s="83">
        <f t="shared" si="54"/>
        <v>84.78</v>
      </c>
      <c r="BO725" s="83"/>
      <c r="BP725" s="83"/>
      <c r="BQ725" s="83"/>
      <c r="BR725" s="84">
        <v>28</v>
      </c>
      <c r="BS725" s="84"/>
      <c r="BT725" s="84"/>
      <c r="BU725" s="84"/>
      <c r="BV725" s="84"/>
      <c r="BW725" s="84"/>
      <c r="BX725" s="85">
        <f t="shared" si="52"/>
        <v>2373.84</v>
      </c>
      <c r="BY725" s="85"/>
      <c r="BZ725" s="85"/>
      <c r="CA725" s="85"/>
      <c r="CB725" s="86"/>
    </row>
    <row r="726" spans="2:80" x14ac:dyDescent="0.2">
      <c r="B726" s="71" t="s">
        <v>467</v>
      </c>
      <c r="C726" s="72"/>
      <c r="D726" s="72"/>
      <c r="E726" s="72"/>
      <c r="F726" s="72"/>
      <c r="G726" s="72"/>
      <c r="H726" s="72"/>
      <c r="I726" s="72"/>
      <c r="J726" s="72"/>
      <c r="K726" s="72"/>
      <c r="L726" s="72"/>
      <c r="M726" s="72"/>
      <c r="N726" s="72"/>
      <c r="O726" s="13" t="s">
        <v>271</v>
      </c>
      <c r="P726" s="73">
        <v>200</v>
      </c>
      <c r="Q726" s="73"/>
      <c r="R726" s="11" t="s">
        <v>272</v>
      </c>
      <c r="S726" s="11"/>
      <c r="T726" s="11" t="s">
        <v>273</v>
      </c>
      <c r="U726" s="73">
        <v>200</v>
      </c>
      <c r="V726" s="73"/>
      <c r="W726" s="11" t="s">
        <v>272</v>
      </c>
      <c r="X726" s="11"/>
      <c r="Y726" s="11" t="s">
        <v>274</v>
      </c>
      <c r="Z726" s="73">
        <v>10</v>
      </c>
      <c r="AA726" s="73"/>
      <c r="AB726" s="11" t="s">
        <v>272</v>
      </c>
      <c r="AC726" s="11"/>
      <c r="AD726" s="11"/>
      <c r="AE726" s="11"/>
      <c r="AF726" s="11"/>
      <c r="AG726" s="11"/>
      <c r="AH726" s="11"/>
      <c r="AI726" s="11"/>
      <c r="AJ726" s="11"/>
      <c r="AK726" s="11"/>
      <c r="AL726" s="11"/>
      <c r="AM726" s="11"/>
      <c r="AN726" s="11"/>
      <c r="AO726" s="11"/>
      <c r="AP726" s="11"/>
      <c r="AQ726" s="11"/>
      <c r="AR726" s="11"/>
      <c r="AS726" s="11"/>
      <c r="AT726" s="11"/>
      <c r="AU726" s="11"/>
      <c r="AV726" s="11"/>
      <c r="AW726" s="11"/>
      <c r="AX726" s="11"/>
      <c r="AY726" s="11"/>
      <c r="AZ726" s="11"/>
      <c r="BA726" s="12"/>
      <c r="BB726" s="63" t="s">
        <v>276</v>
      </c>
      <c r="BC726" s="63"/>
      <c r="BD726" s="63"/>
      <c r="BE726" s="63" cm="1">
        <f t="array" ref="BE726">INDEX(AZ600:AZ610,MATCH(C621,AY600:AY610,0),0)*2*2+INDEX(BA600:BA610,MATCH(C621,AY600:AY610,0),0)*2</f>
        <v>20</v>
      </c>
      <c r="BF726" s="63"/>
      <c r="BG726" s="63"/>
      <c r="BH726" s="62" t="s">
        <v>276</v>
      </c>
      <c r="BI726" s="62"/>
      <c r="BJ726" s="62"/>
      <c r="BK726" s="62" t="s">
        <v>276</v>
      </c>
      <c r="BL726" s="62"/>
      <c r="BM726" s="62"/>
      <c r="BN726" s="83">
        <f t="shared" si="54"/>
        <v>62.800000000000004</v>
      </c>
      <c r="BO726" s="83"/>
      <c r="BP726" s="83"/>
      <c r="BQ726" s="83"/>
      <c r="BR726" s="84">
        <v>28</v>
      </c>
      <c r="BS726" s="84"/>
      <c r="BT726" s="84"/>
      <c r="BU726" s="84"/>
      <c r="BV726" s="84"/>
      <c r="BW726" s="84"/>
      <c r="BX726" s="85">
        <f t="shared" si="52"/>
        <v>1758.4</v>
      </c>
      <c r="BY726" s="85"/>
      <c r="BZ726" s="85"/>
      <c r="CA726" s="85"/>
      <c r="CB726" s="86"/>
    </row>
    <row r="727" spans="2:80" x14ac:dyDescent="0.2">
      <c r="B727" s="71" t="s">
        <v>461</v>
      </c>
      <c r="C727" s="72"/>
      <c r="D727" s="72"/>
      <c r="E727" s="72"/>
      <c r="F727" s="72"/>
      <c r="G727" s="72"/>
      <c r="H727" s="72"/>
      <c r="I727" s="72"/>
      <c r="J727" s="72"/>
      <c r="K727" s="72"/>
      <c r="L727" s="72"/>
      <c r="M727" s="72"/>
      <c r="N727" s="72"/>
      <c r="O727" s="13" t="s">
        <v>271</v>
      </c>
      <c r="P727" s="73">
        <v>150</v>
      </c>
      <c r="Q727" s="73"/>
      <c r="R727" s="11" t="s">
        <v>272</v>
      </c>
      <c r="S727" s="11"/>
      <c r="T727" s="11" t="s">
        <v>273</v>
      </c>
      <c r="U727" s="73">
        <v>150</v>
      </c>
      <c r="V727" s="73"/>
      <c r="W727" s="11" t="s">
        <v>272</v>
      </c>
      <c r="X727" s="11"/>
      <c r="Y727" s="11" t="s">
        <v>274</v>
      </c>
      <c r="Z727" s="73">
        <v>6</v>
      </c>
      <c r="AA727" s="73"/>
      <c r="AB727" s="11" t="s">
        <v>272</v>
      </c>
      <c r="AC727" s="11"/>
      <c r="AD727" s="11"/>
      <c r="AE727" s="11"/>
      <c r="AF727" s="11"/>
      <c r="AG727" s="11"/>
      <c r="AH727" s="11"/>
      <c r="AI727" s="11"/>
      <c r="AJ727" s="11"/>
      <c r="AK727" s="11"/>
      <c r="AL727" s="11"/>
      <c r="AM727" s="11"/>
      <c r="AN727" s="11"/>
      <c r="AO727" s="11"/>
      <c r="AP727" s="11"/>
      <c r="AQ727" s="11"/>
      <c r="AR727" s="11"/>
      <c r="AS727" s="11"/>
      <c r="AT727" s="11"/>
      <c r="AU727" s="11"/>
      <c r="AV727" s="11"/>
      <c r="AW727" s="11"/>
      <c r="AX727" s="11"/>
      <c r="AY727" s="11"/>
      <c r="AZ727" s="11"/>
      <c r="BA727" s="12"/>
      <c r="BB727" s="63" t="s">
        <v>276</v>
      </c>
      <c r="BC727" s="63"/>
      <c r="BD727" s="63"/>
      <c r="BE727" s="191">
        <f>(16+7*2)*2</f>
        <v>60</v>
      </c>
      <c r="BF727" s="191"/>
      <c r="BG727" s="191"/>
      <c r="BH727" s="62" t="s">
        <v>276</v>
      </c>
      <c r="BI727" s="62"/>
      <c r="BJ727" s="62"/>
      <c r="BK727" s="62" t="s">
        <v>276</v>
      </c>
      <c r="BL727" s="62"/>
      <c r="BM727" s="62"/>
      <c r="BN727" s="83">
        <f t="shared" si="54"/>
        <v>63.585000000000001</v>
      </c>
      <c r="BO727" s="83"/>
      <c r="BP727" s="83"/>
      <c r="BQ727" s="83"/>
      <c r="BR727" s="84">
        <v>28</v>
      </c>
      <c r="BS727" s="84"/>
      <c r="BT727" s="84"/>
      <c r="BU727" s="84"/>
      <c r="BV727" s="84"/>
      <c r="BW727" s="84"/>
      <c r="BX727" s="85">
        <f t="shared" si="52"/>
        <v>1780.38</v>
      </c>
      <c r="BY727" s="85"/>
      <c r="BZ727" s="85"/>
      <c r="CA727" s="85"/>
      <c r="CB727" s="86"/>
    </row>
    <row r="728" spans="2:80" x14ac:dyDescent="0.2">
      <c r="B728" s="71" t="s">
        <v>480</v>
      </c>
      <c r="C728" s="72"/>
      <c r="D728" s="72"/>
      <c r="E728" s="72"/>
      <c r="F728" s="72"/>
      <c r="G728" s="72"/>
      <c r="H728" s="72"/>
      <c r="I728" s="72"/>
      <c r="J728" s="72"/>
      <c r="K728" s="72"/>
      <c r="L728" s="72"/>
      <c r="M728" s="72"/>
      <c r="N728" s="72"/>
      <c r="O728" s="13" t="s">
        <v>271</v>
      </c>
      <c r="P728" s="73">
        <v>100</v>
      </c>
      <c r="Q728" s="73"/>
      <c r="R728" s="11" t="s">
        <v>272</v>
      </c>
      <c r="S728" s="11"/>
      <c r="T728" s="11" t="s">
        <v>273</v>
      </c>
      <c r="U728" s="73">
        <v>100</v>
      </c>
      <c r="V728" s="73"/>
      <c r="W728" s="11" t="s">
        <v>272</v>
      </c>
      <c r="X728" s="11"/>
      <c r="Y728" s="11" t="s">
        <v>274</v>
      </c>
      <c r="Z728" s="73">
        <v>10</v>
      </c>
      <c r="AA728" s="73"/>
      <c r="AB728" s="11" t="s">
        <v>272</v>
      </c>
      <c r="AC728" s="11"/>
      <c r="AD728" s="11"/>
      <c r="AE728" s="11"/>
      <c r="AF728" s="11"/>
      <c r="AG728" s="11"/>
      <c r="AH728" s="11"/>
      <c r="AI728" s="11"/>
      <c r="AJ728" s="11"/>
      <c r="AK728" s="11"/>
      <c r="AL728" s="11"/>
      <c r="AM728" s="11"/>
      <c r="AN728" s="11"/>
      <c r="AO728" s="11"/>
      <c r="AP728" s="11"/>
      <c r="AQ728" s="11"/>
      <c r="AR728" s="11"/>
      <c r="AS728" s="11"/>
      <c r="AT728" s="11"/>
      <c r="AU728" s="11"/>
      <c r="AV728" s="11"/>
      <c r="AW728" s="11"/>
      <c r="AX728" s="11"/>
      <c r="AY728" s="11"/>
      <c r="AZ728" s="11"/>
      <c r="BA728" s="12"/>
      <c r="BB728" s="63" t="s">
        <v>276</v>
      </c>
      <c r="BC728" s="63"/>
      <c r="BD728" s="63"/>
      <c r="BE728" s="63" cm="1">
        <f t="array" ref="BE728">((C621)*4+INDEX(AZ600:AZ610,MATCH(C621,AY600:AY610,0),0)*4)*2</f>
        <v>80</v>
      </c>
      <c r="BF728" s="63"/>
      <c r="BG728" s="63"/>
      <c r="BH728" s="62" t="s">
        <v>276</v>
      </c>
      <c r="BI728" s="62"/>
      <c r="BJ728" s="62"/>
      <c r="BK728" s="62" t="s">
        <v>276</v>
      </c>
      <c r="BL728" s="62"/>
      <c r="BM728" s="62"/>
      <c r="BN728" s="83">
        <f t="shared" si="54"/>
        <v>62.800000000000004</v>
      </c>
      <c r="BO728" s="83"/>
      <c r="BP728" s="83"/>
      <c r="BQ728" s="83"/>
      <c r="BR728" s="84">
        <v>28</v>
      </c>
      <c r="BS728" s="84"/>
      <c r="BT728" s="84"/>
      <c r="BU728" s="84"/>
      <c r="BV728" s="84"/>
      <c r="BW728" s="84"/>
      <c r="BX728" s="85">
        <f t="shared" si="52"/>
        <v>1758.4</v>
      </c>
      <c r="BY728" s="85"/>
      <c r="BZ728" s="85"/>
      <c r="CA728" s="85"/>
      <c r="CB728" s="86"/>
    </row>
    <row r="729" spans="2:80" x14ac:dyDescent="0.2">
      <c r="B729" s="71" t="s">
        <v>475</v>
      </c>
      <c r="C729" s="72"/>
      <c r="D729" s="72"/>
      <c r="E729" s="72"/>
      <c r="F729" s="72"/>
      <c r="G729" s="72"/>
      <c r="H729" s="72"/>
      <c r="I729" s="72"/>
      <c r="J729" s="72"/>
      <c r="K729" s="72"/>
      <c r="L729" s="72"/>
      <c r="M729" s="72"/>
      <c r="N729" s="72"/>
      <c r="O729" s="13" t="s">
        <v>271</v>
      </c>
      <c r="P729" s="73">
        <v>80</v>
      </c>
      <c r="Q729" s="73"/>
      <c r="R729" s="11" t="s">
        <v>272</v>
      </c>
      <c r="S729" s="11"/>
      <c r="T729" s="11" t="s">
        <v>273</v>
      </c>
      <c r="U729" s="73">
        <v>80</v>
      </c>
      <c r="V729" s="73"/>
      <c r="W729" s="11" t="s">
        <v>272</v>
      </c>
      <c r="X729" s="11"/>
      <c r="Y729" s="11" t="s">
        <v>274</v>
      </c>
      <c r="Z729" s="73">
        <v>5</v>
      </c>
      <c r="AA729" s="73"/>
      <c r="AB729" s="11" t="s">
        <v>272</v>
      </c>
      <c r="AC729" s="11"/>
      <c r="AD729" s="11"/>
      <c r="AE729" s="11"/>
      <c r="AF729" s="11"/>
      <c r="AG729" s="11"/>
      <c r="AH729" s="11"/>
      <c r="AI729" s="11"/>
      <c r="AJ729" s="11"/>
      <c r="AK729" s="11"/>
      <c r="AL729" s="11"/>
      <c r="AM729" s="11"/>
      <c r="AN729" s="11"/>
      <c r="AO729" s="11"/>
      <c r="AP729" s="11"/>
      <c r="AQ729" s="11"/>
      <c r="AR729" s="11"/>
      <c r="AS729" s="11"/>
      <c r="AT729" s="11"/>
      <c r="AU729" s="11"/>
      <c r="AV729" s="11"/>
      <c r="AW729" s="11"/>
      <c r="AX729" s="11"/>
      <c r="AY729" s="11"/>
      <c r="AZ729" s="11"/>
      <c r="BA729" s="12"/>
      <c r="BB729" s="63" t="s">
        <v>276</v>
      </c>
      <c r="BC729" s="63"/>
      <c r="BD729" s="63"/>
      <c r="BE729" s="63">
        <f>(C621+1)*AL603</f>
        <v>80</v>
      </c>
      <c r="BF729" s="63"/>
      <c r="BG729" s="63"/>
      <c r="BH729" s="62" t="s">
        <v>276</v>
      </c>
      <c r="BI729" s="62"/>
      <c r="BJ729" s="62"/>
      <c r="BK729" s="62" t="s">
        <v>276</v>
      </c>
      <c r="BL729" s="62"/>
      <c r="BM729" s="62"/>
      <c r="BN729" s="83">
        <f t="shared" si="54"/>
        <v>20.095999999999997</v>
      </c>
      <c r="BO729" s="83"/>
      <c r="BP729" s="83"/>
      <c r="BQ729" s="83"/>
      <c r="BR729" s="84">
        <v>28</v>
      </c>
      <c r="BS729" s="84"/>
      <c r="BT729" s="84"/>
      <c r="BU729" s="84"/>
      <c r="BV729" s="84"/>
      <c r="BW729" s="84"/>
      <c r="BX729" s="85">
        <f t="shared" si="52"/>
        <v>562.68799999999987</v>
      </c>
      <c r="BY729" s="85"/>
      <c r="BZ729" s="85"/>
      <c r="CA729" s="85"/>
      <c r="CB729" s="86"/>
    </row>
    <row r="730" spans="2:80" x14ac:dyDescent="0.2">
      <c r="B730" s="71" t="s">
        <v>482</v>
      </c>
      <c r="C730" s="72"/>
      <c r="D730" s="72"/>
      <c r="E730" s="72"/>
      <c r="F730" s="72"/>
      <c r="G730" s="72"/>
      <c r="H730" s="72"/>
      <c r="I730" s="72"/>
      <c r="J730" s="72"/>
      <c r="K730" s="72"/>
      <c r="L730" s="72"/>
      <c r="M730" s="72"/>
      <c r="N730" s="72"/>
      <c r="O730" s="13" t="s">
        <v>271</v>
      </c>
      <c r="P730" s="73">
        <v>80</v>
      </c>
      <c r="Q730" s="73"/>
      <c r="R730" s="11" t="s">
        <v>272</v>
      </c>
      <c r="S730" s="11"/>
      <c r="T730" s="11" t="s">
        <v>273</v>
      </c>
      <c r="U730" s="73">
        <v>80</v>
      </c>
      <c r="V730" s="73"/>
      <c r="W730" s="11" t="s">
        <v>272</v>
      </c>
      <c r="X730" s="11"/>
      <c r="Y730" s="11" t="s">
        <v>274</v>
      </c>
      <c r="Z730" s="73">
        <v>5</v>
      </c>
      <c r="AA730" s="73"/>
      <c r="AB730" s="11" t="s">
        <v>272</v>
      </c>
      <c r="AC730" s="11"/>
      <c r="AD730" s="11"/>
      <c r="AE730" s="11"/>
      <c r="AF730" s="11"/>
      <c r="AG730" s="11"/>
      <c r="AH730" s="11"/>
      <c r="AI730" s="11"/>
      <c r="AJ730" s="11"/>
      <c r="AK730" s="11"/>
      <c r="AL730" s="11"/>
      <c r="AM730" s="11"/>
      <c r="AN730" s="11"/>
      <c r="AO730" s="11"/>
      <c r="AP730" s="11"/>
      <c r="AQ730" s="11"/>
      <c r="AR730" s="11"/>
      <c r="AS730" s="11"/>
      <c r="AT730" s="11"/>
      <c r="AU730" s="11"/>
      <c r="AV730" s="11"/>
      <c r="AW730" s="11"/>
      <c r="AX730" s="11"/>
      <c r="AY730" s="11"/>
      <c r="AZ730" s="11"/>
      <c r="BA730" s="12"/>
      <c r="BB730" s="63" t="s">
        <v>276</v>
      </c>
      <c r="BC730" s="63"/>
      <c r="BD730" s="63"/>
      <c r="BE730" s="63" cm="1">
        <f t="array" ref="BE730">INDEX(AZ600:AZ610,MATCH(C621,AY600:AY610,0),0)*8*2</f>
        <v>48</v>
      </c>
      <c r="BF730" s="63"/>
      <c r="BG730" s="63"/>
      <c r="BH730" s="62" t="s">
        <v>276</v>
      </c>
      <c r="BI730" s="62"/>
      <c r="BJ730" s="62"/>
      <c r="BK730" s="62" t="s">
        <v>276</v>
      </c>
      <c r="BL730" s="62"/>
      <c r="BM730" s="62"/>
      <c r="BN730" s="83">
        <f t="shared" si="54"/>
        <v>12.057599999999999</v>
      </c>
      <c r="BO730" s="83"/>
      <c r="BP730" s="83"/>
      <c r="BQ730" s="83"/>
      <c r="BR730" s="84">
        <v>28</v>
      </c>
      <c r="BS730" s="84"/>
      <c r="BT730" s="84"/>
      <c r="BU730" s="84"/>
      <c r="BV730" s="84"/>
      <c r="BW730" s="84"/>
      <c r="BX730" s="85">
        <f t="shared" si="52"/>
        <v>337.61279999999999</v>
      </c>
      <c r="BY730" s="85"/>
      <c r="BZ730" s="85"/>
      <c r="CA730" s="85"/>
      <c r="CB730" s="86"/>
    </row>
    <row r="731" spans="2:80" x14ac:dyDescent="0.2">
      <c r="B731" s="71" t="s">
        <v>476</v>
      </c>
      <c r="C731" s="72"/>
      <c r="D731" s="72"/>
      <c r="E731" s="72"/>
      <c r="F731" s="72"/>
      <c r="G731" s="72"/>
      <c r="H731" s="72"/>
      <c r="I731" s="72"/>
      <c r="J731" s="72"/>
      <c r="K731" s="72"/>
      <c r="L731" s="72"/>
      <c r="M731" s="72"/>
      <c r="N731" s="72"/>
      <c r="O731" s="13" t="s">
        <v>271</v>
      </c>
      <c r="P731" s="73">
        <v>80</v>
      </c>
      <c r="Q731" s="73"/>
      <c r="R731" s="11" t="s">
        <v>272</v>
      </c>
      <c r="S731" s="11"/>
      <c r="T731" s="11" t="s">
        <v>273</v>
      </c>
      <c r="U731" s="73">
        <v>80</v>
      </c>
      <c r="V731" s="73"/>
      <c r="W731" s="11" t="s">
        <v>272</v>
      </c>
      <c r="X731" s="11"/>
      <c r="Y731" s="11" t="s">
        <v>274</v>
      </c>
      <c r="Z731" s="73">
        <v>5</v>
      </c>
      <c r="AA731" s="73"/>
      <c r="AB731" s="11" t="s">
        <v>272</v>
      </c>
      <c r="AC731" s="11"/>
      <c r="AD731" s="11"/>
      <c r="AE731" s="11"/>
      <c r="AF731" s="11"/>
      <c r="AG731" s="11"/>
      <c r="AH731" s="11"/>
      <c r="AI731" s="11"/>
      <c r="AJ731" s="11"/>
      <c r="AK731" s="11"/>
      <c r="AL731" s="11"/>
      <c r="AM731" s="11"/>
      <c r="AN731" s="11"/>
      <c r="AO731" s="11"/>
      <c r="AP731" s="11"/>
      <c r="AQ731" s="11"/>
      <c r="AR731" s="11"/>
      <c r="AS731" s="11"/>
      <c r="AT731" s="11"/>
      <c r="AU731" s="11"/>
      <c r="AV731" s="11"/>
      <c r="AW731" s="11"/>
      <c r="AX731" s="11"/>
      <c r="AY731" s="11"/>
      <c r="AZ731" s="11"/>
      <c r="BA731" s="12"/>
      <c r="BB731" s="63" t="s">
        <v>276</v>
      </c>
      <c r="BC731" s="63"/>
      <c r="BD731" s="63"/>
      <c r="BE731" s="63" cm="1">
        <f t="array" ref="BE731">INDEX(BA600:BA610,MATCH(C621,AY600:AY610,0),0)*2*3*2</f>
        <v>48</v>
      </c>
      <c r="BF731" s="63"/>
      <c r="BG731" s="63"/>
      <c r="BH731" s="62" t="s">
        <v>276</v>
      </c>
      <c r="BI731" s="62"/>
      <c r="BJ731" s="62"/>
      <c r="BK731" s="62" t="s">
        <v>276</v>
      </c>
      <c r="BL731" s="62"/>
      <c r="BM731" s="62"/>
      <c r="BN731" s="83">
        <f t="shared" si="54"/>
        <v>12.057599999999999</v>
      </c>
      <c r="BO731" s="83"/>
      <c r="BP731" s="83"/>
      <c r="BQ731" s="83"/>
      <c r="BR731" s="84">
        <v>28</v>
      </c>
      <c r="BS731" s="84"/>
      <c r="BT731" s="84"/>
      <c r="BU731" s="84"/>
      <c r="BV731" s="84"/>
      <c r="BW731" s="84"/>
      <c r="BX731" s="85">
        <f t="shared" si="52"/>
        <v>337.61279999999999</v>
      </c>
      <c r="BY731" s="85"/>
      <c r="BZ731" s="85"/>
      <c r="CA731" s="85"/>
      <c r="CB731" s="86"/>
    </row>
    <row r="732" spans="2:80" x14ac:dyDescent="0.2">
      <c r="B732" s="71" t="s">
        <v>477</v>
      </c>
      <c r="C732" s="72"/>
      <c r="D732" s="72"/>
      <c r="E732" s="72"/>
      <c r="F732" s="72"/>
      <c r="G732" s="72"/>
      <c r="H732" s="72"/>
      <c r="I732" s="72"/>
      <c r="J732" s="72"/>
      <c r="K732" s="72"/>
      <c r="L732" s="72"/>
      <c r="M732" s="72"/>
      <c r="N732" s="72"/>
      <c r="O732" s="13" t="s">
        <v>271</v>
      </c>
      <c r="P732" s="73">
        <v>80</v>
      </c>
      <c r="Q732" s="73"/>
      <c r="R732" s="11" t="s">
        <v>272</v>
      </c>
      <c r="S732" s="11"/>
      <c r="T732" s="11" t="s">
        <v>273</v>
      </c>
      <c r="U732" s="73">
        <v>80</v>
      </c>
      <c r="V732" s="73"/>
      <c r="W732" s="11" t="s">
        <v>272</v>
      </c>
      <c r="X732" s="11"/>
      <c r="Y732" s="11" t="s">
        <v>274</v>
      </c>
      <c r="Z732" s="73">
        <v>5</v>
      </c>
      <c r="AA732" s="73"/>
      <c r="AB732" s="11" t="s">
        <v>272</v>
      </c>
      <c r="AC732" s="11"/>
      <c r="AD732" s="11"/>
      <c r="AE732" s="11"/>
      <c r="AF732" s="11"/>
      <c r="AG732" s="11"/>
      <c r="AH732" s="11"/>
      <c r="AI732" s="11"/>
      <c r="AJ732" s="11"/>
      <c r="AK732" s="11"/>
      <c r="AL732" s="11"/>
      <c r="AM732" s="11"/>
      <c r="AN732" s="11"/>
      <c r="AO732" s="11"/>
      <c r="AP732" s="11"/>
      <c r="AQ732" s="11"/>
      <c r="AR732" s="11"/>
      <c r="AS732" s="11"/>
      <c r="AT732" s="11"/>
      <c r="AU732" s="11"/>
      <c r="AV732" s="11"/>
      <c r="AW732" s="11"/>
      <c r="AX732" s="11"/>
      <c r="AY732" s="11"/>
      <c r="AZ732" s="11"/>
      <c r="BA732" s="12"/>
      <c r="BB732" s="63" t="s">
        <v>276</v>
      </c>
      <c r="BC732" s="63"/>
      <c r="BD732" s="63"/>
      <c r="BE732" s="63">
        <f>36*2+8*2</f>
        <v>88</v>
      </c>
      <c r="BF732" s="63"/>
      <c r="BG732" s="63"/>
      <c r="BH732" s="62" t="s">
        <v>276</v>
      </c>
      <c r="BI732" s="62"/>
      <c r="BJ732" s="62"/>
      <c r="BK732" s="62" t="s">
        <v>276</v>
      </c>
      <c r="BL732" s="62"/>
      <c r="BM732" s="62"/>
      <c r="BN732" s="83">
        <f t="shared" si="54"/>
        <v>22.105599999999999</v>
      </c>
      <c r="BO732" s="83"/>
      <c r="BP732" s="83"/>
      <c r="BQ732" s="83"/>
      <c r="BR732" s="84">
        <v>28</v>
      </c>
      <c r="BS732" s="84"/>
      <c r="BT732" s="84"/>
      <c r="BU732" s="84"/>
      <c r="BV732" s="84"/>
      <c r="BW732" s="84"/>
      <c r="BX732" s="85">
        <f t="shared" si="52"/>
        <v>618.95679999999993</v>
      </c>
      <c r="BY732" s="85"/>
      <c r="BZ732" s="85"/>
      <c r="CA732" s="85"/>
      <c r="CB732" s="86"/>
    </row>
    <row r="733" spans="2:80" x14ac:dyDescent="0.2">
      <c r="B733" s="71" t="s">
        <v>560</v>
      </c>
      <c r="C733" s="72"/>
      <c r="D733" s="72"/>
      <c r="E733" s="72"/>
      <c r="F733" s="72"/>
      <c r="G733" s="72"/>
      <c r="H733" s="72"/>
      <c r="I733" s="72"/>
      <c r="J733" s="72"/>
      <c r="K733" s="72"/>
      <c r="L733" s="72"/>
      <c r="M733" s="72"/>
      <c r="N733" s="72"/>
      <c r="O733" s="13" t="s">
        <v>271</v>
      </c>
      <c r="P733" s="73">
        <v>800</v>
      </c>
      <c r="Q733" s="73"/>
      <c r="R733" s="11" t="s">
        <v>272</v>
      </c>
      <c r="S733" s="11"/>
      <c r="T733" s="11" t="s">
        <v>273</v>
      </c>
      <c r="U733" s="73">
        <v>250</v>
      </c>
      <c r="V733" s="73"/>
      <c r="W733" s="11" t="s">
        <v>272</v>
      </c>
      <c r="X733" s="11"/>
      <c r="Y733" s="11" t="s">
        <v>274</v>
      </c>
      <c r="Z733" s="73">
        <v>15</v>
      </c>
      <c r="AA733" s="73"/>
      <c r="AB733" s="11" t="s">
        <v>272</v>
      </c>
      <c r="AC733" s="11"/>
      <c r="AD733" s="11"/>
      <c r="AE733" s="11"/>
      <c r="AF733" s="11"/>
      <c r="AG733" s="11" t="s">
        <v>282</v>
      </c>
      <c r="AH733" s="11"/>
      <c r="AI733" s="11"/>
      <c r="AJ733" s="11"/>
      <c r="AK733" s="11"/>
      <c r="AL733" s="11"/>
      <c r="AM733" s="73">
        <v>2</v>
      </c>
      <c r="AN733" s="73"/>
      <c r="AO733" s="11" t="s">
        <v>433</v>
      </c>
      <c r="AP733" s="11"/>
      <c r="AQ733" s="11"/>
      <c r="AR733" s="11"/>
      <c r="AS733" s="11"/>
      <c r="AT733" s="11"/>
      <c r="AU733" s="11"/>
      <c r="AV733" s="11"/>
      <c r="AW733" s="11"/>
      <c r="AX733" s="11"/>
      <c r="AY733" s="11"/>
      <c r="AZ733" s="11"/>
      <c r="BA733" s="12"/>
      <c r="BB733" s="63" t="s">
        <v>276</v>
      </c>
      <c r="BC733" s="63"/>
      <c r="BD733" s="63"/>
      <c r="BE733" s="63">
        <f>(BE723+BE724)*AM733</f>
        <v>56</v>
      </c>
      <c r="BF733" s="63"/>
      <c r="BG733" s="63"/>
      <c r="BH733" s="62" t="s">
        <v>276</v>
      </c>
      <c r="BI733" s="62"/>
      <c r="BJ733" s="62"/>
      <c r="BK733" s="62" t="s">
        <v>276</v>
      </c>
      <c r="BL733" s="62"/>
      <c r="BM733" s="62"/>
      <c r="BN733" s="83">
        <f t="shared" si="54"/>
        <v>1318.8</v>
      </c>
      <c r="BO733" s="83"/>
      <c r="BP733" s="83"/>
      <c r="BQ733" s="83"/>
      <c r="BR733" s="84">
        <v>28</v>
      </c>
      <c r="BS733" s="84"/>
      <c r="BT733" s="84"/>
      <c r="BU733" s="84"/>
      <c r="BV733" s="84"/>
      <c r="BW733" s="84"/>
      <c r="BX733" s="85">
        <f t="shared" si="52"/>
        <v>36926.400000000001</v>
      </c>
      <c r="BY733" s="85"/>
      <c r="BZ733" s="85"/>
      <c r="CA733" s="85"/>
      <c r="CB733" s="86"/>
    </row>
    <row r="734" spans="2:80" x14ac:dyDescent="0.2">
      <c r="B734" s="71" t="s">
        <v>572</v>
      </c>
      <c r="C734" s="72"/>
      <c r="D734" s="72"/>
      <c r="E734" s="72"/>
      <c r="F734" s="72"/>
      <c r="G734" s="72"/>
      <c r="H734" s="72"/>
      <c r="I734" s="72"/>
      <c r="J734" s="72"/>
      <c r="K734" s="72"/>
      <c r="L734" s="72"/>
      <c r="M734" s="72"/>
      <c r="N734" s="72"/>
      <c r="O734" s="13" t="s">
        <v>278</v>
      </c>
      <c r="P734" s="73">
        <v>20</v>
      </c>
      <c r="Q734" s="73"/>
      <c r="R734" s="11"/>
      <c r="S734" s="11" t="s">
        <v>282</v>
      </c>
      <c r="T734" s="11"/>
      <c r="U734" s="11"/>
      <c r="V734" s="11"/>
      <c r="W734" s="11"/>
      <c r="X734" s="11"/>
      <c r="Y734" s="73">
        <v>10</v>
      </c>
      <c r="Z734" s="73"/>
      <c r="AA734" s="11" t="s">
        <v>433</v>
      </c>
      <c r="AB734" s="11"/>
      <c r="AC734" s="11"/>
      <c r="AD734" s="11"/>
      <c r="AE734" s="11"/>
      <c r="AF734" s="11"/>
      <c r="AG734" s="11"/>
      <c r="AH734" s="11"/>
      <c r="AI734" s="11"/>
      <c r="AJ734" s="11"/>
      <c r="AK734" s="11"/>
      <c r="AL734" s="11"/>
      <c r="AM734" s="11"/>
      <c r="AN734" s="11"/>
      <c r="AO734" s="11"/>
      <c r="AP734" s="11"/>
      <c r="AQ734" s="11"/>
      <c r="AR734" s="11"/>
      <c r="AS734" s="11"/>
      <c r="AT734" s="11"/>
      <c r="AU734" s="11"/>
      <c r="AV734" s="11"/>
      <c r="AW734" s="11"/>
      <c r="AX734" s="11"/>
      <c r="AY734" s="11"/>
      <c r="AZ734" s="11"/>
      <c r="BA734" s="12"/>
      <c r="BB734" s="63" t="s">
        <v>276</v>
      </c>
      <c r="BC734" s="63"/>
      <c r="BD734" s="63"/>
      <c r="BE734" s="63">
        <f>(C621+1)*2*Y734</f>
        <v>160</v>
      </c>
      <c r="BF734" s="63"/>
      <c r="BG734" s="63"/>
      <c r="BH734" s="62" t="s">
        <v>276</v>
      </c>
      <c r="BI734" s="62"/>
      <c r="BJ734" s="62"/>
      <c r="BK734" s="62" t="s">
        <v>276</v>
      </c>
      <c r="BL734" s="62"/>
      <c r="BM734" s="62"/>
      <c r="BN734" s="63" t="s">
        <v>276</v>
      </c>
      <c r="BO734" s="63"/>
      <c r="BP734" s="63"/>
      <c r="BQ734" s="63"/>
      <c r="BR734" s="64">
        <v>105</v>
      </c>
      <c r="BS734" s="64"/>
      <c r="BT734" s="64"/>
      <c r="BU734" s="64"/>
      <c r="BV734" s="64"/>
      <c r="BW734" s="64"/>
      <c r="BX734" s="65">
        <f t="shared" ref="BX734:BX744" si="55">BR734*BE734</f>
        <v>16800</v>
      </c>
      <c r="BY734" s="65"/>
      <c r="BZ734" s="65"/>
      <c r="CA734" s="65"/>
      <c r="CB734" s="66"/>
    </row>
    <row r="735" spans="2:80" x14ac:dyDescent="0.2">
      <c r="B735" s="71" t="s">
        <v>573</v>
      </c>
      <c r="C735" s="72"/>
      <c r="D735" s="72"/>
      <c r="E735" s="72"/>
      <c r="F735" s="72"/>
      <c r="G735" s="72"/>
      <c r="H735" s="72"/>
      <c r="I735" s="72"/>
      <c r="J735" s="72"/>
      <c r="K735" s="72"/>
      <c r="L735" s="72"/>
      <c r="M735" s="72"/>
      <c r="N735" s="72"/>
      <c r="O735" s="13" t="s">
        <v>278</v>
      </c>
      <c r="P735" s="73">
        <v>20</v>
      </c>
      <c r="Q735" s="73"/>
      <c r="R735" s="11"/>
      <c r="S735" s="11" t="s">
        <v>282</v>
      </c>
      <c r="T735" s="11"/>
      <c r="U735" s="11"/>
      <c r="V735" s="11"/>
      <c r="W735" s="11"/>
      <c r="X735" s="11"/>
      <c r="Y735" s="73">
        <v>10</v>
      </c>
      <c r="Z735" s="73"/>
      <c r="AA735" s="11" t="s">
        <v>433</v>
      </c>
      <c r="AB735" s="11"/>
      <c r="AC735" s="11"/>
      <c r="AD735" s="11"/>
      <c r="AE735" s="11"/>
      <c r="AF735" s="11"/>
      <c r="AG735" s="11"/>
      <c r="AH735" s="11"/>
      <c r="AI735" s="11"/>
      <c r="AJ735" s="11"/>
      <c r="AK735" s="11"/>
      <c r="AL735" s="11"/>
      <c r="AM735" s="11"/>
      <c r="AN735" s="11"/>
      <c r="AO735" s="11"/>
      <c r="AP735" s="11"/>
      <c r="AQ735" s="11"/>
      <c r="AR735" s="11"/>
      <c r="AS735" s="11"/>
      <c r="AT735" s="11"/>
      <c r="AU735" s="11"/>
      <c r="AV735" s="11"/>
      <c r="AW735" s="11"/>
      <c r="AX735" s="11"/>
      <c r="AY735" s="11"/>
      <c r="AZ735" s="11"/>
      <c r="BA735" s="12"/>
      <c r="BB735" s="63" t="s">
        <v>276</v>
      </c>
      <c r="BC735" s="63"/>
      <c r="BD735" s="63"/>
      <c r="BE735" s="63">
        <f>(C621+1)*Y735</f>
        <v>80</v>
      </c>
      <c r="BF735" s="63"/>
      <c r="BG735" s="63"/>
      <c r="BH735" s="62" t="s">
        <v>276</v>
      </c>
      <c r="BI735" s="62"/>
      <c r="BJ735" s="62"/>
      <c r="BK735" s="62" t="s">
        <v>276</v>
      </c>
      <c r="BL735" s="62"/>
      <c r="BM735" s="62"/>
      <c r="BN735" s="63" t="s">
        <v>276</v>
      </c>
      <c r="BO735" s="63"/>
      <c r="BP735" s="63"/>
      <c r="BQ735" s="63"/>
      <c r="BR735" s="64">
        <v>105</v>
      </c>
      <c r="BS735" s="64"/>
      <c r="BT735" s="64"/>
      <c r="BU735" s="64"/>
      <c r="BV735" s="64"/>
      <c r="BW735" s="64"/>
      <c r="BX735" s="65">
        <f t="shared" si="55"/>
        <v>8400</v>
      </c>
      <c r="BY735" s="65"/>
      <c r="BZ735" s="65"/>
      <c r="CA735" s="65"/>
      <c r="CB735" s="66"/>
    </row>
    <row r="736" spans="2:80" x14ac:dyDescent="0.2">
      <c r="B736" s="71" t="s">
        <v>481</v>
      </c>
      <c r="C736" s="72"/>
      <c r="D736" s="72"/>
      <c r="E736" s="72"/>
      <c r="F736" s="72"/>
      <c r="G736" s="72"/>
      <c r="H736" s="72"/>
      <c r="I736" s="72"/>
      <c r="J736" s="72"/>
      <c r="K736" s="72"/>
      <c r="L736" s="72"/>
      <c r="M736" s="72"/>
      <c r="N736" s="72"/>
      <c r="O736" s="13" t="s">
        <v>278</v>
      </c>
      <c r="P736" s="73">
        <v>16</v>
      </c>
      <c r="Q736" s="73"/>
      <c r="R736" s="11"/>
      <c r="S736" s="11" t="s">
        <v>282</v>
      </c>
      <c r="T736" s="11"/>
      <c r="U736" s="11"/>
      <c r="V736" s="11"/>
      <c r="W736" s="11"/>
      <c r="X736" s="11"/>
      <c r="Y736" s="73">
        <v>2</v>
      </c>
      <c r="Z736" s="73"/>
      <c r="AA736" s="11" t="s">
        <v>433</v>
      </c>
      <c r="AB736" s="11"/>
      <c r="AC736" s="11"/>
      <c r="AD736" s="11"/>
      <c r="AE736" s="11"/>
      <c r="AF736" s="11"/>
      <c r="AG736" s="11"/>
      <c r="AH736" s="11"/>
      <c r="AI736" s="11"/>
      <c r="AJ736" s="11"/>
      <c r="AK736" s="11"/>
      <c r="AL736" s="11"/>
      <c r="AM736" s="11"/>
      <c r="AN736" s="11"/>
      <c r="AO736" s="11"/>
      <c r="AP736" s="11"/>
      <c r="AQ736" s="11"/>
      <c r="AR736" s="11"/>
      <c r="AS736" s="11"/>
      <c r="AT736" s="11"/>
      <c r="AU736" s="11"/>
      <c r="AV736" s="11"/>
      <c r="AW736" s="11"/>
      <c r="AX736" s="11"/>
      <c r="AY736" s="11"/>
      <c r="AZ736" s="11"/>
      <c r="BA736" s="12"/>
      <c r="BB736" s="63" t="s">
        <v>276</v>
      </c>
      <c r="BC736" s="63"/>
      <c r="BD736" s="63"/>
      <c r="BE736" s="63" cm="1">
        <f t="array" ref="BE736">((C621)*4+INDEX(AZ600:AZ610,MATCH(C621,AY600:AY610,0),0)*4)*2*Y736</f>
        <v>160</v>
      </c>
      <c r="BF736" s="63"/>
      <c r="BG736" s="63"/>
      <c r="BH736" s="62" t="s">
        <v>276</v>
      </c>
      <c r="BI736" s="62"/>
      <c r="BJ736" s="62"/>
      <c r="BK736" s="62" t="s">
        <v>276</v>
      </c>
      <c r="BL736" s="62"/>
      <c r="BM736" s="62"/>
      <c r="BN736" s="63" t="s">
        <v>276</v>
      </c>
      <c r="BO736" s="63"/>
      <c r="BP736" s="63"/>
      <c r="BQ736" s="63"/>
      <c r="BR736" s="64">
        <v>105</v>
      </c>
      <c r="BS736" s="64"/>
      <c r="BT736" s="64"/>
      <c r="BU736" s="64"/>
      <c r="BV736" s="64"/>
      <c r="BW736" s="64"/>
      <c r="BX736" s="65">
        <f t="shared" si="55"/>
        <v>16800</v>
      </c>
      <c r="BY736" s="65"/>
      <c r="BZ736" s="65"/>
      <c r="CA736" s="65"/>
      <c r="CB736" s="66"/>
    </row>
    <row r="737" spans="2:80" x14ac:dyDescent="0.2">
      <c r="B737" s="71" t="s">
        <v>474</v>
      </c>
      <c r="C737" s="72"/>
      <c r="D737" s="72"/>
      <c r="E737" s="72"/>
      <c r="F737" s="72"/>
      <c r="G737" s="72"/>
      <c r="H737" s="72"/>
      <c r="I737" s="72"/>
      <c r="J737" s="72"/>
      <c r="K737" s="72"/>
      <c r="L737" s="72"/>
      <c r="M737" s="72"/>
      <c r="N737" s="72"/>
      <c r="O737" s="13" t="s">
        <v>278</v>
      </c>
      <c r="P737" s="73">
        <v>12</v>
      </c>
      <c r="Q737" s="73"/>
      <c r="R737" s="11"/>
      <c r="S737" s="11" t="s">
        <v>282</v>
      </c>
      <c r="T737" s="11"/>
      <c r="U737" s="11"/>
      <c r="V737" s="11"/>
      <c r="W737" s="11"/>
      <c r="X737" s="11"/>
      <c r="Y737" s="73">
        <v>2</v>
      </c>
      <c r="Z737" s="73"/>
      <c r="AA737" s="11" t="s">
        <v>433</v>
      </c>
      <c r="AB737" s="11"/>
      <c r="AC737" s="11"/>
      <c r="AD737" s="11"/>
      <c r="AE737" s="11"/>
      <c r="AF737" s="11"/>
      <c r="AG737" s="11"/>
      <c r="AH737" s="11"/>
      <c r="AI737" s="11"/>
      <c r="AJ737" s="11"/>
      <c r="AK737" s="11"/>
      <c r="AL737" s="11"/>
      <c r="AM737" s="11"/>
      <c r="AN737" s="11"/>
      <c r="AO737" s="11"/>
      <c r="AP737" s="11"/>
      <c r="AQ737" s="11"/>
      <c r="AR737" s="11"/>
      <c r="AS737" s="11"/>
      <c r="AT737" s="11"/>
      <c r="AU737" s="11"/>
      <c r="AV737" s="11"/>
      <c r="AW737" s="11"/>
      <c r="AX737" s="11"/>
      <c r="AY737" s="11"/>
      <c r="AZ737" s="11"/>
      <c r="BA737" s="12"/>
      <c r="BB737" s="63" t="s">
        <v>276</v>
      </c>
      <c r="BC737" s="63"/>
      <c r="BD737" s="63"/>
      <c r="BE737" s="63">
        <f>(C621+1)*AL603*Y737</f>
        <v>160</v>
      </c>
      <c r="BF737" s="63"/>
      <c r="BG737" s="63"/>
      <c r="BH737" s="62" t="s">
        <v>276</v>
      </c>
      <c r="BI737" s="62"/>
      <c r="BJ737" s="62"/>
      <c r="BK737" s="62" t="s">
        <v>276</v>
      </c>
      <c r="BL737" s="62"/>
      <c r="BM737" s="62"/>
      <c r="BN737" s="63" t="s">
        <v>276</v>
      </c>
      <c r="BO737" s="63"/>
      <c r="BP737" s="63"/>
      <c r="BQ737" s="63"/>
      <c r="BR737" s="64">
        <v>105</v>
      </c>
      <c r="BS737" s="64"/>
      <c r="BT737" s="64"/>
      <c r="BU737" s="64"/>
      <c r="BV737" s="64"/>
      <c r="BW737" s="64"/>
      <c r="BX737" s="65">
        <f t="shared" si="55"/>
        <v>16800</v>
      </c>
      <c r="BY737" s="65"/>
      <c r="BZ737" s="65"/>
      <c r="CA737" s="65"/>
      <c r="CB737" s="66"/>
    </row>
    <row r="738" spans="2:80" x14ac:dyDescent="0.2">
      <c r="B738" s="71" t="s">
        <v>568</v>
      </c>
      <c r="C738" s="72"/>
      <c r="D738" s="72"/>
      <c r="E738" s="72"/>
      <c r="F738" s="72"/>
      <c r="G738" s="72"/>
      <c r="H738" s="72"/>
      <c r="I738" s="72"/>
      <c r="J738" s="72"/>
      <c r="K738" s="72"/>
      <c r="L738" s="72"/>
      <c r="M738" s="72"/>
      <c r="N738" s="72"/>
      <c r="O738" s="13" t="s">
        <v>278</v>
      </c>
      <c r="P738" s="73">
        <v>16</v>
      </c>
      <c r="Q738" s="73"/>
      <c r="R738" s="11"/>
      <c r="S738" s="11" t="s">
        <v>282</v>
      </c>
      <c r="T738" s="11"/>
      <c r="U738" s="11"/>
      <c r="V738" s="11"/>
      <c r="W738" s="11"/>
      <c r="X738" s="11"/>
      <c r="Y738" s="73">
        <v>4</v>
      </c>
      <c r="Z738" s="73"/>
      <c r="AA738" s="11" t="s">
        <v>433</v>
      </c>
      <c r="AB738" s="11"/>
      <c r="AC738" s="11"/>
      <c r="AD738" s="11"/>
      <c r="AE738" s="11"/>
      <c r="AF738" s="11"/>
      <c r="AG738" s="11"/>
      <c r="AH738" s="11"/>
      <c r="AI738" s="11"/>
      <c r="AJ738" s="11"/>
      <c r="AK738" s="11"/>
      <c r="AL738" s="11"/>
      <c r="AM738" s="11"/>
      <c r="AN738" s="11"/>
      <c r="AO738" s="11"/>
      <c r="AP738" s="11"/>
      <c r="AQ738" s="11"/>
      <c r="AR738" s="11"/>
      <c r="AS738" s="11"/>
      <c r="AT738" s="11"/>
      <c r="AU738" s="11"/>
      <c r="AV738" s="11"/>
      <c r="AW738" s="11"/>
      <c r="AX738" s="11"/>
      <c r="AY738" s="11"/>
      <c r="AZ738" s="11"/>
      <c r="BA738" s="12"/>
      <c r="BB738" s="63" t="s">
        <v>276</v>
      </c>
      <c r="BC738" s="63"/>
      <c r="BD738" s="63"/>
      <c r="BE738" s="63" cm="1">
        <f t="array" ref="BE738">INDEX(AZ600:AZ610,MATCH(C621,AY600:AY610,0),0)*4*3*2*Y738</f>
        <v>288</v>
      </c>
      <c r="BF738" s="63"/>
      <c r="BG738" s="63"/>
      <c r="BH738" s="62" t="s">
        <v>276</v>
      </c>
      <c r="BI738" s="62"/>
      <c r="BJ738" s="62"/>
      <c r="BK738" s="62" t="s">
        <v>276</v>
      </c>
      <c r="BL738" s="62"/>
      <c r="BM738" s="62"/>
      <c r="BN738" s="63" t="s">
        <v>276</v>
      </c>
      <c r="BO738" s="63"/>
      <c r="BP738" s="63"/>
      <c r="BQ738" s="63"/>
      <c r="BR738" s="64">
        <v>105</v>
      </c>
      <c r="BS738" s="64"/>
      <c r="BT738" s="64"/>
      <c r="BU738" s="64"/>
      <c r="BV738" s="64"/>
      <c r="BW738" s="64"/>
      <c r="BX738" s="65">
        <f t="shared" si="55"/>
        <v>30240</v>
      </c>
      <c r="BY738" s="65"/>
      <c r="BZ738" s="65"/>
      <c r="CA738" s="65"/>
      <c r="CB738" s="66"/>
    </row>
    <row r="739" spans="2:80" x14ac:dyDescent="0.2">
      <c r="B739" s="71" t="s">
        <v>569</v>
      </c>
      <c r="C739" s="72"/>
      <c r="D739" s="72"/>
      <c r="E739" s="72"/>
      <c r="F739" s="72"/>
      <c r="G739" s="72"/>
      <c r="H739" s="72"/>
      <c r="I739" s="72"/>
      <c r="J739" s="72"/>
      <c r="K739" s="72"/>
      <c r="L739" s="72"/>
      <c r="M739" s="72"/>
      <c r="N739" s="72"/>
      <c r="O739" s="13" t="s">
        <v>278</v>
      </c>
      <c r="P739" s="73">
        <v>16</v>
      </c>
      <c r="Q739" s="73"/>
      <c r="R739" s="11"/>
      <c r="S739" s="11" t="s">
        <v>282</v>
      </c>
      <c r="T739" s="11"/>
      <c r="U739" s="11"/>
      <c r="V739" s="11"/>
      <c r="W739" s="11"/>
      <c r="X739" s="11"/>
      <c r="Y739" s="73">
        <v>4</v>
      </c>
      <c r="Z739" s="73"/>
      <c r="AA739" s="11" t="s">
        <v>433</v>
      </c>
      <c r="AB739" s="11"/>
      <c r="AC739" s="11"/>
      <c r="AD739" s="11"/>
      <c r="AE739" s="11"/>
      <c r="AF739" s="11"/>
      <c r="AG739" s="11"/>
      <c r="AH739" s="11"/>
      <c r="AI739" s="11"/>
      <c r="AJ739" s="11"/>
      <c r="AK739" s="11"/>
      <c r="AL739" s="11"/>
      <c r="AM739" s="11"/>
      <c r="AN739" s="11"/>
      <c r="AO739" s="11"/>
      <c r="AP739" s="11"/>
      <c r="AQ739" s="11"/>
      <c r="AR739" s="11"/>
      <c r="AS739" s="11"/>
      <c r="AT739" s="11"/>
      <c r="AU739" s="11"/>
      <c r="AV739" s="11"/>
      <c r="AW739" s="11"/>
      <c r="AX739" s="11"/>
      <c r="AY739" s="11"/>
      <c r="AZ739" s="11"/>
      <c r="BA739" s="12"/>
      <c r="BB739" s="63" t="s">
        <v>276</v>
      </c>
      <c r="BC739" s="63"/>
      <c r="BD739" s="63"/>
      <c r="BE739" s="63" cm="1">
        <f t="array" ref="BE739">INDEX(AZ600:AZ610,MATCH(C621,AY600:AY610,0),0)*2*3*2*Y739</f>
        <v>144</v>
      </c>
      <c r="BF739" s="63"/>
      <c r="BG739" s="63"/>
      <c r="BH739" s="62" t="s">
        <v>276</v>
      </c>
      <c r="BI739" s="62"/>
      <c r="BJ739" s="62"/>
      <c r="BK739" s="62" t="s">
        <v>276</v>
      </c>
      <c r="BL739" s="62"/>
      <c r="BM739" s="62"/>
      <c r="BN739" s="63" t="s">
        <v>276</v>
      </c>
      <c r="BO739" s="63"/>
      <c r="BP739" s="63"/>
      <c r="BQ739" s="63"/>
      <c r="BR739" s="64">
        <v>105</v>
      </c>
      <c r="BS739" s="64"/>
      <c r="BT739" s="64"/>
      <c r="BU739" s="64"/>
      <c r="BV739" s="64"/>
      <c r="BW739" s="64"/>
      <c r="BX739" s="65">
        <f t="shared" si="55"/>
        <v>15120</v>
      </c>
      <c r="BY739" s="65"/>
      <c r="BZ739" s="65"/>
      <c r="CA739" s="65"/>
      <c r="CB739" s="66"/>
    </row>
    <row r="740" spans="2:80" x14ac:dyDescent="0.2">
      <c r="B740" s="71" t="s">
        <v>478</v>
      </c>
      <c r="C740" s="72"/>
      <c r="D740" s="72"/>
      <c r="E740" s="72"/>
      <c r="F740" s="72"/>
      <c r="G740" s="72"/>
      <c r="H740" s="72"/>
      <c r="I740" s="72"/>
      <c r="J740" s="72"/>
      <c r="K740" s="72"/>
      <c r="L740" s="72"/>
      <c r="M740" s="72"/>
      <c r="N740" s="72"/>
      <c r="O740" s="13" t="s">
        <v>278</v>
      </c>
      <c r="P740" s="73">
        <v>12</v>
      </c>
      <c r="Q740" s="73"/>
      <c r="R740" s="11"/>
      <c r="S740" s="11" t="s">
        <v>282</v>
      </c>
      <c r="T740" s="11"/>
      <c r="U740" s="11"/>
      <c r="V740" s="11"/>
      <c r="W740" s="11"/>
      <c r="X740" s="11"/>
      <c r="Y740" s="73">
        <v>4</v>
      </c>
      <c r="Z740" s="73"/>
      <c r="AA740" s="11" t="s">
        <v>433</v>
      </c>
      <c r="AB740" s="11"/>
      <c r="AC740" s="11"/>
      <c r="AD740" s="11"/>
      <c r="AE740" s="11"/>
      <c r="AF740" s="11"/>
      <c r="AG740" s="11"/>
      <c r="AH740" s="11"/>
      <c r="AI740" s="11"/>
      <c r="AJ740" s="11"/>
      <c r="AK740" s="11"/>
      <c r="AL740" s="11"/>
      <c r="AM740" s="11"/>
      <c r="AN740" s="11"/>
      <c r="AO740" s="11"/>
      <c r="AP740" s="11"/>
      <c r="AQ740" s="11"/>
      <c r="AR740" s="11"/>
      <c r="AS740" s="11"/>
      <c r="AT740" s="11"/>
      <c r="AU740" s="11"/>
      <c r="AV740" s="11"/>
      <c r="AW740" s="11"/>
      <c r="AX740" s="11"/>
      <c r="AY740" s="11"/>
      <c r="AZ740" s="11"/>
      <c r="BA740" s="12"/>
      <c r="BB740" s="63" t="s">
        <v>276</v>
      </c>
      <c r="BC740" s="63"/>
      <c r="BD740" s="63"/>
      <c r="BE740" s="63" cm="1">
        <f t="array" ref="BE740">INDEX(BA600:BA610,MATCH(C621,AY600:AY610,0),0)*2*3*2*Y740</f>
        <v>192</v>
      </c>
      <c r="BF740" s="63"/>
      <c r="BG740" s="63"/>
      <c r="BH740" s="62" t="s">
        <v>276</v>
      </c>
      <c r="BI740" s="62"/>
      <c r="BJ740" s="62"/>
      <c r="BK740" s="62" t="s">
        <v>276</v>
      </c>
      <c r="BL740" s="62"/>
      <c r="BM740" s="62"/>
      <c r="BN740" s="63" t="s">
        <v>276</v>
      </c>
      <c r="BO740" s="63"/>
      <c r="BP740" s="63"/>
      <c r="BQ740" s="63"/>
      <c r="BR740" s="64">
        <v>105</v>
      </c>
      <c r="BS740" s="64"/>
      <c r="BT740" s="64"/>
      <c r="BU740" s="64"/>
      <c r="BV740" s="64"/>
      <c r="BW740" s="64"/>
      <c r="BX740" s="65">
        <f t="shared" si="55"/>
        <v>20160</v>
      </c>
      <c r="BY740" s="65"/>
      <c r="BZ740" s="65"/>
      <c r="CA740" s="65"/>
      <c r="CB740" s="66"/>
    </row>
    <row r="741" spans="2:80" x14ac:dyDescent="0.2">
      <c r="B741" s="71" t="s">
        <v>479</v>
      </c>
      <c r="C741" s="72"/>
      <c r="D741" s="72"/>
      <c r="E741" s="72"/>
      <c r="F741" s="72"/>
      <c r="G741" s="72"/>
      <c r="H741" s="72"/>
      <c r="I741" s="72"/>
      <c r="J741" s="72"/>
      <c r="K741" s="72"/>
      <c r="L741" s="72"/>
      <c r="M741" s="72"/>
      <c r="N741" s="72"/>
      <c r="O741" s="13" t="s">
        <v>278</v>
      </c>
      <c r="P741" s="73">
        <v>12</v>
      </c>
      <c r="Q741" s="73"/>
      <c r="R741" s="11"/>
      <c r="S741" s="11" t="s">
        <v>282</v>
      </c>
      <c r="T741" s="11"/>
      <c r="U741" s="11"/>
      <c r="V741" s="11"/>
      <c r="W741" s="11"/>
      <c r="X741" s="11"/>
      <c r="Y741" s="73">
        <v>4</v>
      </c>
      <c r="Z741" s="73"/>
      <c r="AA741" s="11" t="s">
        <v>433</v>
      </c>
      <c r="AB741" s="11"/>
      <c r="AC741" s="11"/>
      <c r="AD741" s="11"/>
      <c r="AE741" s="11"/>
      <c r="AF741" s="11"/>
      <c r="AG741" s="11"/>
      <c r="AH741" s="11"/>
      <c r="AI741" s="11"/>
      <c r="AJ741" s="11"/>
      <c r="AK741" s="11"/>
      <c r="AL741" s="11"/>
      <c r="AM741" s="11"/>
      <c r="AN741" s="11"/>
      <c r="AO741" s="11"/>
      <c r="AP741" s="11"/>
      <c r="AQ741" s="11"/>
      <c r="AR741" s="11"/>
      <c r="AS741" s="11"/>
      <c r="AT741" s="11"/>
      <c r="AU741" s="11"/>
      <c r="AV741" s="11"/>
      <c r="AW741" s="11"/>
      <c r="AX741" s="11"/>
      <c r="AY741" s="11"/>
      <c r="AZ741" s="11"/>
      <c r="BA741" s="12"/>
      <c r="BB741" s="63" t="s">
        <v>276</v>
      </c>
      <c r="BC741" s="63"/>
      <c r="BD741" s="63"/>
      <c r="BE741" s="63">
        <f>(36*2+8*2)*Y741</f>
        <v>352</v>
      </c>
      <c r="BF741" s="63"/>
      <c r="BG741" s="63"/>
      <c r="BH741" s="62" t="s">
        <v>276</v>
      </c>
      <c r="BI741" s="62"/>
      <c r="BJ741" s="62"/>
      <c r="BK741" s="62" t="s">
        <v>276</v>
      </c>
      <c r="BL741" s="62"/>
      <c r="BM741" s="62"/>
      <c r="BN741" s="63" t="s">
        <v>276</v>
      </c>
      <c r="BO741" s="63"/>
      <c r="BP741" s="63"/>
      <c r="BQ741" s="63"/>
      <c r="BR741" s="64">
        <v>105</v>
      </c>
      <c r="BS741" s="64"/>
      <c r="BT741" s="64"/>
      <c r="BU741" s="64"/>
      <c r="BV741" s="64"/>
      <c r="BW741" s="64"/>
      <c r="BX741" s="65">
        <f t="shared" si="55"/>
        <v>36960</v>
      </c>
      <c r="BY741" s="65"/>
      <c r="BZ741" s="65"/>
      <c r="CA741" s="65"/>
      <c r="CB741" s="66"/>
    </row>
    <row r="742" spans="2:80" x14ac:dyDescent="0.2">
      <c r="B742" s="71" t="s">
        <v>462</v>
      </c>
      <c r="C742" s="72"/>
      <c r="D742" s="72"/>
      <c r="E742" s="72"/>
      <c r="F742" s="72"/>
      <c r="G742" s="72"/>
      <c r="H742" s="72"/>
      <c r="I742" s="72"/>
      <c r="J742" s="72"/>
      <c r="K742" s="72"/>
      <c r="L742" s="72"/>
      <c r="M742" s="72"/>
      <c r="N742" s="72"/>
      <c r="O742" s="13" t="s">
        <v>278</v>
      </c>
      <c r="P742" s="73">
        <v>12</v>
      </c>
      <c r="Q742" s="73"/>
      <c r="R742" s="11"/>
      <c r="S742" s="11" t="s">
        <v>282</v>
      </c>
      <c r="T742" s="11"/>
      <c r="U742" s="11"/>
      <c r="V742" s="11"/>
      <c r="W742" s="11"/>
      <c r="X742" s="11"/>
      <c r="Y742" s="73">
        <v>2</v>
      </c>
      <c r="Z742" s="73"/>
      <c r="AA742" s="11" t="s">
        <v>433</v>
      </c>
      <c r="AB742" s="11"/>
      <c r="AC742" s="11"/>
      <c r="AD742" s="11"/>
      <c r="AE742" s="11"/>
      <c r="AF742" s="11"/>
      <c r="AG742" s="11"/>
      <c r="AH742" s="11"/>
      <c r="AI742" s="11"/>
      <c r="AJ742" s="11"/>
      <c r="AK742" s="11"/>
      <c r="AL742" s="11"/>
      <c r="AM742" s="11"/>
      <c r="AN742" s="11"/>
      <c r="AO742" s="11"/>
      <c r="AP742" s="11"/>
      <c r="AQ742" s="11"/>
      <c r="AR742" s="11"/>
      <c r="AS742" s="11"/>
      <c r="AT742" s="11"/>
      <c r="AU742" s="11"/>
      <c r="AV742" s="11"/>
      <c r="AW742" s="11"/>
      <c r="AX742" s="11"/>
      <c r="AY742" s="11"/>
      <c r="AZ742" s="11"/>
      <c r="BA742" s="12"/>
      <c r="BB742" s="63" t="s">
        <v>276</v>
      </c>
      <c r="BC742" s="63"/>
      <c r="BD742" s="63"/>
      <c r="BE742" s="63">
        <f>(29*2*2+7*2*2)*Y742</f>
        <v>288</v>
      </c>
      <c r="BF742" s="63"/>
      <c r="BG742" s="63"/>
      <c r="BH742" s="62" t="s">
        <v>276</v>
      </c>
      <c r="BI742" s="62"/>
      <c r="BJ742" s="62"/>
      <c r="BK742" s="62" t="s">
        <v>276</v>
      </c>
      <c r="BL742" s="62"/>
      <c r="BM742" s="62"/>
      <c r="BN742" s="63" t="s">
        <v>276</v>
      </c>
      <c r="BO742" s="63"/>
      <c r="BP742" s="63"/>
      <c r="BQ742" s="63"/>
      <c r="BR742" s="64">
        <v>105</v>
      </c>
      <c r="BS742" s="64"/>
      <c r="BT742" s="64"/>
      <c r="BU742" s="64"/>
      <c r="BV742" s="64"/>
      <c r="BW742" s="64"/>
      <c r="BX742" s="65">
        <f t="shared" si="55"/>
        <v>30240</v>
      </c>
      <c r="BY742" s="65"/>
      <c r="BZ742" s="65"/>
      <c r="CA742" s="65"/>
      <c r="CB742" s="66"/>
    </row>
    <row r="743" spans="2:80" x14ac:dyDescent="0.2">
      <c r="B743" s="71" t="s">
        <v>299</v>
      </c>
      <c r="C743" s="72"/>
      <c r="D743" s="72"/>
      <c r="E743" s="72"/>
      <c r="F743" s="72"/>
      <c r="G743" s="72"/>
      <c r="H743" s="72"/>
      <c r="I743" s="72"/>
      <c r="J743" s="72"/>
      <c r="K743" s="72"/>
      <c r="L743" s="72"/>
      <c r="M743" s="72"/>
      <c r="N743" s="72"/>
      <c r="O743" s="111">
        <v>22</v>
      </c>
      <c r="P743" s="112"/>
      <c r="Q743" s="11" t="s">
        <v>272</v>
      </c>
      <c r="R743" s="11"/>
      <c r="S743" s="11" t="s">
        <v>282</v>
      </c>
      <c r="T743" s="11"/>
      <c r="U743" s="11"/>
      <c r="V743" s="11"/>
      <c r="W743" s="11"/>
      <c r="X743" s="11"/>
      <c r="Y743" s="73">
        <v>8</v>
      </c>
      <c r="Z743" s="73"/>
      <c r="AA743" s="11" t="s">
        <v>433</v>
      </c>
      <c r="AB743" s="11"/>
      <c r="AC743" s="11"/>
      <c r="AD743" s="11"/>
      <c r="AE743" s="11"/>
      <c r="AF743" s="11"/>
      <c r="AG743" s="11"/>
      <c r="AH743" s="11"/>
      <c r="AI743" s="11"/>
      <c r="AJ743" s="11"/>
      <c r="AK743" s="11"/>
      <c r="AL743" s="11"/>
      <c r="AM743" s="11"/>
      <c r="AN743" s="11"/>
      <c r="AO743" s="11"/>
      <c r="AP743" s="11"/>
      <c r="AQ743" s="11"/>
      <c r="AR743" s="11"/>
      <c r="AS743" s="11"/>
      <c r="AT743" s="11"/>
      <c r="AU743" s="11"/>
      <c r="AV743" s="11"/>
      <c r="AW743" s="11"/>
      <c r="AX743" s="11"/>
      <c r="AY743" s="11"/>
      <c r="AZ743" s="11"/>
      <c r="BA743" s="12"/>
      <c r="BB743" s="63" t="s">
        <v>276</v>
      </c>
      <c r="BC743" s="63"/>
      <c r="BD743" s="63"/>
      <c r="BE743" s="63">
        <f>+BE704*Y743</f>
        <v>128</v>
      </c>
      <c r="BF743" s="63"/>
      <c r="BG743" s="63"/>
      <c r="BH743" s="62" t="s">
        <v>276</v>
      </c>
      <c r="BI743" s="62"/>
      <c r="BJ743" s="62"/>
      <c r="BK743" s="62" t="s">
        <v>276</v>
      </c>
      <c r="BL743" s="62"/>
      <c r="BM743" s="62"/>
      <c r="BN743" s="63" t="s">
        <v>276</v>
      </c>
      <c r="BO743" s="63"/>
      <c r="BP743" s="63"/>
      <c r="BQ743" s="63"/>
      <c r="BR743" s="64">
        <v>1800</v>
      </c>
      <c r="BS743" s="64"/>
      <c r="BT743" s="64"/>
      <c r="BU743" s="64"/>
      <c r="BV743" s="64"/>
      <c r="BW743" s="64"/>
      <c r="BX743" s="65">
        <f t="shared" si="55"/>
        <v>230400</v>
      </c>
      <c r="BY743" s="65"/>
      <c r="BZ743" s="65"/>
      <c r="CA743" s="65"/>
      <c r="CB743" s="66"/>
    </row>
    <row r="744" spans="2:80" x14ac:dyDescent="0.2">
      <c r="B744" s="71" t="s">
        <v>443</v>
      </c>
      <c r="C744" s="72"/>
      <c r="D744" s="72"/>
      <c r="E744" s="72"/>
      <c r="F744" s="72"/>
      <c r="G744" s="72"/>
      <c r="H744" s="72"/>
      <c r="I744" s="72"/>
      <c r="J744" s="72"/>
      <c r="K744" s="72"/>
      <c r="L744" s="72"/>
      <c r="M744" s="72"/>
      <c r="N744" s="72"/>
      <c r="O744" s="111">
        <v>20</v>
      </c>
      <c r="P744" s="112"/>
      <c r="Q744" s="11" t="s">
        <v>272</v>
      </c>
      <c r="R744" s="11"/>
      <c r="S744" s="11" t="s">
        <v>282</v>
      </c>
      <c r="T744" s="11"/>
      <c r="U744" s="11"/>
      <c r="V744" s="11"/>
      <c r="W744" s="11"/>
      <c r="X744" s="11"/>
      <c r="Y744" s="73">
        <v>2</v>
      </c>
      <c r="Z744" s="73"/>
      <c r="AA744" s="11" t="s">
        <v>433</v>
      </c>
      <c r="AB744" s="11"/>
      <c r="AC744" s="11"/>
      <c r="AD744" s="11"/>
      <c r="AE744" s="11"/>
      <c r="AF744" s="11"/>
      <c r="AG744" s="11"/>
      <c r="AH744" s="11"/>
      <c r="AI744" s="11"/>
      <c r="AJ744" s="11"/>
      <c r="AK744" s="11"/>
      <c r="AL744" s="11"/>
      <c r="AM744" s="11"/>
      <c r="AN744" s="11"/>
      <c r="AO744" s="11"/>
      <c r="AP744" s="11"/>
      <c r="AQ744" s="11"/>
      <c r="AR744" s="11"/>
      <c r="AS744" s="11"/>
      <c r="AT744" s="11"/>
      <c r="AU744" s="11"/>
      <c r="AV744" s="11"/>
      <c r="AW744" s="11"/>
      <c r="AX744" s="11"/>
      <c r="AY744" s="11"/>
      <c r="AZ744" s="11"/>
      <c r="BA744" s="12"/>
      <c r="BB744" s="63" t="s">
        <v>276</v>
      </c>
      <c r="BC744" s="63"/>
      <c r="BD744" s="63"/>
      <c r="BE744" s="63">
        <f>12*Y744</f>
        <v>24</v>
      </c>
      <c r="BF744" s="63"/>
      <c r="BG744" s="63"/>
      <c r="BH744" s="62" t="s">
        <v>276</v>
      </c>
      <c r="BI744" s="62"/>
      <c r="BJ744" s="62"/>
      <c r="BK744" s="62" t="s">
        <v>276</v>
      </c>
      <c r="BL744" s="62"/>
      <c r="BM744" s="62"/>
      <c r="BN744" s="63" t="s">
        <v>276</v>
      </c>
      <c r="BO744" s="63"/>
      <c r="BP744" s="63"/>
      <c r="BQ744" s="63"/>
      <c r="BR744" s="64">
        <v>1500</v>
      </c>
      <c r="BS744" s="64"/>
      <c r="BT744" s="64"/>
      <c r="BU744" s="64"/>
      <c r="BV744" s="64"/>
      <c r="BW744" s="64"/>
      <c r="BX744" s="65">
        <f t="shared" si="55"/>
        <v>36000</v>
      </c>
      <c r="BY744" s="65"/>
      <c r="BZ744" s="65"/>
      <c r="CA744" s="65"/>
      <c r="CB744" s="66"/>
    </row>
    <row r="745" spans="2:80" x14ac:dyDescent="0.2">
      <c r="B745" s="71" t="s">
        <v>292</v>
      </c>
      <c r="C745" s="72"/>
      <c r="D745" s="72"/>
      <c r="E745" s="72"/>
      <c r="F745" s="72"/>
      <c r="G745" s="72"/>
      <c r="H745" s="72"/>
      <c r="I745" s="72"/>
      <c r="J745" s="72"/>
      <c r="K745" s="72"/>
      <c r="L745" s="72"/>
      <c r="M745" s="72"/>
      <c r="N745" s="72"/>
      <c r="O745" s="144" t="s">
        <v>464</v>
      </c>
      <c r="P745" s="145"/>
      <c r="Q745" s="145"/>
      <c r="R745" s="145"/>
      <c r="S745" s="145"/>
      <c r="T745" s="145"/>
      <c r="U745" s="11" t="s">
        <v>295</v>
      </c>
      <c r="V745" s="19"/>
      <c r="W745" s="61">
        <f>N580*C611*2</f>
        <v>1013.0274626089857</v>
      </c>
      <c r="X745" s="61"/>
      <c r="Y745" s="61"/>
      <c r="Z745" s="11" t="s">
        <v>294</v>
      </c>
      <c r="AA745" s="11"/>
      <c r="AB745" s="11"/>
      <c r="AC745" s="11"/>
      <c r="AD745" s="11"/>
      <c r="AE745" s="11"/>
      <c r="AF745" s="11"/>
      <c r="AG745" s="11"/>
      <c r="AH745" s="11"/>
      <c r="AI745" s="11"/>
      <c r="AJ745" s="11"/>
      <c r="AK745" s="11"/>
      <c r="AL745" s="11"/>
      <c r="AM745" s="11"/>
      <c r="AN745" s="11"/>
      <c r="AO745" s="11"/>
      <c r="AP745" s="11"/>
      <c r="AQ745" s="11"/>
      <c r="AR745" s="11"/>
      <c r="AS745" s="11"/>
      <c r="AT745" s="11"/>
      <c r="AU745" s="11"/>
      <c r="AV745" s="11"/>
      <c r="AW745" s="11"/>
      <c r="AX745" s="11"/>
      <c r="AY745" s="11"/>
      <c r="AZ745" s="11"/>
      <c r="BA745" s="12"/>
      <c r="BB745" s="63" t="s">
        <v>276</v>
      </c>
      <c r="BC745" s="63"/>
      <c r="BD745" s="63"/>
      <c r="BE745" s="63">
        <v>1</v>
      </c>
      <c r="BF745" s="63"/>
      <c r="BG745" s="63"/>
      <c r="BH745" s="62" t="s">
        <v>276</v>
      </c>
      <c r="BI745" s="62"/>
      <c r="BJ745" s="62"/>
      <c r="BK745" s="62" t="s">
        <v>276</v>
      </c>
      <c r="BL745" s="62"/>
      <c r="BM745" s="62"/>
      <c r="BN745" s="63" t="s">
        <v>276</v>
      </c>
      <c r="BO745" s="63"/>
      <c r="BP745" s="63"/>
      <c r="BQ745" s="63"/>
      <c r="BR745" s="87">
        <v>200</v>
      </c>
      <c r="BS745" s="87"/>
      <c r="BT745" s="87"/>
      <c r="BU745" s="87"/>
      <c r="BV745" s="87"/>
      <c r="BW745" s="87"/>
      <c r="BX745" s="65">
        <f>W745*BR745*BE745</f>
        <v>202605.49252179713</v>
      </c>
      <c r="BY745" s="65"/>
      <c r="BZ745" s="65"/>
      <c r="CA745" s="65"/>
      <c r="CB745" s="66"/>
    </row>
    <row r="746" spans="2:80" x14ac:dyDescent="0.2">
      <c r="B746" s="71" t="s">
        <v>293</v>
      </c>
      <c r="C746" s="72"/>
      <c r="D746" s="72"/>
      <c r="E746" s="72"/>
      <c r="F746" s="72"/>
      <c r="G746" s="72"/>
      <c r="H746" s="72"/>
      <c r="I746" s="72"/>
      <c r="J746" s="72"/>
      <c r="K746" s="72"/>
      <c r="L746" s="72"/>
      <c r="M746" s="72"/>
      <c r="N746" s="72"/>
      <c r="O746" s="144" t="s">
        <v>465</v>
      </c>
      <c r="P746" s="145"/>
      <c r="Q746" s="145"/>
      <c r="R746" s="145"/>
      <c r="S746" s="145"/>
      <c r="T746" s="145"/>
      <c r="U746" s="11" t="s">
        <v>295</v>
      </c>
      <c r="V746" s="19"/>
      <c r="W746" s="61">
        <f>C611*E583*2+2*(E583*S591+S591*E577/2)-2*S651*AH646</f>
        <v>1044.8</v>
      </c>
      <c r="X746" s="61"/>
      <c r="Y746" s="61"/>
      <c r="Z746" s="11" t="s">
        <v>294</v>
      </c>
      <c r="AA746" s="11"/>
      <c r="AB746" s="11"/>
      <c r="AC746" s="11"/>
      <c r="AD746" s="11"/>
      <c r="AE746" s="11"/>
      <c r="AF746" s="11"/>
      <c r="AG746" s="11"/>
      <c r="AH746" s="11"/>
      <c r="AI746" s="11"/>
      <c r="AJ746" s="11"/>
      <c r="AK746" s="11"/>
      <c r="AL746" s="11"/>
      <c r="AM746" s="11"/>
      <c r="AN746" s="11"/>
      <c r="AO746" s="11"/>
      <c r="AP746" s="11"/>
      <c r="AQ746" s="11"/>
      <c r="AR746" s="11"/>
      <c r="AS746" s="11"/>
      <c r="AT746" s="11"/>
      <c r="AU746" s="11"/>
      <c r="AV746" s="11"/>
      <c r="AW746" s="11"/>
      <c r="AX746" s="11"/>
      <c r="AY746" s="11"/>
      <c r="AZ746" s="11"/>
      <c r="BA746" s="12"/>
      <c r="BB746" s="63" t="s">
        <v>276</v>
      </c>
      <c r="BC746" s="63"/>
      <c r="BD746" s="63"/>
      <c r="BE746" s="63">
        <v>1</v>
      </c>
      <c r="BF746" s="63"/>
      <c r="BG746" s="63"/>
      <c r="BH746" s="62" t="s">
        <v>276</v>
      </c>
      <c r="BI746" s="62"/>
      <c r="BJ746" s="62"/>
      <c r="BK746" s="62" t="s">
        <v>276</v>
      </c>
      <c r="BL746" s="62"/>
      <c r="BM746" s="62"/>
      <c r="BN746" s="63" t="s">
        <v>276</v>
      </c>
      <c r="BO746" s="63"/>
      <c r="BP746" s="63"/>
      <c r="BQ746" s="63"/>
      <c r="BR746" s="87">
        <v>1000</v>
      </c>
      <c r="BS746" s="87"/>
      <c r="BT746" s="87"/>
      <c r="BU746" s="87"/>
      <c r="BV746" s="87"/>
      <c r="BW746" s="87"/>
      <c r="BX746" s="65">
        <f>W746*BR746*BE746</f>
        <v>1044800</v>
      </c>
      <c r="BY746" s="65"/>
      <c r="BZ746" s="65"/>
      <c r="CA746" s="65"/>
      <c r="CB746" s="66"/>
    </row>
    <row r="747" spans="2:80" x14ac:dyDescent="0.2">
      <c r="B747" s="71" t="s">
        <v>296</v>
      </c>
      <c r="C747" s="72"/>
      <c r="D747" s="72"/>
      <c r="E747" s="72"/>
      <c r="F747" s="72"/>
      <c r="G747" s="72"/>
      <c r="H747" s="72"/>
      <c r="I747" s="72"/>
      <c r="J747" s="72"/>
      <c r="K747" s="72"/>
      <c r="L747" s="72"/>
      <c r="M747" s="72"/>
      <c r="N747" s="72"/>
      <c r="O747" s="120" t="s">
        <v>297</v>
      </c>
      <c r="P747" s="73"/>
      <c r="Q747" s="73"/>
      <c r="R747" s="11" t="s">
        <v>295</v>
      </c>
      <c r="S747" s="19"/>
      <c r="T747" s="61">
        <f>S651*AH646</f>
        <v>20</v>
      </c>
      <c r="U747" s="61"/>
      <c r="V747" s="61"/>
      <c r="W747" s="11" t="s">
        <v>294</v>
      </c>
      <c r="X747" s="11"/>
      <c r="Y747" s="11" t="s">
        <v>274</v>
      </c>
      <c r="Z747" s="73">
        <v>2</v>
      </c>
      <c r="AA747" s="73"/>
      <c r="AB747" s="11" t="s">
        <v>272</v>
      </c>
      <c r="AC747" s="11"/>
      <c r="AD747" s="11"/>
      <c r="AE747" s="11"/>
      <c r="AF747" s="11"/>
      <c r="AG747" s="11"/>
      <c r="AH747" s="11"/>
      <c r="AI747" s="11"/>
      <c r="AJ747" s="11"/>
      <c r="AK747" s="11"/>
      <c r="AL747" s="11"/>
      <c r="AM747" s="11"/>
      <c r="AN747" s="11"/>
      <c r="AO747" s="11"/>
      <c r="AP747" s="11"/>
      <c r="AQ747" s="11"/>
      <c r="AR747" s="11"/>
      <c r="AS747" s="11"/>
      <c r="AT747" s="11"/>
      <c r="AU747" s="11"/>
      <c r="AV747" s="11"/>
      <c r="AW747" s="11"/>
      <c r="AX747" s="11"/>
      <c r="AY747" s="11"/>
      <c r="AZ747" s="11"/>
      <c r="BA747" s="12"/>
      <c r="BB747" s="63" t="s">
        <v>276</v>
      </c>
      <c r="BC747" s="63"/>
      <c r="BD747" s="63"/>
      <c r="BE747" s="63">
        <v>2</v>
      </c>
      <c r="BF747" s="63"/>
      <c r="BG747" s="63"/>
      <c r="BH747" s="62" t="s">
        <v>276</v>
      </c>
      <c r="BI747" s="62"/>
      <c r="BJ747" s="62"/>
      <c r="BK747" s="62" t="s">
        <v>276</v>
      </c>
      <c r="BL747" s="62"/>
      <c r="BM747" s="62"/>
      <c r="BN747" s="83">
        <f>7850*T747*Z747/1000*BE747</f>
        <v>628</v>
      </c>
      <c r="BO747" s="83"/>
      <c r="BP747" s="83"/>
      <c r="BQ747" s="83"/>
      <c r="BR747" s="84">
        <v>28</v>
      </c>
      <c r="BS747" s="84"/>
      <c r="BT747" s="84"/>
      <c r="BU747" s="84"/>
      <c r="BV747" s="84"/>
      <c r="BW747" s="84"/>
      <c r="BX747" s="65">
        <f>BN747*BR747</f>
        <v>17584</v>
      </c>
      <c r="BY747" s="65"/>
      <c r="BZ747" s="65"/>
      <c r="CA747" s="65"/>
      <c r="CB747" s="66"/>
    </row>
    <row r="748" spans="2:80" x14ac:dyDescent="0.2">
      <c r="B748" s="14"/>
      <c r="BG748" s="133" t="s">
        <v>301</v>
      </c>
      <c r="BH748" s="133"/>
      <c r="BI748" s="133"/>
      <c r="BJ748" s="133"/>
      <c r="BK748" s="133"/>
      <c r="BL748" s="133"/>
      <c r="BM748" s="133"/>
      <c r="BN748" s="132">
        <f>SUM(BN701:BQ747)</f>
        <v>67344.485784540346</v>
      </c>
      <c r="BO748" s="133"/>
      <c r="BP748" s="133"/>
      <c r="BQ748" s="133"/>
      <c r="BS748" s="133" t="s">
        <v>484</v>
      </c>
      <c r="BT748" s="133"/>
      <c r="BU748" s="133"/>
      <c r="BV748" s="133"/>
      <c r="BW748" s="133"/>
      <c r="BX748" s="138">
        <f>SUM(BX701:CB747)</f>
        <v>3590318.9634347931</v>
      </c>
      <c r="BY748" s="138"/>
      <c r="BZ748" s="138"/>
      <c r="CA748" s="138"/>
      <c r="CB748" s="139"/>
    </row>
    <row r="749" spans="2:80" x14ac:dyDescent="0.2">
      <c r="B749" s="14"/>
      <c r="O749" s="44" t="s">
        <v>567</v>
      </c>
      <c r="BG749" s="133" t="s">
        <v>302</v>
      </c>
      <c r="BH749" s="133"/>
      <c r="BI749" s="133"/>
      <c r="BJ749" s="133"/>
      <c r="BK749" s="133"/>
      <c r="BL749" s="133"/>
      <c r="BM749" s="133"/>
      <c r="BN749" s="132">
        <f>+BN748/1000</f>
        <v>67.344485784540339</v>
      </c>
      <c r="BO749" s="133"/>
      <c r="BP749" s="133"/>
      <c r="BQ749" s="133"/>
      <c r="BS749" s="133" t="s">
        <v>485</v>
      </c>
      <c r="BT749" s="133"/>
      <c r="BU749" s="133"/>
      <c r="BV749" s="133"/>
      <c r="BW749" s="133"/>
      <c r="BX749" s="138">
        <f>BX748*0.18</f>
        <v>646257.41341826273</v>
      </c>
      <c r="BY749" s="138"/>
      <c r="BZ749" s="138"/>
      <c r="CA749" s="138"/>
      <c r="CB749" s="139"/>
    </row>
    <row r="750" spans="2:80" x14ac:dyDescent="0.2">
      <c r="B750" s="14"/>
      <c r="BG750" s="133" t="s">
        <v>411</v>
      </c>
      <c r="BH750" s="133"/>
      <c r="BI750" s="133"/>
      <c r="BJ750" s="133"/>
      <c r="BK750" s="133"/>
      <c r="BL750" s="133"/>
      <c r="BM750" s="133"/>
      <c r="BN750" s="186">
        <f>C611*S594</f>
        <v>1008</v>
      </c>
      <c r="BO750" s="186"/>
      <c r="BP750" s="186"/>
      <c r="BQ750" s="186"/>
      <c r="BS750" s="133" t="s">
        <v>486</v>
      </c>
      <c r="BT750" s="133"/>
      <c r="BU750" s="133"/>
      <c r="BV750" s="133"/>
      <c r="BW750" s="133"/>
      <c r="BX750" s="140">
        <f>+BX749+BX748</f>
        <v>4236576.3768530563</v>
      </c>
      <c r="BY750" s="140"/>
      <c r="BZ750" s="140"/>
      <c r="CA750" s="140"/>
      <c r="CB750" s="141"/>
    </row>
    <row r="751" spans="2:80" x14ac:dyDescent="0.2">
      <c r="B751" s="53" t="s">
        <v>545</v>
      </c>
      <c r="BG751" s="133" t="s">
        <v>412</v>
      </c>
      <c r="BH751" s="133"/>
      <c r="BI751" s="133"/>
      <c r="BJ751" s="133"/>
      <c r="BK751" s="133"/>
      <c r="BL751" s="133"/>
      <c r="BM751" s="133"/>
      <c r="BN751" s="137">
        <f>+BN748/BN750</f>
        <v>66.81000573863129</v>
      </c>
      <c r="BO751" s="137"/>
      <c r="BP751" s="137"/>
      <c r="BQ751" s="137"/>
      <c r="CB751" s="15"/>
    </row>
    <row r="752" spans="2:80" x14ac:dyDescent="0.2">
      <c r="B752" s="71" t="s">
        <v>490</v>
      </c>
      <c r="C752" s="72"/>
      <c r="D752" s="72"/>
      <c r="E752" s="72"/>
      <c r="F752" s="72"/>
      <c r="G752" s="72"/>
      <c r="H752" s="72"/>
      <c r="I752" s="72"/>
      <c r="J752" s="72"/>
      <c r="K752" s="72"/>
      <c r="L752" s="72"/>
      <c r="M752" s="72"/>
      <c r="N752" s="72"/>
      <c r="O752" s="69">
        <f>+K693</f>
        <v>0.9</v>
      </c>
      <c r="P752" s="61"/>
      <c r="Q752" s="11" t="s">
        <v>0</v>
      </c>
      <c r="R752" s="19" t="s">
        <v>491</v>
      </c>
      <c r="S752" s="61">
        <f>+C683</f>
        <v>0.9</v>
      </c>
      <c r="T752" s="61"/>
      <c r="U752" s="11" t="s">
        <v>0</v>
      </c>
      <c r="V752" s="19" t="s">
        <v>491</v>
      </c>
      <c r="W752" s="61">
        <f>+Q661</f>
        <v>0.8</v>
      </c>
      <c r="X752" s="61"/>
      <c r="Y752" s="11" t="s">
        <v>0</v>
      </c>
      <c r="Z752" s="19" t="s">
        <v>491</v>
      </c>
      <c r="AA752" s="61">
        <f>(C621+1)*2+6*2</f>
        <v>28</v>
      </c>
      <c r="AB752" s="61"/>
      <c r="AC752" s="11" t="s">
        <v>433</v>
      </c>
      <c r="AD752" s="11"/>
      <c r="AE752" s="19" t="s">
        <v>2</v>
      </c>
      <c r="AF752" s="61">
        <f>O752*S752*W752*AA752</f>
        <v>18.144000000000005</v>
      </c>
      <c r="AG752" s="61"/>
      <c r="AH752" s="61"/>
      <c r="AI752" s="11" t="s">
        <v>492</v>
      </c>
      <c r="AJ752" s="11"/>
      <c r="AK752" s="11"/>
      <c r="AL752" s="11"/>
      <c r="AM752" s="11"/>
      <c r="AN752" s="11"/>
      <c r="AO752" s="11"/>
      <c r="AP752" s="11"/>
      <c r="AQ752" s="11"/>
      <c r="AR752" s="11"/>
      <c r="AS752" s="11"/>
      <c r="AT752" s="11"/>
      <c r="AU752" s="11"/>
      <c r="AV752" s="11"/>
      <c r="AW752" s="11"/>
      <c r="AX752" s="11"/>
      <c r="AY752" s="11"/>
      <c r="AZ752" s="11"/>
      <c r="BA752" s="12"/>
      <c r="BB752" s="63" t="s">
        <v>276</v>
      </c>
      <c r="BC752" s="63"/>
      <c r="BD752" s="63"/>
      <c r="BE752" s="63" t="s">
        <v>276</v>
      </c>
      <c r="BF752" s="63"/>
      <c r="BG752" s="63"/>
      <c r="BH752" s="62" t="s">
        <v>276</v>
      </c>
      <c r="BI752" s="62"/>
      <c r="BJ752" s="62"/>
      <c r="BK752" s="62" t="s">
        <v>276</v>
      </c>
      <c r="BL752" s="62"/>
      <c r="BM752" s="62"/>
      <c r="BN752" s="63" t="s">
        <v>276</v>
      </c>
      <c r="BO752" s="63"/>
      <c r="BP752" s="63"/>
      <c r="BQ752" s="63"/>
      <c r="BR752" s="142">
        <v>2600</v>
      </c>
      <c r="BS752" s="142"/>
      <c r="BT752" s="142"/>
      <c r="BU752" s="142"/>
      <c r="BV752" s="142"/>
      <c r="BW752" s="142"/>
      <c r="BX752" s="65">
        <f>AF752*BR752</f>
        <v>47174.400000000016</v>
      </c>
      <c r="BY752" s="65"/>
      <c r="BZ752" s="65"/>
      <c r="CA752" s="65"/>
      <c r="CB752" s="66"/>
    </row>
    <row r="753" spans="2:80" x14ac:dyDescent="0.2">
      <c r="B753" s="71" t="s">
        <v>493</v>
      </c>
      <c r="C753" s="72"/>
      <c r="D753" s="72"/>
      <c r="E753" s="72"/>
      <c r="F753" s="72"/>
      <c r="G753" s="72"/>
      <c r="H753" s="72"/>
      <c r="I753" s="72"/>
      <c r="J753" s="72"/>
      <c r="K753" s="72"/>
      <c r="L753" s="72"/>
      <c r="M753" s="72"/>
      <c r="N753" s="72"/>
      <c r="O753" s="69">
        <f>+R683</f>
        <v>2</v>
      </c>
      <c r="P753" s="61"/>
      <c r="Q753" s="11" t="s">
        <v>0</v>
      </c>
      <c r="R753" s="19" t="s">
        <v>491</v>
      </c>
      <c r="S753" s="61">
        <f>+K668</f>
        <v>2</v>
      </c>
      <c r="T753" s="61"/>
      <c r="U753" s="11" t="s">
        <v>0</v>
      </c>
      <c r="V753" s="19" t="s">
        <v>491</v>
      </c>
      <c r="W753" s="61">
        <f>+Q665</f>
        <v>0.4</v>
      </c>
      <c r="X753" s="61"/>
      <c r="Y753" s="11" t="s">
        <v>0</v>
      </c>
      <c r="Z753" s="19" t="s">
        <v>491</v>
      </c>
      <c r="AA753" s="61">
        <f>+AA752</f>
        <v>28</v>
      </c>
      <c r="AB753" s="61"/>
      <c r="AC753" s="11" t="s">
        <v>433</v>
      </c>
      <c r="AD753" s="11"/>
      <c r="AE753" s="19" t="s">
        <v>2</v>
      </c>
      <c r="AF753" s="61">
        <f>O753*S753*W753*AA753</f>
        <v>44.800000000000004</v>
      </c>
      <c r="AG753" s="61"/>
      <c r="AH753" s="61"/>
      <c r="AI753" s="11" t="s">
        <v>492</v>
      </c>
      <c r="AJ753" s="11"/>
      <c r="AK753" s="11"/>
      <c r="AL753" s="11"/>
      <c r="AM753" s="11"/>
      <c r="AN753" s="11"/>
      <c r="AO753" s="11"/>
      <c r="AP753" s="11"/>
      <c r="AQ753" s="11"/>
      <c r="AR753" s="11"/>
      <c r="AS753" s="11"/>
      <c r="AT753" s="11"/>
      <c r="AU753" s="11"/>
      <c r="AV753" s="11"/>
      <c r="AW753" s="11"/>
      <c r="AX753" s="11"/>
      <c r="AY753" s="11"/>
      <c r="AZ753" s="11"/>
      <c r="BA753" s="12"/>
      <c r="BB753" s="63" t="s">
        <v>276</v>
      </c>
      <c r="BC753" s="63"/>
      <c r="BD753" s="63"/>
      <c r="BE753" s="63" t="s">
        <v>276</v>
      </c>
      <c r="BF753" s="63"/>
      <c r="BG753" s="63"/>
      <c r="BH753" s="62" t="s">
        <v>276</v>
      </c>
      <c r="BI753" s="62"/>
      <c r="BJ753" s="62"/>
      <c r="BK753" s="62" t="s">
        <v>276</v>
      </c>
      <c r="BL753" s="62"/>
      <c r="BM753" s="62"/>
      <c r="BN753" s="63" t="s">
        <v>276</v>
      </c>
      <c r="BO753" s="63"/>
      <c r="BP753" s="63"/>
      <c r="BQ753" s="63"/>
      <c r="BR753" s="190">
        <v>2600</v>
      </c>
      <c r="BS753" s="190"/>
      <c r="BT753" s="190"/>
      <c r="BU753" s="190"/>
      <c r="BV753" s="190"/>
      <c r="BW753" s="190"/>
      <c r="BX753" s="65">
        <f>AF753*BR753</f>
        <v>116480.00000000001</v>
      </c>
      <c r="BY753" s="65"/>
      <c r="BZ753" s="65"/>
      <c r="CA753" s="65"/>
      <c r="CB753" s="66"/>
    </row>
    <row r="754" spans="2:80" x14ac:dyDescent="0.2">
      <c r="B754" s="71" t="s">
        <v>494</v>
      </c>
      <c r="C754" s="72"/>
      <c r="D754" s="72"/>
      <c r="E754" s="72"/>
      <c r="F754" s="72"/>
      <c r="G754" s="72"/>
      <c r="H754" s="72"/>
      <c r="I754" s="72"/>
      <c r="J754" s="72"/>
      <c r="K754" s="72"/>
      <c r="L754" s="72"/>
      <c r="M754" s="72"/>
      <c r="N754" s="72"/>
      <c r="O754" s="69">
        <f>+K691</f>
        <v>0.15</v>
      </c>
      <c r="P754" s="61"/>
      <c r="Q754" s="11" t="s">
        <v>0</v>
      </c>
      <c r="R754" s="19" t="s">
        <v>491</v>
      </c>
      <c r="S754" s="61">
        <f>+Q665+Q661</f>
        <v>1.2000000000000002</v>
      </c>
      <c r="T754" s="61"/>
      <c r="U754" s="11" t="s">
        <v>0</v>
      </c>
      <c r="V754" s="19" t="s">
        <v>491</v>
      </c>
      <c r="W754" s="61">
        <f>2*C611-2*C621*C683+2*S594-2*7*K693</f>
        <v>106.80000000000001</v>
      </c>
      <c r="X754" s="61"/>
      <c r="Y754" s="61"/>
      <c r="Z754" s="11" t="s">
        <v>0</v>
      </c>
      <c r="AA754" s="19" t="s">
        <v>276</v>
      </c>
      <c r="AB754" s="61">
        <f>+Q665</f>
        <v>0.4</v>
      </c>
      <c r="AC754" s="61"/>
      <c r="AD754" s="11" t="s">
        <v>0</v>
      </c>
      <c r="AE754" s="19" t="s">
        <v>491</v>
      </c>
      <c r="AF754" s="61">
        <f>(K668-K693)/2</f>
        <v>0.55000000000000004</v>
      </c>
      <c r="AG754" s="61"/>
      <c r="AH754" s="11" t="s">
        <v>0</v>
      </c>
      <c r="AI754" s="19" t="s">
        <v>491</v>
      </c>
      <c r="AJ754" s="61">
        <f>+O754</f>
        <v>0.15</v>
      </c>
      <c r="AK754" s="61"/>
      <c r="AL754" s="11" t="s">
        <v>0</v>
      </c>
      <c r="AM754" s="19" t="s">
        <v>491</v>
      </c>
      <c r="AN754" s="61">
        <f>2*C621*2+14*2</f>
        <v>56</v>
      </c>
      <c r="AO754" s="61"/>
      <c r="AP754" s="11" t="s">
        <v>433</v>
      </c>
      <c r="AQ754" s="11"/>
      <c r="AR754" s="19" t="s">
        <v>2</v>
      </c>
      <c r="AS754" s="61">
        <f>O754*S754*W754-AB754*AF754*AJ754*AN754</f>
        <v>17.376000000000005</v>
      </c>
      <c r="AT754" s="61"/>
      <c r="AU754" s="61"/>
      <c r="AV754" s="11" t="s">
        <v>492</v>
      </c>
      <c r="AW754" s="11"/>
      <c r="AX754" s="11"/>
      <c r="AY754" s="11"/>
      <c r="AZ754" s="11"/>
      <c r="BA754" s="12"/>
      <c r="BB754" s="63" t="s">
        <v>276</v>
      </c>
      <c r="BC754" s="63"/>
      <c r="BD754" s="63"/>
      <c r="BE754" s="63" t="s">
        <v>276</v>
      </c>
      <c r="BF754" s="63"/>
      <c r="BG754" s="63"/>
      <c r="BH754" s="62" t="s">
        <v>276</v>
      </c>
      <c r="BI754" s="62"/>
      <c r="BJ754" s="62"/>
      <c r="BK754" s="62" t="s">
        <v>276</v>
      </c>
      <c r="BL754" s="62"/>
      <c r="BM754" s="62"/>
      <c r="BN754" s="63" t="s">
        <v>276</v>
      </c>
      <c r="BO754" s="63"/>
      <c r="BP754" s="63"/>
      <c r="BQ754" s="63"/>
      <c r="BR754" s="190">
        <v>2600</v>
      </c>
      <c r="BS754" s="190"/>
      <c r="BT754" s="190"/>
      <c r="BU754" s="190"/>
      <c r="BV754" s="190"/>
      <c r="BW754" s="190"/>
      <c r="BX754" s="65">
        <f>AS754*BR754</f>
        <v>45177.600000000013</v>
      </c>
      <c r="BY754" s="65"/>
      <c r="BZ754" s="65"/>
      <c r="CA754" s="65"/>
      <c r="CB754" s="66"/>
    </row>
    <row r="755" spans="2:80" x14ac:dyDescent="0.2">
      <c r="B755" s="71" t="s">
        <v>495</v>
      </c>
      <c r="C755" s="72"/>
      <c r="D755" s="72"/>
      <c r="E755" s="72"/>
      <c r="F755" s="72"/>
      <c r="G755" s="72"/>
      <c r="H755" s="72"/>
      <c r="I755" s="72"/>
      <c r="J755" s="72"/>
      <c r="K755" s="72"/>
      <c r="L755" s="72"/>
      <c r="M755" s="72"/>
      <c r="N755" s="72"/>
      <c r="O755" s="114">
        <f>+C611</f>
        <v>42</v>
      </c>
      <c r="P755" s="115"/>
      <c r="Q755" s="46" t="s">
        <v>0</v>
      </c>
      <c r="R755" s="45" t="s">
        <v>491</v>
      </c>
      <c r="S755" s="115">
        <f>+S594</f>
        <v>24</v>
      </c>
      <c r="T755" s="115"/>
      <c r="U755" s="46" t="s">
        <v>0</v>
      </c>
      <c r="V755" s="45" t="s">
        <v>491</v>
      </c>
      <c r="W755" s="115">
        <f>+D658</f>
        <v>0.15</v>
      </c>
      <c r="X755" s="115"/>
      <c r="Y755" s="46" t="s">
        <v>0</v>
      </c>
      <c r="Z755" s="45" t="s">
        <v>2</v>
      </c>
      <c r="AA755" s="115">
        <f>O755*S755*W755</f>
        <v>151.19999999999999</v>
      </c>
      <c r="AB755" s="115"/>
      <c r="AC755" s="115"/>
      <c r="AD755" s="46" t="s">
        <v>492</v>
      </c>
      <c r="AJ755" s="46"/>
      <c r="AK755" s="46"/>
      <c r="AL755" s="46"/>
      <c r="AM755" s="46"/>
      <c r="AN755" s="46"/>
      <c r="AO755" s="46"/>
      <c r="AP755" s="46"/>
      <c r="AQ755" s="46"/>
      <c r="AR755" s="46"/>
      <c r="AS755" s="46"/>
      <c r="AT755" s="46"/>
      <c r="AU755" s="46"/>
      <c r="AV755" s="46"/>
      <c r="AW755" s="46"/>
      <c r="AX755" s="46"/>
      <c r="AY755" s="46"/>
      <c r="AZ755" s="46"/>
      <c r="BA755" s="47"/>
      <c r="BB755" s="209" t="s">
        <v>276</v>
      </c>
      <c r="BC755" s="209"/>
      <c r="BD755" s="209"/>
      <c r="BE755" s="209" t="s">
        <v>276</v>
      </c>
      <c r="BF755" s="209"/>
      <c r="BG755" s="209"/>
      <c r="BH755" s="210" t="s">
        <v>276</v>
      </c>
      <c r="BI755" s="210"/>
      <c r="BJ755" s="210"/>
      <c r="BK755" s="210" t="s">
        <v>276</v>
      </c>
      <c r="BL755" s="210"/>
      <c r="BM755" s="210"/>
      <c r="BN755" s="209" t="s">
        <v>276</v>
      </c>
      <c r="BO755" s="209"/>
      <c r="BP755" s="209"/>
      <c r="BQ755" s="209"/>
      <c r="BR755" s="211">
        <v>2600</v>
      </c>
      <c r="BS755" s="211"/>
      <c r="BT755" s="211"/>
      <c r="BU755" s="211"/>
      <c r="BV755" s="211"/>
      <c r="BW755" s="211"/>
      <c r="BX755" s="212">
        <f>AA755*BR755</f>
        <v>393119.99999999994</v>
      </c>
      <c r="BY755" s="212"/>
      <c r="BZ755" s="212"/>
      <c r="CA755" s="212"/>
      <c r="CB755" s="213"/>
    </row>
    <row r="756" spans="2:80" x14ac:dyDescent="0.2">
      <c r="B756" s="71" t="s">
        <v>496</v>
      </c>
      <c r="C756" s="72"/>
      <c r="D756" s="72"/>
      <c r="E756" s="72"/>
      <c r="F756" s="72"/>
      <c r="G756" s="72"/>
      <c r="H756" s="72"/>
      <c r="I756" s="72"/>
      <c r="J756" s="72"/>
      <c r="K756" s="72"/>
      <c r="L756" s="72"/>
      <c r="M756" s="72"/>
      <c r="N756" s="72"/>
      <c r="O756" s="196">
        <f>+F672</f>
        <v>16</v>
      </c>
      <c r="P756" s="197"/>
      <c r="Q756" s="202">
        <f>+H672</f>
        <v>26</v>
      </c>
      <c r="R756" s="202"/>
      <c r="S756" s="11" t="s">
        <v>272</v>
      </c>
      <c r="T756" s="11"/>
      <c r="U756" s="11"/>
      <c r="V756" s="11" t="s">
        <v>498</v>
      </c>
      <c r="W756" s="61">
        <f>+G673</f>
        <v>1.3</v>
      </c>
      <c r="X756" s="61"/>
      <c r="Y756" s="11" t="s">
        <v>0</v>
      </c>
      <c r="Z756" s="11"/>
      <c r="AA756" s="11"/>
      <c r="AB756" s="61">
        <f>(C621+1)*2+12</f>
        <v>28</v>
      </c>
      <c r="AC756" s="61"/>
      <c r="AD756" s="11" t="s">
        <v>499</v>
      </c>
      <c r="AE756" s="11"/>
      <c r="AF756" s="11"/>
      <c r="AG756" s="11"/>
      <c r="AH756" s="11"/>
      <c r="AI756" s="11"/>
      <c r="AJ756" s="11"/>
      <c r="AK756" s="11"/>
      <c r="AL756" s="11"/>
      <c r="AM756" s="11"/>
      <c r="AN756" s="11"/>
      <c r="AO756" s="11"/>
      <c r="AP756" s="11"/>
      <c r="AQ756" s="11"/>
      <c r="AR756" s="11"/>
      <c r="AS756" s="11"/>
      <c r="AT756" s="11"/>
      <c r="AU756" s="11"/>
      <c r="AV756" s="11"/>
      <c r="AW756" s="11"/>
      <c r="AX756" s="11"/>
      <c r="AY756" s="11"/>
      <c r="AZ756" s="11"/>
      <c r="BA756" s="12"/>
      <c r="BB756" s="62">
        <f>ROUND(PI()*Q756^2/4*7.85/1000,3)</f>
        <v>4.1680000000000001</v>
      </c>
      <c r="BC756" s="62"/>
      <c r="BD756" s="62"/>
      <c r="BE756" s="63">
        <f>O756*AB756</f>
        <v>448</v>
      </c>
      <c r="BF756" s="63"/>
      <c r="BG756" s="63"/>
      <c r="BH756" s="83">
        <f>+W756</f>
        <v>1.3</v>
      </c>
      <c r="BI756" s="83"/>
      <c r="BJ756" s="83"/>
      <c r="BK756" s="134">
        <f t="shared" ref="BK756:BK758" si="56">+BE756*BH756</f>
        <v>582.4</v>
      </c>
      <c r="BL756" s="135"/>
      <c r="BM756" s="136"/>
      <c r="BN756" s="83">
        <f t="shared" ref="BN756:BN758" si="57">BB756*(BE756*BH756)</f>
        <v>2427.4432000000002</v>
      </c>
      <c r="BO756" s="83"/>
      <c r="BP756" s="83"/>
      <c r="BQ756" s="83"/>
      <c r="BR756" s="96">
        <v>25</v>
      </c>
      <c r="BS756" s="96"/>
      <c r="BT756" s="96"/>
      <c r="BU756" s="96"/>
      <c r="BV756" s="96"/>
      <c r="BW756" s="96"/>
      <c r="BX756" s="65">
        <f t="shared" ref="BX756:BX760" si="58">BR756*BN756</f>
        <v>60686.080000000002</v>
      </c>
      <c r="BY756" s="65"/>
      <c r="BZ756" s="65"/>
      <c r="CA756" s="65"/>
      <c r="CB756" s="66"/>
    </row>
    <row r="757" spans="2:80" x14ac:dyDescent="0.2">
      <c r="B757" s="71" t="s">
        <v>500</v>
      </c>
      <c r="C757" s="72"/>
      <c r="D757" s="72"/>
      <c r="E757" s="72"/>
      <c r="F757" s="72"/>
      <c r="G757" s="72"/>
      <c r="H757" s="72"/>
      <c r="I757" s="72"/>
      <c r="J757" s="72"/>
      <c r="K757" s="72"/>
      <c r="L757" s="72"/>
      <c r="M757" s="72"/>
      <c r="N757" s="72"/>
      <c r="O757" s="216">
        <f>+Q671</f>
        <v>9</v>
      </c>
      <c r="P757" s="217"/>
      <c r="Q757" s="215">
        <f>+R671</f>
        <v>8</v>
      </c>
      <c r="R757" s="215"/>
      <c r="S757" s="208">
        <f>+T671</f>
        <v>100</v>
      </c>
      <c r="T757" s="208"/>
      <c r="U757" s="46" t="s">
        <v>272</v>
      </c>
      <c r="V757" s="11"/>
      <c r="W757" s="11"/>
      <c r="X757" s="11" t="s">
        <v>498</v>
      </c>
      <c r="Y757" s="61">
        <f>+R672</f>
        <v>3.3</v>
      </c>
      <c r="Z757" s="61"/>
      <c r="AA757" s="11" t="s">
        <v>0</v>
      </c>
      <c r="AB757" s="11"/>
      <c r="AC757" s="11" t="s">
        <v>498</v>
      </c>
      <c r="AD757" s="61">
        <f>+R673</f>
        <v>2.23</v>
      </c>
      <c r="AE757" s="61"/>
      <c r="AF757" s="11" t="s">
        <v>0</v>
      </c>
      <c r="AG757" s="11"/>
      <c r="AH757" s="11"/>
      <c r="AI757" s="11"/>
      <c r="AJ757" s="61">
        <f>+AB756</f>
        <v>28</v>
      </c>
      <c r="AK757" s="61"/>
      <c r="AL757" s="11" t="s">
        <v>499</v>
      </c>
      <c r="AM757" s="11"/>
      <c r="AN757" s="11"/>
      <c r="AO757" s="11"/>
      <c r="AP757" s="11"/>
      <c r="AQ757" s="11"/>
      <c r="AR757" s="11"/>
      <c r="AS757" s="11"/>
      <c r="AT757" s="11"/>
      <c r="AU757" s="11"/>
      <c r="AV757" s="11"/>
      <c r="AW757" s="11"/>
      <c r="AX757" s="11"/>
      <c r="AY757" s="11"/>
      <c r="AZ757" s="11"/>
      <c r="BA757" s="12"/>
      <c r="BB757" s="62">
        <f>ROUND(PI()*Q757^2/4*7.85/1000,3)</f>
        <v>0.39500000000000002</v>
      </c>
      <c r="BC757" s="62"/>
      <c r="BD757" s="62"/>
      <c r="BE757" s="63">
        <f>O757*AJ757</f>
        <v>252</v>
      </c>
      <c r="BF757" s="63"/>
      <c r="BG757" s="63"/>
      <c r="BH757" s="83">
        <f>+Y757+2*AD757</f>
        <v>7.76</v>
      </c>
      <c r="BI757" s="83"/>
      <c r="BJ757" s="83"/>
      <c r="BK757" s="134">
        <f t="shared" si="56"/>
        <v>1955.52</v>
      </c>
      <c r="BL757" s="135"/>
      <c r="BM757" s="136"/>
      <c r="BN757" s="83">
        <f t="shared" si="57"/>
        <v>772.43040000000008</v>
      </c>
      <c r="BO757" s="83"/>
      <c r="BP757" s="83"/>
      <c r="BQ757" s="83"/>
      <c r="BR757" s="96">
        <v>25</v>
      </c>
      <c r="BS757" s="96"/>
      <c r="BT757" s="96"/>
      <c r="BU757" s="96"/>
      <c r="BV757" s="96"/>
      <c r="BW757" s="96"/>
      <c r="BX757" s="65">
        <f t="shared" si="58"/>
        <v>19310.760000000002</v>
      </c>
      <c r="BY757" s="65"/>
      <c r="BZ757" s="65"/>
      <c r="CA757" s="65"/>
      <c r="CB757" s="66"/>
    </row>
    <row r="758" spans="2:80" x14ac:dyDescent="0.2">
      <c r="B758" s="71" t="s">
        <v>497</v>
      </c>
      <c r="C758" s="72"/>
      <c r="D758" s="72"/>
      <c r="E758" s="72"/>
      <c r="F758" s="72"/>
      <c r="G758" s="72"/>
      <c r="H758" s="72"/>
      <c r="I758" s="72"/>
      <c r="J758" s="72"/>
      <c r="K758" s="72"/>
      <c r="L758" s="72"/>
      <c r="M758" s="72"/>
      <c r="N758" s="72"/>
      <c r="O758" s="196">
        <f>+L675</f>
        <v>18</v>
      </c>
      <c r="P758" s="197"/>
      <c r="Q758" s="214">
        <f>+N675</f>
        <v>16</v>
      </c>
      <c r="R758" s="214"/>
      <c r="S758" s="107">
        <f>+P675</f>
        <v>250</v>
      </c>
      <c r="T758" s="107"/>
      <c r="U758" s="11" t="s">
        <v>272</v>
      </c>
      <c r="X758" s="11" t="s">
        <v>498</v>
      </c>
      <c r="Y758" s="61">
        <f>+M676</f>
        <v>2.5</v>
      </c>
      <c r="Z758" s="61"/>
      <c r="AA758" s="11" t="s">
        <v>0</v>
      </c>
      <c r="AB758" s="11"/>
      <c r="AC758" s="11"/>
      <c r="AD758" s="61">
        <f>+AB756</f>
        <v>28</v>
      </c>
      <c r="AE758" s="61"/>
      <c r="AF758" s="11" t="s">
        <v>499</v>
      </c>
      <c r="AG758" s="11"/>
      <c r="AH758" s="11"/>
      <c r="AI758" s="11"/>
      <c r="AU758" s="11"/>
      <c r="AV758" s="11"/>
      <c r="AW758" s="11"/>
      <c r="AX758" s="11"/>
      <c r="AY758" s="11"/>
      <c r="AZ758" s="11"/>
      <c r="BA758" s="12"/>
      <c r="BB758" s="62">
        <f>ROUND(PI()*Q758^2/4*7.85/1000,3)</f>
        <v>1.5780000000000001</v>
      </c>
      <c r="BC758" s="62"/>
      <c r="BD758" s="62"/>
      <c r="BE758" s="63">
        <f>O758*AD758</f>
        <v>504</v>
      </c>
      <c r="BF758" s="63"/>
      <c r="BG758" s="63"/>
      <c r="BH758" s="83">
        <f>+Y758</f>
        <v>2.5</v>
      </c>
      <c r="BI758" s="83"/>
      <c r="BJ758" s="83"/>
      <c r="BK758" s="134">
        <f t="shared" si="56"/>
        <v>1260</v>
      </c>
      <c r="BL758" s="135"/>
      <c r="BM758" s="136"/>
      <c r="BN758" s="83">
        <f t="shared" si="57"/>
        <v>1988.2800000000002</v>
      </c>
      <c r="BO758" s="83"/>
      <c r="BP758" s="83"/>
      <c r="BQ758" s="83"/>
      <c r="BR758" s="96">
        <v>25</v>
      </c>
      <c r="BS758" s="96"/>
      <c r="BT758" s="96"/>
      <c r="BU758" s="96"/>
      <c r="BV758" s="96"/>
      <c r="BW758" s="96"/>
      <c r="BX758" s="65">
        <f t="shared" si="58"/>
        <v>49707.000000000007</v>
      </c>
      <c r="BY758" s="65"/>
      <c r="BZ758" s="65"/>
      <c r="CA758" s="65"/>
      <c r="CB758" s="66"/>
    </row>
    <row r="759" spans="2:80" x14ac:dyDescent="0.2">
      <c r="B759" s="41" t="s">
        <v>505</v>
      </c>
      <c r="C759" s="42"/>
      <c r="D759" s="42"/>
      <c r="E759" s="42"/>
      <c r="F759" s="42"/>
      <c r="G759" s="42"/>
      <c r="H759" s="218" t="s">
        <v>530</v>
      </c>
      <c r="I759" s="218"/>
      <c r="J759" s="218"/>
      <c r="K759" s="95" cm="1">
        <f t="array" ref="K759">INDEX(BQ674:BQ683,MATCH(H759,AZ674:AZ683,0),0)</f>
        <v>3.47</v>
      </c>
      <c r="L759" s="95"/>
      <c r="M759" s="42" t="s">
        <v>504</v>
      </c>
      <c r="N759" s="43"/>
      <c r="O759" s="13" t="s">
        <v>506</v>
      </c>
      <c r="P759" s="11"/>
      <c r="Q759" s="11"/>
      <c r="R759" s="11"/>
      <c r="S759" s="61">
        <f>+S594</f>
        <v>24</v>
      </c>
      <c r="T759" s="61"/>
      <c r="U759" s="61"/>
      <c r="V759" s="11" t="s">
        <v>0</v>
      </c>
      <c r="W759" s="19" t="s">
        <v>491</v>
      </c>
      <c r="X759" s="61">
        <f>+C611</f>
        <v>42</v>
      </c>
      <c r="Y759" s="61"/>
      <c r="Z759" s="61"/>
      <c r="AA759" s="11" t="s">
        <v>0</v>
      </c>
      <c r="AB759" s="48" t="s">
        <v>501</v>
      </c>
      <c r="AC759" s="73">
        <v>5</v>
      </c>
      <c r="AD759" s="73"/>
      <c r="AE759" s="11" t="s">
        <v>0</v>
      </c>
      <c r="AF759" s="19" t="s">
        <v>491</v>
      </c>
      <c r="AG759" s="73">
        <v>2.15</v>
      </c>
      <c r="AH759" s="73"/>
      <c r="AI759" s="11" t="s">
        <v>0</v>
      </c>
      <c r="AJ759" s="11" t="s">
        <v>502</v>
      </c>
      <c r="AK759" s="11" t="s">
        <v>503</v>
      </c>
      <c r="AL759" s="11"/>
      <c r="AM759" s="11"/>
      <c r="AN759" s="11"/>
      <c r="AO759" s="73">
        <v>0.3</v>
      </c>
      <c r="AP759" s="73"/>
      <c r="AQ759" s="11" t="s">
        <v>0</v>
      </c>
      <c r="AR759" s="11"/>
      <c r="AS759" s="11" t="s">
        <v>506</v>
      </c>
      <c r="AT759" s="11"/>
      <c r="AU759" s="11"/>
      <c r="AV759" s="11"/>
      <c r="AW759" s="61">
        <f>(INT((((S759-AC759)/(AC759-AO759))+1))*BA759*AC759*AG759)+(IF(S759-INT((((S759-AC759)/(AC759-AO759))+1))*(AC759-AO759)&lt;=AO759,0,+BA759)*IF(S759-INT((((S759-AC759)/(AC759-AO759))+1))*(AC759-AO759)&lt;=AO759,0,S759-INT((((S759-AC759)/(AC759-AO759))+1))*(AC759-AO759))*IF(S759-INT((((S759-AC759)/(AC759-AO759))+1))*(AC759-AO759)&lt;=AO759,0,+AG759))+((IF(X759-BA759*(AG759-AO759)&lt;=AO759,0,+INT((((S759-AC759)/(AC759-AO759))+1))))*(IF(X759-BA759*(AG759-AO759)&lt;=AO759,0,X759-BA759*(AG759-AO759)))*(IF(X759-BA759*(AG759-AO759)&lt;=AO759,0,+AC759)))+(IF(OR(IF(S759-INT((((S759-AC759)/(AC759-AO759))+1))*(AC759-AO759)&lt;=AO759,0,S759-INT((((S759-AC759)/(AC759-AO759))+1))*(AC759-AO759))=0,IF(X759-BA759*(AG759-AO759)&lt;=AO759,0,X759-BA759*(AG759-AO759))=0),0,IF(X759-BA759*(AG759-AO759)&lt;=AO759,0,X759-BA759*(AG759-AO759)))*IF(OR(IF(S759-INT((((S759-AC759)/(AC759-AO759))+1))*(AC759-AO759)&lt;=AO759,0,S759-INT((((S759-AC759)/(AC759-AO759))+1))*(AC759-AO759))=0,IF(X759-BA759*(AG759-AO759)&lt;=AO759,0,X759-BA759*(AG759-AO759))=0),0,IF(S759-INT((((S759-AC759)/(AC759-AO759))+1))*(AC759-AO759)&lt;=AO759,0,S759-INT((((S759-AC759)/(AC759-AO759))+1))*(AC759-AO759))))</f>
        <v>1239.3000000000002</v>
      </c>
      <c r="AX759" s="61"/>
      <c r="AY759" s="61"/>
      <c r="AZ759" s="11" t="s">
        <v>294</v>
      </c>
      <c r="BA759" s="49">
        <f>INT((((X759-AG759)/(AG759-AO759))+1))</f>
        <v>22</v>
      </c>
      <c r="BB759" s="63" t="s">
        <v>276</v>
      </c>
      <c r="BC759" s="63"/>
      <c r="BD759" s="63"/>
      <c r="BE759" s="63">
        <v>1</v>
      </c>
      <c r="BF759" s="63"/>
      <c r="BG759" s="63"/>
      <c r="BH759" s="62" t="s">
        <v>276</v>
      </c>
      <c r="BI759" s="62"/>
      <c r="BJ759" s="62"/>
      <c r="BK759" s="62" t="s">
        <v>276</v>
      </c>
      <c r="BL759" s="62"/>
      <c r="BM759" s="62"/>
      <c r="BN759" s="83">
        <f>+AW759*K759</f>
        <v>4300.371000000001</v>
      </c>
      <c r="BO759" s="83"/>
      <c r="BP759" s="83"/>
      <c r="BQ759" s="83"/>
      <c r="BR759" s="96">
        <v>25</v>
      </c>
      <c r="BS759" s="96"/>
      <c r="BT759" s="96"/>
      <c r="BU759" s="96"/>
      <c r="BV759" s="96"/>
      <c r="BW759" s="96"/>
      <c r="BX759" s="65">
        <f t="shared" si="58"/>
        <v>107509.27500000002</v>
      </c>
      <c r="BY759" s="65"/>
      <c r="BZ759" s="65"/>
      <c r="CA759" s="65"/>
      <c r="CB759" s="66"/>
    </row>
    <row r="760" spans="2:80" x14ac:dyDescent="0.2">
      <c r="B760" s="41" t="s">
        <v>540</v>
      </c>
      <c r="C760" s="42"/>
      <c r="D760" s="42"/>
      <c r="E760" s="42"/>
      <c r="F760" s="42"/>
      <c r="G760" s="42"/>
      <c r="H760" s="219" t="s">
        <v>521</v>
      </c>
      <c r="I760" s="219"/>
      <c r="J760" s="219"/>
      <c r="K760" s="95" cm="1">
        <f t="array" ref="K760">INDEX(BQ665:BQ673,MATCH(H760,AZ665:AZ673,0),0)</f>
        <v>2.35</v>
      </c>
      <c r="L760" s="95"/>
      <c r="M760" s="42" t="s">
        <v>504</v>
      </c>
      <c r="N760" s="43"/>
      <c r="O760" s="13" t="s">
        <v>506</v>
      </c>
      <c r="P760" s="11"/>
      <c r="Q760" s="11"/>
      <c r="R760" s="11"/>
      <c r="S760" s="61">
        <f>+W754</f>
        <v>106.80000000000001</v>
      </c>
      <c r="T760" s="61"/>
      <c r="U760" s="61"/>
      <c r="V760" s="11" t="s">
        <v>0</v>
      </c>
      <c r="W760" s="19" t="s">
        <v>491</v>
      </c>
      <c r="X760" s="61">
        <f>+Q665+Q661-0.1</f>
        <v>1.1000000000000001</v>
      </c>
      <c r="Y760" s="61"/>
      <c r="Z760" s="61"/>
      <c r="AA760" s="11" t="s">
        <v>0</v>
      </c>
      <c r="AB760" s="48" t="s">
        <v>501</v>
      </c>
      <c r="AC760" s="73">
        <v>5</v>
      </c>
      <c r="AD760" s="73"/>
      <c r="AE760" s="11" t="s">
        <v>0</v>
      </c>
      <c r="AF760" s="19" t="s">
        <v>491</v>
      </c>
      <c r="AG760" s="73">
        <v>2.15</v>
      </c>
      <c r="AH760" s="73"/>
      <c r="AI760" s="11" t="s">
        <v>0</v>
      </c>
      <c r="AJ760" s="11" t="s">
        <v>502</v>
      </c>
      <c r="AK760" s="11" t="s">
        <v>503</v>
      </c>
      <c r="AL760" s="11"/>
      <c r="AM760" s="11"/>
      <c r="AN760" s="11"/>
      <c r="AO760" s="73">
        <v>0.3</v>
      </c>
      <c r="AP760" s="73"/>
      <c r="AQ760" s="11" t="s">
        <v>0</v>
      </c>
      <c r="AR760" s="11"/>
      <c r="AS760" s="11" t="s">
        <v>506</v>
      </c>
      <c r="AT760" s="11"/>
      <c r="AU760" s="11"/>
      <c r="AV760" s="11"/>
      <c r="AW760" s="61">
        <f>(INT((((S760-AC760)/(AC760-AO760))+1))*BA760*AC760*AG760)+(IF(S760-INT((((S760-AC760)/(AC760-AO760))+1))*(AC760-AO760)&lt;=AO760,0,+BA760)*IF(S760-INT((((S760-AC760)/(AC760-AO760))+1))*(AC760-AO760)&lt;=AO760,0,S760-INT((((S760-AC760)/(AC760-AO760))+1))*(AC760-AO760))*IF(S760-INT((((S760-AC760)/(AC760-AO760))+1))*(AC760-AO760)&lt;=AO760,0,+AG760))+((IF(X760-BA760*(AG760-AO760)&lt;=AO760,0,+INT((((S760-AC760)/(AC760-AO760))+1))))*(IF(X760-BA760*(AG760-AO760)&lt;=AO760,0,X760-BA760*(AG760-AO760)))*(IF(X760-BA760*(AG760-AO760)&lt;=AO760,0,+AC760)))+(IF(OR(IF(S760-INT((((S760-AC760)/(AC760-AO760))+1))*(AC760-AO760)&lt;=AO760,0,S760-INT((((S760-AC760)/(AC760-AO760))+1))*(AC760-AO760))=0,IF(X760-BA760*(AG760-AO760)&lt;=AO760,0,X760-BA760*(AG760-AO760))=0),0,IF(X760-BA760*(AG760-AO760)&lt;=AO760,0,X760-BA760*(AG760-AO760)))*IF(OR(IF(S760-INT((((S760-AC760)/(AC760-AO760))+1))*(AC760-AO760)&lt;=AO760,0,S760-INT((((S760-AC760)/(AC760-AO760))+1))*(AC760-AO760))=0,IF(X760-BA760*(AG760-AO760)&lt;=AO760,0,X760-BA760*(AG760-AO760))=0),0,IF(S760-INT((((S760-AC760)/(AC760-AO760))+1))*(AC760-AO760)&lt;=AO760,0,S760-INT((((S760-AC760)/(AC760-AO760))+1))*(AC760-AO760))))</f>
        <v>124.74000000000002</v>
      </c>
      <c r="AX760" s="61"/>
      <c r="AY760" s="61"/>
      <c r="AZ760" s="11" t="s">
        <v>294</v>
      </c>
      <c r="BA760" s="49">
        <f>INT((((X760-AG760)/(AG760-AO760))+1))</f>
        <v>0</v>
      </c>
      <c r="BB760" s="63" t="s">
        <v>276</v>
      </c>
      <c r="BC760" s="63"/>
      <c r="BD760" s="63"/>
      <c r="BE760" s="63">
        <v>1</v>
      </c>
      <c r="BF760" s="63"/>
      <c r="BG760" s="63"/>
      <c r="BH760" s="62" t="s">
        <v>276</v>
      </c>
      <c r="BI760" s="62"/>
      <c r="BJ760" s="62"/>
      <c r="BK760" s="62" t="s">
        <v>276</v>
      </c>
      <c r="BL760" s="62"/>
      <c r="BM760" s="62"/>
      <c r="BN760" s="83">
        <f>+AW760*K760</f>
        <v>293.13900000000007</v>
      </c>
      <c r="BO760" s="83"/>
      <c r="BP760" s="83"/>
      <c r="BQ760" s="83"/>
      <c r="BR760" s="96">
        <v>25</v>
      </c>
      <c r="BS760" s="96"/>
      <c r="BT760" s="96"/>
      <c r="BU760" s="96"/>
      <c r="BV760" s="96"/>
      <c r="BW760" s="96"/>
      <c r="BX760" s="65">
        <f t="shared" si="58"/>
        <v>7328.4750000000013</v>
      </c>
      <c r="BY760" s="65"/>
      <c r="BZ760" s="65"/>
      <c r="CA760" s="65"/>
      <c r="CB760" s="66"/>
    </row>
    <row r="761" spans="2:80" x14ac:dyDescent="0.2">
      <c r="B761" s="14"/>
      <c r="AD761" s="1" t="s">
        <v>507</v>
      </c>
      <c r="BG761" s="206" t="s">
        <v>301</v>
      </c>
      <c r="BH761" s="206"/>
      <c r="BI761" s="206"/>
      <c r="BJ761" s="206"/>
      <c r="BK761" s="206"/>
      <c r="BL761" s="206"/>
      <c r="BM761" s="206"/>
      <c r="BN761" s="207">
        <f>SUM(BN752:BQ760)</f>
        <v>9781.6635999999999</v>
      </c>
      <c r="BO761" s="206"/>
      <c r="BP761" s="206"/>
      <c r="BQ761" s="206"/>
      <c r="BS761" s="206" t="s">
        <v>484</v>
      </c>
      <c r="BT761" s="206"/>
      <c r="BU761" s="206"/>
      <c r="BV761" s="206"/>
      <c r="BW761" s="206"/>
      <c r="BX761" s="203">
        <f>SUM(BX752:CB760)</f>
        <v>846493.59</v>
      </c>
      <c r="BY761" s="203"/>
      <c r="BZ761" s="203"/>
      <c r="CA761" s="203"/>
      <c r="CB761" s="204"/>
    </row>
    <row r="762" spans="2:80" x14ac:dyDescent="0.2">
      <c r="B762" s="14"/>
      <c r="BG762" s="133" t="s">
        <v>302</v>
      </c>
      <c r="BH762" s="133"/>
      <c r="BI762" s="133"/>
      <c r="BJ762" s="133"/>
      <c r="BK762" s="133"/>
      <c r="BL762" s="133"/>
      <c r="BM762" s="133"/>
      <c r="BN762" s="132">
        <f>+BN761/1000</f>
        <v>9.7816635999999999</v>
      </c>
      <c r="BO762" s="133"/>
      <c r="BP762" s="133"/>
      <c r="BQ762" s="133"/>
      <c r="BS762" s="133" t="s">
        <v>485</v>
      </c>
      <c r="BT762" s="133"/>
      <c r="BU762" s="133"/>
      <c r="BV762" s="133"/>
      <c r="BW762" s="133"/>
      <c r="BX762" s="138">
        <f>BX761*0.18</f>
        <v>152368.8462</v>
      </c>
      <c r="BY762" s="138"/>
      <c r="BZ762" s="138"/>
      <c r="CA762" s="138"/>
      <c r="CB762" s="139"/>
    </row>
    <row r="763" spans="2:80" x14ac:dyDescent="0.2">
      <c r="B763" s="14"/>
      <c r="BG763" s="133" t="s">
        <v>550</v>
      </c>
      <c r="BH763" s="133"/>
      <c r="BI763" s="133"/>
      <c r="BJ763" s="133"/>
      <c r="BK763" s="133"/>
      <c r="BL763" s="133"/>
      <c r="BM763" s="133"/>
      <c r="BN763" s="186">
        <f>+AF752+AF753+AS754+AA755</f>
        <v>231.52</v>
      </c>
      <c r="BO763" s="186"/>
      <c r="BP763" s="186"/>
      <c r="BQ763" s="186"/>
      <c r="BS763" s="133" t="s">
        <v>486</v>
      </c>
      <c r="BT763" s="133"/>
      <c r="BU763" s="133"/>
      <c r="BV763" s="133"/>
      <c r="BW763" s="133"/>
      <c r="BX763" s="140">
        <f>+BX762+BX761</f>
        <v>998862.4362</v>
      </c>
      <c r="BY763" s="140"/>
      <c r="BZ763" s="140"/>
      <c r="CA763" s="140"/>
      <c r="CB763" s="141"/>
    </row>
    <row r="764" spans="2:80" x14ac:dyDescent="0.2">
      <c r="B764" s="14"/>
      <c r="BG764" s="133" t="s">
        <v>551</v>
      </c>
      <c r="BH764" s="133"/>
      <c r="BI764" s="133"/>
      <c r="BJ764" s="133"/>
      <c r="BK764" s="133"/>
      <c r="BL764" s="133"/>
      <c r="BM764" s="133"/>
      <c r="BN764" s="137">
        <f>+BN761/BN763</f>
        <v>42.249756392536277</v>
      </c>
      <c r="BO764" s="137"/>
      <c r="BP764" s="137"/>
      <c r="BQ764" s="137"/>
      <c r="BR764" s="97" t="s">
        <v>544</v>
      </c>
      <c r="BS764" s="95"/>
      <c r="BT764" s="95"/>
      <c r="BU764" s="95"/>
      <c r="BV764" s="95"/>
      <c r="BW764" s="98"/>
      <c r="BX764" s="140">
        <f>+BX750+BX763</f>
        <v>5235438.8130530566</v>
      </c>
      <c r="BY764" s="140"/>
      <c r="BZ764" s="140"/>
      <c r="CA764" s="140"/>
      <c r="CB764" s="141"/>
    </row>
    <row r="765" spans="2:80" ht="12" thickBot="1" x14ac:dyDescent="0.25">
      <c r="B765" s="16"/>
      <c r="C765" s="17"/>
      <c r="D765" s="17"/>
      <c r="E765" s="17"/>
      <c r="F765" s="17"/>
      <c r="G765" s="17"/>
      <c r="H765" s="17"/>
      <c r="I765" s="17"/>
      <c r="J765" s="17"/>
      <c r="K765" s="17"/>
      <c r="L765" s="17"/>
      <c r="M765" s="17"/>
      <c r="N765" s="17"/>
      <c r="O765" s="17"/>
      <c r="P765" s="17"/>
      <c r="Q765" s="17"/>
      <c r="R765" s="17"/>
      <c r="S765" s="17"/>
      <c r="T765" s="17"/>
      <c r="U765" s="17"/>
      <c r="V765" s="17"/>
      <c r="W765" s="17"/>
      <c r="X765" s="17"/>
      <c r="Y765" s="17"/>
      <c r="Z765" s="17"/>
      <c r="AA765" s="17"/>
      <c r="AB765" s="17"/>
      <c r="AC765" s="17"/>
      <c r="AD765" s="17"/>
      <c r="AE765" s="17"/>
      <c r="AF765" s="17"/>
      <c r="AG765" s="17"/>
      <c r="AH765" s="17"/>
      <c r="AI765" s="17"/>
      <c r="AJ765" s="17"/>
      <c r="AK765" s="17"/>
      <c r="AL765" s="17"/>
      <c r="AM765" s="17"/>
      <c r="AN765" s="17"/>
      <c r="AO765" s="17"/>
      <c r="AP765" s="17"/>
      <c r="AQ765" s="17"/>
      <c r="AR765" s="17"/>
      <c r="AS765" s="17"/>
      <c r="AT765" s="17"/>
      <c r="AU765" s="17"/>
      <c r="AV765" s="17"/>
      <c r="AW765" s="17"/>
      <c r="AX765" s="17"/>
      <c r="AY765" s="17"/>
      <c r="AZ765" s="17"/>
      <c r="BA765" s="17"/>
      <c r="BB765" s="17"/>
      <c r="BC765" s="17"/>
      <c r="BD765" s="17"/>
      <c r="BE765" s="17"/>
      <c r="BF765" s="17"/>
      <c r="BG765" s="17"/>
      <c r="BH765" s="17"/>
      <c r="BI765" s="17"/>
      <c r="BJ765" s="17"/>
      <c r="BK765" s="17"/>
      <c r="BL765" s="17"/>
      <c r="BM765" s="17"/>
      <c r="BN765" s="17"/>
      <c r="BO765" s="17"/>
      <c r="BP765" s="17"/>
      <c r="BQ765" s="17"/>
      <c r="BR765" s="17"/>
      <c r="BS765" s="17"/>
      <c r="BT765" s="17"/>
      <c r="BU765" s="17"/>
      <c r="BV765" s="17"/>
      <c r="BW765" s="17"/>
      <c r="BX765" s="17"/>
      <c r="BY765" s="17"/>
      <c r="BZ765" s="17"/>
      <c r="CA765" s="17"/>
      <c r="CB765" s="18"/>
    </row>
    <row r="766" spans="2:80" ht="12" thickBot="1" x14ac:dyDescent="0.25"/>
    <row r="767" spans="2:80" ht="42.75" customHeight="1" x14ac:dyDescent="0.2">
      <c r="B767" s="187" t="s">
        <v>469</v>
      </c>
      <c r="C767" s="188"/>
      <c r="D767" s="188"/>
      <c r="E767" s="188"/>
      <c r="F767" s="188"/>
      <c r="G767" s="188"/>
      <c r="H767" s="188"/>
      <c r="I767" s="188"/>
      <c r="J767" s="188"/>
      <c r="K767" s="188"/>
      <c r="L767" s="188"/>
      <c r="M767" s="188"/>
      <c r="N767" s="188"/>
      <c r="O767" s="188"/>
      <c r="P767" s="188"/>
      <c r="Q767" s="188"/>
      <c r="R767" s="188"/>
      <c r="S767" s="188"/>
      <c r="T767" s="188"/>
      <c r="U767" s="188"/>
      <c r="V767" s="188"/>
      <c r="W767" s="188"/>
      <c r="X767" s="188"/>
      <c r="Y767" s="188"/>
      <c r="Z767" s="188"/>
      <c r="AA767" s="188"/>
      <c r="AB767" s="188"/>
      <c r="AC767" s="188"/>
      <c r="AD767" s="188"/>
      <c r="AE767" s="188"/>
      <c r="AF767" s="188"/>
      <c r="AG767" s="188"/>
      <c r="AH767" s="188"/>
      <c r="AI767" s="188"/>
      <c r="AJ767" s="188"/>
      <c r="AK767" s="188"/>
      <c r="AL767" s="188"/>
      <c r="AM767" s="188"/>
      <c r="AN767" s="188"/>
      <c r="AO767" s="188"/>
      <c r="AP767" s="188"/>
      <c r="AQ767" s="188"/>
      <c r="AR767" s="188"/>
      <c r="AS767" s="188"/>
      <c r="AT767" s="188"/>
      <c r="AU767" s="188"/>
      <c r="AV767" s="188"/>
      <c r="AW767" s="188"/>
      <c r="AX767" s="188"/>
      <c r="AY767" s="188"/>
      <c r="AZ767" s="188"/>
      <c r="BA767" s="188"/>
      <c r="BB767" s="188"/>
      <c r="BC767" s="188"/>
      <c r="BD767" s="188"/>
      <c r="BE767" s="188"/>
      <c r="BF767" s="188"/>
      <c r="BG767" s="188"/>
      <c r="BH767" s="188"/>
      <c r="BI767" s="188"/>
      <c r="BJ767" s="188"/>
      <c r="BK767" s="188"/>
      <c r="BL767" s="188"/>
      <c r="BM767" s="188"/>
      <c r="BN767" s="188"/>
      <c r="BO767" s="188"/>
      <c r="BP767" s="188"/>
      <c r="BQ767" s="188"/>
      <c r="BR767" s="188"/>
      <c r="BS767" s="188"/>
      <c r="BT767" s="188"/>
      <c r="BU767" s="188"/>
      <c r="BV767" s="188"/>
      <c r="BW767" s="188"/>
      <c r="BX767" s="188"/>
      <c r="BY767" s="188"/>
      <c r="BZ767" s="188"/>
      <c r="CA767" s="188"/>
      <c r="CB767" s="189"/>
    </row>
    <row r="768" spans="2:80" x14ac:dyDescent="0.2">
      <c r="B768" s="14"/>
      <c r="D768" s="31" t="s">
        <v>280</v>
      </c>
      <c r="AB768" s="32"/>
      <c r="AC768" s="5"/>
      <c r="AD768" s="5"/>
      <c r="AE768" s="5"/>
      <c r="AF768" s="5"/>
      <c r="AG768" s="5"/>
      <c r="AH768" s="33"/>
      <c r="AI768" s="34"/>
      <c r="AJ768" s="34"/>
      <c r="AK768" s="34"/>
      <c r="AL768" s="34"/>
      <c r="AM768" s="34"/>
      <c r="AN768" s="34"/>
      <c r="AO768" s="5"/>
      <c r="AP768" s="5"/>
      <c r="AQ768" s="5"/>
      <c r="AR768" s="5"/>
      <c r="AS768" s="5"/>
      <c r="CB768" s="15"/>
    </row>
    <row r="769" spans="2:80" x14ac:dyDescent="0.2">
      <c r="B769" s="14"/>
      <c r="Q769" s="35" t="s">
        <v>5</v>
      </c>
      <c r="R769" s="35"/>
      <c r="AX769" s="35" t="s">
        <v>290</v>
      </c>
      <c r="BI769" s="1" t="s">
        <v>8</v>
      </c>
      <c r="CB769" s="15"/>
    </row>
    <row r="770" spans="2:80" x14ac:dyDescent="0.2">
      <c r="B770" s="14"/>
      <c r="Z770" s="60">
        <f>SQRT(E772^2+N784^2)</f>
        <v>12.059850745345068</v>
      </c>
      <c r="AA770" s="60"/>
      <c r="AB770" s="1" t="s">
        <v>0</v>
      </c>
      <c r="CB770" s="15"/>
    </row>
    <row r="771" spans="2:80" x14ac:dyDescent="0.2">
      <c r="B771" s="14"/>
      <c r="E771" s="36" t="s">
        <v>0</v>
      </c>
      <c r="X771" s="1" t="s">
        <v>463</v>
      </c>
      <c r="CB771" s="15"/>
    </row>
    <row r="772" spans="2:80" x14ac:dyDescent="0.2">
      <c r="B772" s="14"/>
      <c r="E772" s="122">
        <v>1.2</v>
      </c>
      <c r="AJ772" s="60">
        <f>+E772</f>
        <v>1.2</v>
      </c>
      <c r="AK772" s="60"/>
      <c r="AL772" s="1" t="s">
        <v>0</v>
      </c>
      <c r="BQ772" s="1" t="s">
        <v>466</v>
      </c>
      <c r="CB772" s="15"/>
    </row>
    <row r="773" spans="2:80" x14ac:dyDescent="0.2">
      <c r="B773" s="14"/>
      <c r="E773" s="122"/>
      <c r="J773" s="1" t="s">
        <v>430</v>
      </c>
      <c r="AC773" s="60">
        <f>ATAN(E772/N784)*180/PI()</f>
        <v>5.7105931374996421</v>
      </c>
      <c r="AD773" s="60"/>
      <c r="AE773" s="37" t="s">
        <v>6</v>
      </c>
      <c r="CB773" s="15"/>
    </row>
    <row r="774" spans="2:80" x14ac:dyDescent="0.2">
      <c r="B774" s="14"/>
      <c r="E774" s="122"/>
      <c r="CB774" s="15"/>
    </row>
    <row r="775" spans="2:80" x14ac:dyDescent="0.2">
      <c r="B775" s="14"/>
      <c r="C775" s="36" t="s">
        <v>0</v>
      </c>
      <c r="I775" s="38" t="s">
        <v>431</v>
      </c>
      <c r="K775" s="1" t="s">
        <v>422</v>
      </c>
      <c r="AF775" s="91">
        <v>0.6</v>
      </c>
      <c r="AG775" s="91"/>
      <c r="AH775" s="183" t="s">
        <v>0</v>
      </c>
      <c r="CB775" s="15"/>
    </row>
    <row r="776" spans="2:80" x14ac:dyDescent="0.2">
      <c r="B776" s="14"/>
      <c r="C776" s="121">
        <f>+E772+E778</f>
        <v>9.1999999999999993</v>
      </c>
      <c r="AF776" s="91"/>
      <c r="AG776" s="91"/>
      <c r="AH776" s="183"/>
      <c r="AJ776" s="60">
        <f>+E778/3</f>
        <v>2.6666666666666665</v>
      </c>
      <c r="AK776" s="60"/>
      <c r="AL776" s="1" t="s">
        <v>0</v>
      </c>
      <c r="CB776" s="15"/>
    </row>
    <row r="777" spans="2:80" x14ac:dyDescent="0.2">
      <c r="B777" s="14"/>
      <c r="C777" s="121"/>
      <c r="E777" s="36" t="s">
        <v>0</v>
      </c>
      <c r="J777" s="60" t="s">
        <v>237</v>
      </c>
      <c r="K777" s="60"/>
      <c r="CB777" s="15"/>
    </row>
    <row r="778" spans="2:80" x14ac:dyDescent="0.2">
      <c r="B778" s="14"/>
      <c r="C778" s="121"/>
      <c r="E778" s="122">
        <v>8</v>
      </c>
      <c r="L778" s="60">
        <f>+S786/X779</f>
        <v>2</v>
      </c>
      <c r="M778" s="60"/>
      <c r="N778" s="1" t="s">
        <v>0</v>
      </c>
      <c r="AJ778" s="60">
        <f>+AJ776</f>
        <v>2.6666666666666665</v>
      </c>
      <c r="AK778" s="60"/>
      <c r="AL778" s="183" t="s">
        <v>0</v>
      </c>
      <c r="BQ778" s="1" t="s">
        <v>7</v>
      </c>
      <c r="CB778" s="15"/>
    </row>
    <row r="779" spans="2:80" x14ac:dyDescent="0.2">
      <c r="B779" s="14"/>
      <c r="E779" s="122"/>
      <c r="Q779" s="1" t="s">
        <v>564</v>
      </c>
      <c r="X779" s="91">
        <v>12</v>
      </c>
      <c r="Y779" s="91"/>
      <c r="Z779" s="1" t="s">
        <v>433</v>
      </c>
      <c r="AD779" s="1" t="s">
        <v>13</v>
      </c>
      <c r="AJ779" s="60"/>
      <c r="AK779" s="60"/>
      <c r="AL779" s="183"/>
      <c r="CB779" s="15"/>
    </row>
    <row r="780" spans="2:80" x14ac:dyDescent="0.2">
      <c r="B780" s="14"/>
      <c r="E780" s="122"/>
      <c r="CB780" s="15"/>
    </row>
    <row r="781" spans="2:80" x14ac:dyDescent="0.2">
      <c r="B781" s="14"/>
      <c r="AJ781" s="60">
        <f>+AJ778</f>
        <v>2.6666666666666665</v>
      </c>
      <c r="AK781" s="60"/>
      <c r="AL781" s="1" t="s">
        <v>0</v>
      </c>
      <c r="CB781" s="15"/>
    </row>
    <row r="782" spans="2:80" x14ac:dyDescent="0.2">
      <c r="B782" s="14"/>
      <c r="CB782" s="15"/>
    </row>
    <row r="783" spans="2:80" x14ac:dyDescent="0.2">
      <c r="B783" s="14"/>
      <c r="CB783" s="15"/>
    </row>
    <row r="784" spans="2:80" x14ac:dyDescent="0.2">
      <c r="B784" s="14"/>
      <c r="N784" s="60">
        <f>+S786/2</f>
        <v>12</v>
      </c>
      <c r="O784" s="60"/>
      <c r="P784" s="1" t="s">
        <v>0</v>
      </c>
      <c r="Y784" s="60">
        <f>+S786/2</f>
        <v>12</v>
      </c>
      <c r="Z784" s="60"/>
      <c r="AA784" s="1" t="s">
        <v>0</v>
      </c>
      <c r="AO784" s="60">
        <f>+E795</f>
        <v>6</v>
      </c>
      <c r="AP784" s="60"/>
      <c r="AQ784" s="1" t="s">
        <v>0</v>
      </c>
      <c r="AS784" s="60">
        <f>+AO784</f>
        <v>6</v>
      </c>
      <c r="AT784" s="60"/>
      <c r="AU784" s="1" t="s">
        <v>0</v>
      </c>
      <c r="AW784" s="60">
        <f>+AS784</f>
        <v>6</v>
      </c>
      <c r="AX784" s="60"/>
      <c r="AY784" s="1" t="s">
        <v>0</v>
      </c>
      <c r="BA784" s="60">
        <f>+AW784</f>
        <v>6</v>
      </c>
      <c r="BB784" s="60"/>
      <c r="BE784" s="60">
        <f>+BA784</f>
        <v>6</v>
      </c>
      <c r="BF784" s="60"/>
      <c r="BI784" s="60">
        <f>+BE784</f>
        <v>6</v>
      </c>
      <c r="BJ784" s="60"/>
      <c r="BM784" s="60">
        <f>+BI784</f>
        <v>6</v>
      </c>
      <c r="BN784" s="60"/>
      <c r="CB784" s="15"/>
    </row>
    <row r="785" spans="2:80" x14ac:dyDescent="0.2">
      <c r="B785" s="14"/>
      <c r="CB785" s="15"/>
    </row>
    <row r="786" spans="2:80" x14ac:dyDescent="0.2">
      <c r="B786" s="14"/>
      <c r="S786" s="91">
        <v>24</v>
      </c>
      <c r="T786" s="91"/>
      <c r="U786" s="1" t="s">
        <v>0</v>
      </c>
      <c r="BA786" s="60">
        <f>+C806</f>
        <v>42</v>
      </c>
      <c r="BB786" s="60"/>
      <c r="BC786" s="60"/>
      <c r="BD786" s="1" t="s">
        <v>0</v>
      </c>
      <c r="CB786" s="15"/>
    </row>
    <row r="787" spans="2:80" x14ac:dyDescent="0.2">
      <c r="B787" s="14"/>
      <c r="CB787" s="15"/>
    </row>
    <row r="788" spans="2:80" x14ac:dyDescent="0.2">
      <c r="B788" s="14"/>
      <c r="S788" s="35" t="s">
        <v>3</v>
      </c>
      <c r="AO788" s="1" t="s">
        <v>471</v>
      </c>
      <c r="BI788" s="1" t="s">
        <v>9</v>
      </c>
      <c r="CB788" s="15"/>
    </row>
    <row r="789" spans="2:80" x14ac:dyDescent="0.2">
      <c r="B789" s="14"/>
      <c r="R789" s="25"/>
      <c r="S789" s="60">
        <f>+S786</f>
        <v>24</v>
      </c>
      <c r="T789" s="60"/>
      <c r="U789" s="1" t="s">
        <v>0</v>
      </c>
      <c r="V789" s="25"/>
      <c r="AV789" s="40"/>
      <c r="AW789" s="184" t="s">
        <v>422</v>
      </c>
      <c r="AX789" s="184"/>
      <c r="AY789" s="184" t="s">
        <v>431</v>
      </c>
      <c r="AZ789" s="184"/>
      <c r="BA789" s="184" t="s">
        <v>430</v>
      </c>
      <c r="BB789" s="184"/>
      <c r="BC789" s="184" t="s">
        <v>422</v>
      </c>
      <c r="BD789" s="184"/>
      <c r="BE789" s="184" t="s">
        <v>431</v>
      </c>
      <c r="BF789" s="184"/>
      <c r="BG789" s="184" t="s">
        <v>237</v>
      </c>
      <c r="BH789" s="184"/>
      <c r="BI789" s="184" t="s">
        <v>283</v>
      </c>
      <c r="BJ789" s="184"/>
      <c r="BK789" s="184" t="s">
        <v>283</v>
      </c>
      <c r="BL789" s="184"/>
      <c r="BM789" s="185" t="s">
        <v>427</v>
      </c>
      <c r="BN789" s="185" t="s">
        <v>425</v>
      </c>
      <c r="BO789" s="185" t="s">
        <v>426</v>
      </c>
      <c r="BP789" s="40"/>
      <c r="BQ789" s="40"/>
      <c r="BR789" s="40"/>
      <c r="BS789" s="40"/>
      <c r="BT789" s="40"/>
      <c r="BU789" s="40"/>
      <c r="BV789" s="40"/>
      <c r="CB789" s="15"/>
    </row>
    <row r="790" spans="2:80" x14ac:dyDescent="0.2">
      <c r="B790" s="14"/>
      <c r="S790" s="35"/>
      <c r="AH790" s="1" t="s">
        <v>385</v>
      </c>
      <c r="AV790" s="40"/>
      <c r="AW790" s="184">
        <f t="shared" ref="AW790:AW807" si="59">IF(AY790=0,0,SQRT($L$778^2+IF(AY791=0,$AF$775,AY791)^2))</f>
        <v>2.5612496949731396</v>
      </c>
      <c r="AX790" s="184"/>
      <c r="AY790" s="184">
        <f>E772+AF775</f>
        <v>1.7999999999999998</v>
      </c>
      <c r="AZ790" s="184"/>
      <c r="BA790" s="184">
        <f>2*SQRT(E772^2+N784^2)</f>
        <v>24.119701490690137</v>
      </c>
      <c r="BB790" s="184"/>
      <c r="BC790" s="184">
        <f>+AW790*2</f>
        <v>5.1224993899462792</v>
      </c>
      <c r="BD790" s="184"/>
      <c r="BE790" s="184">
        <f>+AY790</f>
        <v>1.7999999999999998</v>
      </c>
      <c r="BF790" s="184"/>
      <c r="BG790" s="184">
        <f>S786</f>
        <v>24</v>
      </c>
      <c r="BH790" s="184"/>
      <c r="BI790" s="184">
        <f>2*(X779+1)</f>
        <v>26</v>
      </c>
      <c r="BJ790" s="184"/>
      <c r="BK790" s="184">
        <f>X779*3+(X779-1)</f>
        <v>47</v>
      </c>
      <c r="BL790" s="184"/>
      <c r="BM790" s="185"/>
      <c r="BN790" s="185"/>
      <c r="BO790" s="185"/>
      <c r="BP790" s="40"/>
      <c r="BQ790" s="40"/>
      <c r="BR790" s="40"/>
      <c r="BS790" s="40"/>
      <c r="BT790" s="40"/>
      <c r="BU790" s="40"/>
      <c r="BV790" s="40"/>
      <c r="CB790" s="15"/>
    </row>
    <row r="791" spans="2:80" x14ac:dyDescent="0.2">
      <c r="B791" s="14"/>
      <c r="H791" s="60">
        <f>+S789/(AL798-2)</f>
        <v>2</v>
      </c>
      <c r="I791" s="60"/>
      <c r="J791" s="1" t="s">
        <v>0</v>
      </c>
      <c r="K791" s="60">
        <f>+H791</f>
        <v>2</v>
      </c>
      <c r="L791" s="60"/>
      <c r="M791" s="1" t="s">
        <v>0</v>
      </c>
      <c r="N791" s="60">
        <f>+K791</f>
        <v>2</v>
      </c>
      <c r="O791" s="60"/>
      <c r="P791" s="1" t="s">
        <v>0</v>
      </c>
      <c r="Q791" s="60">
        <f>+N791</f>
        <v>2</v>
      </c>
      <c r="R791" s="60"/>
      <c r="S791" s="1" t="s">
        <v>0</v>
      </c>
      <c r="T791" s="60">
        <f>+Q791</f>
        <v>2</v>
      </c>
      <c r="U791" s="60"/>
      <c r="V791" s="1" t="s">
        <v>0</v>
      </c>
      <c r="W791" s="60">
        <f>+T791</f>
        <v>2</v>
      </c>
      <c r="X791" s="60"/>
      <c r="Y791" s="1" t="s">
        <v>0</v>
      </c>
      <c r="Z791" s="60">
        <f>+W791</f>
        <v>2</v>
      </c>
      <c r="AA791" s="60"/>
      <c r="AB791" s="1" t="s">
        <v>0</v>
      </c>
      <c r="AC791" s="60">
        <f>+Z791</f>
        <v>2</v>
      </c>
      <c r="AD791" s="60"/>
      <c r="AE791" s="1" t="s">
        <v>0</v>
      </c>
      <c r="AV791" s="40"/>
      <c r="AW791" s="184">
        <f t="shared" si="59"/>
        <v>2.4413111231467406</v>
      </c>
      <c r="AX791" s="184"/>
      <c r="AY791" s="184">
        <f t="shared" ref="AY791:AY807" si="60">IF((AY790-$L$778*TAN($AC$773*PI()/180))&gt;$AF$775,(AY790-$L$778*TAN($AC$773*PI()/180)),0)</f>
        <v>1.5999999999999999</v>
      </c>
      <c r="AZ791" s="184"/>
      <c r="BA791" s="39"/>
      <c r="BB791" s="39"/>
      <c r="BC791" s="184">
        <f t="shared" ref="BC791:BC807" si="61">+AW791*2</f>
        <v>4.8826222462934812</v>
      </c>
      <c r="BD791" s="184"/>
      <c r="BE791" s="184">
        <f>+AY791*2</f>
        <v>3.1999999999999997</v>
      </c>
      <c r="BF791" s="184"/>
      <c r="BG791" s="39"/>
      <c r="BH791" s="39"/>
      <c r="BI791" s="39"/>
      <c r="BJ791" s="39"/>
      <c r="BK791" s="39"/>
      <c r="BL791" s="39"/>
      <c r="BM791" s="185"/>
      <c r="BN791" s="185"/>
      <c r="BO791" s="185"/>
      <c r="BP791" s="40"/>
      <c r="BQ791" s="40"/>
      <c r="BR791" s="40"/>
      <c r="BS791" s="40"/>
      <c r="BT791" s="40"/>
      <c r="BU791" s="40"/>
      <c r="BV791" s="40"/>
      <c r="CB791" s="15"/>
    </row>
    <row r="792" spans="2:80" x14ac:dyDescent="0.2">
      <c r="B792" s="14"/>
      <c r="AL792" s="1" t="s">
        <v>483</v>
      </c>
      <c r="AV792" s="40"/>
      <c r="AW792" s="184">
        <f t="shared" si="59"/>
        <v>2.3323807579381199</v>
      </c>
      <c r="AX792" s="184"/>
      <c r="AY792" s="184">
        <f t="shared" si="60"/>
        <v>1.4</v>
      </c>
      <c r="AZ792" s="184"/>
      <c r="BA792" s="39"/>
      <c r="BB792" s="39"/>
      <c r="BC792" s="184">
        <f t="shared" si="61"/>
        <v>4.6647615158762399</v>
      </c>
      <c r="BD792" s="184"/>
      <c r="BE792" s="184">
        <f t="shared" ref="BE792:BE807" si="62">+AY792*2</f>
        <v>2.8</v>
      </c>
      <c r="BF792" s="184"/>
      <c r="BG792" s="39"/>
      <c r="BH792" s="39"/>
      <c r="BI792" s="39"/>
      <c r="BJ792" s="39"/>
      <c r="BK792" s="39"/>
      <c r="BL792" s="39"/>
      <c r="BM792" s="185"/>
      <c r="BN792" s="185"/>
      <c r="BO792" s="185"/>
      <c r="BP792" s="40"/>
      <c r="BQ792" s="40"/>
      <c r="BR792" s="40"/>
      <c r="BS792" s="40"/>
      <c r="BT792" s="40"/>
      <c r="BU792" s="40"/>
      <c r="BV792" s="40"/>
      <c r="CB792" s="15"/>
    </row>
    <row r="793" spans="2:80" x14ac:dyDescent="0.2">
      <c r="B793" s="14"/>
      <c r="AV793" s="40"/>
      <c r="AW793" s="184">
        <f t="shared" si="59"/>
        <v>2.2360679774997898</v>
      </c>
      <c r="AX793" s="184"/>
      <c r="AY793" s="184">
        <f t="shared" si="60"/>
        <v>1.2</v>
      </c>
      <c r="AZ793" s="184"/>
      <c r="BA793" s="39"/>
      <c r="BB793" s="39"/>
      <c r="BC793" s="184">
        <f t="shared" si="61"/>
        <v>4.4721359549995796</v>
      </c>
      <c r="BD793" s="184"/>
      <c r="BE793" s="184">
        <f t="shared" si="62"/>
        <v>2.4</v>
      </c>
      <c r="BF793" s="184"/>
      <c r="BG793" s="39"/>
      <c r="BH793" s="39"/>
      <c r="BI793" s="39"/>
      <c r="BJ793" s="39"/>
      <c r="BK793" s="39"/>
      <c r="BL793" s="39"/>
      <c r="BM793" s="185"/>
      <c r="BN793" s="185"/>
      <c r="BO793" s="185"/>
      <c r="BP793" s="40"/>
      <c r="BQ793" s="40"/>
      <c r="BR793" s="40"/>
      <c r="BS793" s="40"/>
      <c r="BT793" s="40"/>
      <c r="BU793" s="40"/>
      <c r="BV793" s="40"/>
      <c r="CB793" s="15"/>
    </row>
    <row r="794" spans="2:80" x14ac:dyDescent="0.2">
      <c r="B794" s="14"/>
      <c r="E794" s="36" t="s">
        <v>0</v>
      </c>
      <c r="AV794" s="40"/>
      <c r="AW794" s="184">
        <f t="shared" si="59"/>
        <v>2.1540659228538019</v>
      </c>
      <c r="AX794" s="184"/>
      <c r="AY794" s="184">
        <f t="shared" si="60"/>
        <v>1</v>
      </c>
      <c r="AZ794" s="184"/>
      <c r="BA794" s="39"/>
      <c r="BB794" s="39"/>
      <c r="BC794" s="184">
        <f t="shared" si="61"/>
        <v>4.3081318457076039</v>
      </c>
      <c r="BD794" s="184"/>
      <c r="BE794" s="184">
        <f t="shared" si="62"/>
        <v>2</v>
      </c>
      <c r="BF794" s="184"/>
      <c r="BG794" s="39"/>
      <c r="BH794" s="39"/>
      <c r="BI794" s="39"/>
      <c r="BJ794" s="39"/>
      <c r="BK794" s="39"/>
      <c r="BL794" s="39"/>
      <c r="BM794" s="185"/>
      <c r="BN794" s="185"/>
      <c r="BO794" s="185"/>
      <c r="BP794" s="40"/>
      <c r="BQ794" s="40"/>
      <c r="BR794" s="40"/>
      <c r="BS794" s="40"/>
      <c r="BT794" s="40"/>
      <c r="BU794" s="40"/>
      <c r="BV794" s="40"/>
      <c r="CB794" s="15"/>
    </row>
    <row r="795" spans="2:80" x14ac:dyDescent="0.2">
      <c r="B795" s="14"/>
      <c r="E795" s="122">
        <v>6</v>
      </c>
      <c r="AV795" s="40"/>
      <c r="AW795" s="184">
        <f t="shared" si="59"/>
        <v>2.0880613017821101</v>
      </c>
      <c r="AX795" s="184"/>
      <c r="AY795" s="184">
        <f t="shared" si="60"/>
        <v>0.8</v>
      </c>
      <c r="AZ795" s="184"/>
      <c r="BA795" s="39"/>
      <c r="BB795" s="39"/>
      <c r="BC795" s="184">
        <f t="shared" si="61"/>
        <v>4.1761226035642203</v>
      </c>
      <c r="BD795" s="184"/>
      <c r="BE795" s="184">
        <f t="shared" si="62"/>
        <v>1.6</v>
      </c>
      <c r="BF795" s="184"/>
      <c r="BG795" s="39"/>
      <c r="BH795" s="39"/>
      <c r="BI795" s="39"/>
      <c r="BJ795" s="39"/>
      <c r="BK795" s="39"/>
      <c r="BL795" s="39"/>
      <c r="BM795" s="39">
        <v>4</v>
      </c>
      <c r="BN795" s="39">
        <v>2</v>
      </c>
      <c r="BO795" s="39">
        <v>2</v>
      </c>
      <c r="BP795" s="40"/>
      <c r="BQ795" s="40"/>
      <c r="BR795" s="40"/>
      <c r="BS795" s="40"/>
      <c r="BT795" s="40"/>
      <c r="BU795" s="40"/>
      <c r="BV795" s="40"/>
      <c r="CB795" s="15"/>
    </row>
    <row r="796" spans="2:80" x14ac:dyDescent="0.2">
      <c r="B796" s="14"/>
      <c r="E796" s="122"/>
      <c r="AV796" s="40"/>
      <c r="AW796" s="184">
        <f t="shared" si="59"/>
        <v>0</v>
      </c>
      <c r="AX796" s="184"/>
      <c r="AY796" s="184">
        <f t="shared" si="60"/>
        <v>0</v>
      </c>
      <c r="AZ796" s="184"/>
      <c r="BA796" s="39"/>
      <c r="BB796" s="39"/>
      <c r="BC796" s="184">
        <f t="shared" si="61"/>
        <v>0</v>
      </c>
      <c r="BD796" s="184"/>
      <c r="BE796" s="184">
        <f t="shared" si="62"/>
        <v>0</v>
      </c>
      <c r="BF796" s="184"/>
      <c r="BG796" s="39"/>
      <c r="BH796" s="39"/>
      <c r="BI796" s="39"/>
      <c r="BJ796" s="39"/>
      <c r="BK796" s="39"/>
      <c r="BL796" s="39"/>
      <c r="BM796" s="39">
        <v>7</v>
      </c>
      <c r="BN796" s="39">
        <v>3</v>
      </c>
      <c r="BO796" s="39">
        <v>4</v>
      </c>
      <c r="BP796" s="40"/>
      <c r="BQ796" s="40"/>
      <c r="BR796" s="40"/>
      <c r="BS796" s="40"/>
      <c r="BT796" s="40"/>
      <c r="BU796" s="40"/>
      <c r="BV796" s="40"/>
      <c r="CB796" s="15"/>
    </row>
    <row r="797" spans="2:80" x14ac:dyDescent="0.2">
      <c r="B797" s="14"/>
      <c r="E797" s="122"/>
      <c r="AV797" s="40"/>
      <c r="AW797" s="184">
        <f t="shared" si="59"/>
        <v>0</v>
      </c>
      <c r="AX797" s="184"/>
      <c r="AY797" s="184">
        <f t="shared" si="60"/>
        <v>0</v>
      </c>
      <c r="AZ797" s="184"/>
      <c r="BA797" s="39"/>
      <c r="BB797" s="39"/>
      <c r="BC797" s="184">
        <f t="shared" si="61"/>
        <v>0</v>
      </c>
      <c r="BD797" s="184"/>
      <c r="BE797" s="184">
        <f t="shared" si="62"/>
        <v>0</v>
      </c>
      <c r="BF797" s="184"/>
      <c r="BG797" s="39"/>
      <c r="BH797" s="39"/>
      <c r="BI797" s="39"/>
      <c r="BJ797" s="39"/>
      <c r="BK797" s="39"/>
      <c r="BL797" s="39"/>
      <c r="BM797" s="39">
        <v>10</v>
      </c>
      <c r="BN797" s="39">
        <v>4</v>
      </c>
      <c r="BO797" s="39">
        <v>6</v>
      </c>
      <c r="BP797" s="40"/>
      <c r="BQ797" s="40"/>
      <c r="BR797" s="40"/>
      <c r="BS797" s="40"/>
      <c r="BT797" s="40"/>
      <c r="BU797" s="40"/>
      <c r="BV797" s="40"/>
      <c r="CB797" s="15"/>
    </row>
    <row r="798" spans="2:80" x14ac:dyDescent="0.2">
      <c r="B798" s="14"/>
      <c r="AH798" s="1" t="s">
        <v>307</v>
      </c>
      <c r="AL798" s="60">
        <f>+X779+2</f>
        <v>14</v>
      </c>
      <c r="AM798" s="60"/>
      <c r="AN798" s="1" t="s">
        <v>265</v>
      </c>
      <c r="AV798" s="40"/>
      <c r="AW798" s="184">
        <f t="shared" si="59"/>
        <v>0</v>
      </c>
      <c r="AX798" s="184"/>
      <c r="AY798" s="184">
        <f t="shared" si="60"/>
        <v>0</v>
      </c>
      <c r="AZ798" s="184"/>
      <c r="BA798" s="39"/>
      <c r="BB798" s="39"/>
      <c r="BC798" s="184">
        <f t="shared" si="61"/>
        <v>0</v>
      </c>
      <c r="BD798" s="184"/>
      <c r="BE798" s="184">
        <f t="shared" si="62"/>
        <v>0</v>
      </c>
      <c r="BF798" s="184"/>
      <c r="BG798" s="39"/>
      <c r="BH798" s="39"/>
      <c r="BI798" s="39"/>
      <c r="BJ798" s="39"/>
      <c r="BK798" s="39"/>
      <c r="BL798" s="39"/>
      <c r="BM798" s="39">
        <v>13</v>
      </c>
      <c r="BN798" s="39">
        <v>5</v>
      </c>
      <c r="BO798" s="39">
        <v>8</v>
      </c>
      <c r="BP798" s="40"/>
      <c r="BQ798" s="40"/>
      <c r="BR798" s="40"/>
      <c r="BS798" s="40"/>
      <c r="BT798" s="40"/>
      <c r="BU798" s="40"/>
      <c r="BV798" s="40"/>
      <c r="CB798" s="15"/>
    </row>
    <row r="799" spans="2:80" x14ac:dyDescent="0.2">
      <c r="B799" s="14"/>
      <c r="E799" s="36" t="s">
        <v>0</v>
      </c>
      <c r="G799" s="1" t="s">
        <v>4</v>
      </c>
      <c r="AF799" s="38" t="s">
        <v>4</v>
      </c>
      <c r="AH799" s="1" t="s">
        <v>445</v>
      </c>
      <c r="AV799" s="40"/>
      <c r="AW799" s="184">
        <f t="shared" si="59"/>
        <v>0</v>
      </c>
      <c r="AX799" s="184"/>
      <c r="AY799" s="184">
        <f t="shared" si="60"/>
        <v>0</v>
      </c>
      <c r="AZ799" s="184"/>
      <c r="BA799" s="39"/>
      <c r="BB799" s="39"/>
      <c r="BC799" s="184">
        <f t="shared" si="61"/>
        <v>0</v>
      </c>
      <c r="BD799" s="184"/>
      <c r="BE799" s="184">
        <f t="shared" si="62"/>
        <v>0</v>
      </c>
      <c r="BF799" s="184"/>
      <c r="BG799" s="39"/>
      <c r="BH799" s="39"/>
      <c r="BI799" s="39"/>
      <c r="BJ799" s="39"/>
      <c r="BK799" s="39"/>
      <c r="BL799" s="39"/>
      <c r="BM799" s="39">
        <v>16</v>
      </c>
      <c r="BN799" s="39">
        <v>6</v>
      </c>
      <c r="BO799" s="39">
        <v>10</v>
      </c>
      <c r="BP799" s="40"/>
      <c r="BQ799" s="40"/>
      <c r="BR799" s="40"/>
      <c r="BS799" s="40"/>
      <c r="BT799" s="40"/>
      <c r="BU799" s="40"/>
      <c r="BV799" s="40"/>
      <c r="CB799" s="15"/>
    </row>
    <row r="800" spans="2:80" x14ac:dyDescent="0.2">
      <c r="B800" s="14"/>
      <c r="E800" s="121">
        <f>+E795</f>
        <v>6</v>
      </c>
      <c r="AV800" s="40"/>
      <c r="AW800" s="184">
        <f t="shared" si="59"/>
        <v>0</v>
      </c>
      <c r="AX800" s="184"/>
      <c r="AY800" s="184">
        <f t="shared" si="60"/>
        <v>0</v>
      </c>
      <c r="AZ800" s="184"/>
      <c r="BA800" s="39"/>
      <c r="BB800" s="39"/>
      <c r="BC800" s="184">
        <f t="shared" si="61"/>
        <v>0</v>
      </c>
      <c r="BD800" s="184"/>
      <c r="BE800" s="184">
        <f t="shared" si="62"/>
        <v>0</v>
      </c>
      <c r="BF800" s="184"/>
      <c r="BG800" s="39"/>
      <c r="BH800" s="39"/>
      <c r="BI800" s="39"/>
      <c r="BJ800" s="39"/>
      <c r="BK800" s="39"/>
      <c r="BL800" s="39"/>
      <c r="BM800" s="39">
        <v>19</v>
      </c>
      <c r="BN800" s="39">
        <v>7</v>
      </c>
      <c r="BO800" s="39">
        <v>12</v>
      </c>
      <c r="BP800" s="40"/>
      <c r="BQ800" s="40"/>
      <c r="BR800" s="40"/>
      <c r="BS800" s="40"/>
      <c r="BT800" s="40"/>
      <c r="BU800" s="40"/>
      <c r="BV800" s="40"/>
      <c r="CB800" s="15"/>
    </row>
    <row r="801" spans="2:80" x14ac:dyDescent="0.2">
      <c r="B801" s="14"/>
      <c r="E801" s="121"/>
      <c r="AV801" s="40"/>
      <c r="AW801" s="184">
        <f t="shared" si="59"/>
        <v>0</v>
      </c>
      <c r="AX801" s="184"/>
      <c r="AY801" s="184">
        <f t="shared" si="60"/>
        <v>0</v>
      </c>
      <c r="AZ801" s="184"/>
      <c r="BA801" s="39"/>
      <c r="BB801" s="39"/>
      <c r="BC801" s="184">
        <f t="shared" si="61"/>
        <v>0</v>
      </c>
      <c r="BD801" s="184"/>
      <c r="BE801" s="184">
        <f t="shared" si="62"/>
        <v>0</v>
      </c>
      <c r="BF801" s="184"/>
      <c r="BG801" s="39"/>
      <c r="BH801" s="39"/>
      <c r="BI801" s="39"/>
      <c r="BJ801" s="39"/>
      <c r="BK801" s="39"/>
      <c r="BL801" s="39"/>
      <c r="BM801" s="39">
        <v>22</v>
      </c>
      <c r="BN801" s="39">
        <v>8</v>
      </c>
      <c r="BO801" s="39">
        <v>14</v>
      </c>
      <c r="BP801" s="40"/>
      <c r="BQ801" s="40"/>
      <c r="BR801" s="40"/>
      <c r="BS801" s="40"/>
      <c r="BT801" s="40"/>
      <c r="BU801" s="40"/>
      <c r="BV801" s="40"/>
      <c r="CB801" s="15"/>
    </row>
    <row r="802" spans="2:80" x14ac:dyDescent="0.2">
      <c r="B802" s="14"/>
      <c r="E802" s="121"/>
      <c r="AV802" s="40"/>
      <c r="AW802" s="184">
        <f t="shared" si="59"/>
        <v>0</v>
      </c>
      <c r="AX802" s="184"/>
      <c r="AY802" s="184">
        <f t="shared" si="60"/>
        <v>0</v>
      </c>
      <c r="AZ802" s="184"/>
      <c r="BA802" s="39"/>
      <c r="BB802" s="39"/>
      <c r="BC802" s="184">
        <f t="shared" si="61"/>
        <v>0</v>
      </c>
      <c r="BD802" s="184"/>
      <c r="BE802" s="184">
        <f t="shared" si="62"/>
        <v>0</v>
      </c>
      <c r="BF802" s="184"/>
      <c r="BG802" s="39"/>
      <c r="BH802" s="39"/>
      <c r="BI802" s="39"/>
      <c r="BJ802" s="39"/>
      <c r="BK802" s="39"/>
      <c r="BL802" s="39"/>
      <c r="BM802" s="39">
        <v>25</v>
      </c>
      <c r="BN802" s="39">
        <v>9</v>
      </c>
      <c r="BO802" s="39">
        <v>16</v>
      </c>
      <c r="BP802" s="40"/>
      <c r="BQ802" s="40"/>
      <c r="BR802" s="40"/>
      <c r="BS802" s="40"/>
      <c r="BT802" s="40"/>
      <c r="BU802" s="40"/>
      <c r="BV802" s="40"/>
      <c r="CB802" s="15"/>
    </row>
    <row r="803" spans="2:80" x14ac:dyDescent="0.2">
      <c r="B803" s="14"/>
      <c r="AH803" s="1" t="s">
        <v>15</v>
      </c>
      <c r="AV803" s="40"/>
      <c r="AW803" s="184">
        <f t="shared" si="59"/>
        <v>0</v>
      </c>
      <c r="AX803" s="184"/>
      <c r="AY803" s="184">
        <f t="shared" si="60"/>
        <v>0</v>
      </c>
      <c r="AZ803" s="184"/>
      <c r="BA803" s="39"/>
      <c r="BB803" s="39"/>
      <c r="BC803" s="184">
        <f t="shared" si="61"/>
        <v>0</v>
      </c>
      <c r="BD803" s="184"/>
      <c r="BE803" s="184">
        <f t="shared" si="62"/>
        <v>0</v>
      </c>
      <c r="BF803" s="184"/>
      <c r="BG803" s="39"/>
      <c r="BH803" s="39"/>
      <c r="BI803" s="39"/>
      <c r="BJ803" s="39"/>
      <c r="BK803" s="39"/>
      <c r="BL803" s="39"/>
      <c r="BM803" s="39">
        <v>28</v>
      </c>
      <c r="BN803" s="39">
        <v>10</v>
      </c>
      <c r="BO803" s="39">
        <v>18</v>
      </c>
      <c r="BP803" s="40"/>
      <c r="BQ803" s="40"/>
      <c r="BR803" s="40"/>
      <c r="BS803" s="40"/>
      <c r="BT803" s="40"/>
      <c r="BU803" s="40"/>
      <c r="BV803" s="40"/>
      <c r="CB803" s="15"/>
    </row>
    <row r="804" spans="2:80" x14ac:dyDescent="0.2">
      <c r="B804" s="14"/>
      <c r="E804" s="36" t="s">
        <v>0</v>
      </c>
      <c r="AV804" s="40"/>
      <c r="AW804" s="184">
        <f t="shared" si="59"/>
        <v>0</v>
      </c>
      <c r="AX804" s="184"/>
      <c r="AY804" s="184">
        <f t="shared" si="60"/>
        <v>0</v>
      </c>
      <c r="AZ804" s="184"/>
      <c r="BA804" s="39"/>
      <c r="BB804" s="39"/>
      <c r="BC804" s="184">
        <f t="shared" si="61"/>
        <v>0</v>
      </c>
      <c r="BD804" s="184"/>
      <c r="BE804" s="184">
        <f t="shared" si="62"/>
        <v>0</v>
      </c>
      <c r="BF804" s="184"/>
      <c r="BG804" s="39"/>
      <c r="BH804" s="39"/>
      <c r="BI804" s="39"/>
      <c r="BJ804" s="39"/>
      <c r="BK804" s="39"/>
      <c r="BL804" s="39"/>
      <c r="BM804" s="39">
        <v>31</v>
      </c>
      <c r="BN804" s="39">
        <v>11</v>
      </c>
      <c r="BO804" s="39">
        <v>20</v>
      </c>
      <c r="BP804" s="40"/>
      <c r="BQ804" s="40"/>
      <c r="BR804" s="40"/>
      <c r="BS804" s="40"/>
      <c r="BT804" s="40"/>
      <c r="BU804" s="40"/>
      <c r="BV804" s="40"/>
      <c r="CB804" s="15"/>
    </row>
    <row r="805" spans="2:80" x14ac:dyDescent="0.2">
      <c r="B805" s="14"/>
      <c r="C805" s="36" t="s">
        <v>0</v>
      </c>
      <c r="E805" s="121">
        <f>+E800</f>
        <v>6</v>
      </c>
      <c r="AV805" s="40"/>
      <c r="AW805" s="184">
        <f t="shared" si="59"/>
        <v>0</v>
      </c>
      <c r="AX805" s="184"/>
      <c r="AY805" s="184">
        <f t="shared" si="60"/>
        <v>0</v>
      </c>
      <c r="AZ805" s="184"/>
      <c r="BA805" s="39"/>
      <c r="BB805" s="39"/>
      <c r="BC805" s="184">
        <f t="shared" si="61"/>
        <v>0</v>
      </c>
      <c r="BD805" s="184"/>
      <c r="BE805" s="184">
        <f t="shared" si="62"/>
        <v>0</v>
      </c>
      <c r="BF805" s="184"/>
      <c r="BG805" s="39"/>
      <c r="BH805" s="39"/>
      <c r="BI805" s="39"/>
      <c r="BJ805" s="39"/>
      <c r="BK805" s="39"/>
      <c r="BL805" s="39"/>
      <c r="BM805" s="39">
        <v>34</v>
      </c>
      <c r="BN805" s="39">
        <v>12</v>
      </c>
      <c r="BO805" s="39">
        <v>22</v>
      </c>
      <c r="BP805" s="40"/>
      <c r="BQ805" s="40"/>
      <c r="BR805" s="40"/>
      <c r="BS805" s="40"/>
      <c r="BT805" s="40"/>
      <c r="BU805" s="40"/>
      <c r="BV805" s="40"/>
      <c r="CB805" s="15"/>
    </row>
    <row r="806" spans="2:80" x14ac:dyDescent="0.2">
      <c r="B806" s="14"/>
      <c r="C806" s="121">
        <f>+C816*C811</f>
        <v>42</v>
      </c>
      <c r="E806" s="121"/>
      <c r="AV806" s="40"/>
      <c r="AW806" s="184">
        <f t="shared" si="59"/>
        <v>0</v>
      </c>
      <c r="AX806" s="184"/>
      <c r="AY806" s="184">
        <f t="shared" si="60"/>
        <v>0</v>
      </c>
      <c r="AZ806" s="184"/>
      <c r="BA806" s="39"/>
      <c r="BB806" s="39"/>
      <c r="BC806" s="184">
        <f t="shared" si="61"/>
        <v>0</v>
      </c>
      <c r="BD806" s="184"/>
      <c r="BE806" s="184">
        <f t="shared" si="62"/>
        <v>0</v>
      </c>
      <c r="BF806" s="184"/>
      <c r="BG806" s="39"/>
      <c r="BH806" s="39"/>
      <c r="BI806" s="39"/>
      <c r="BJ806" s="39"/>
      <c r="BK806" s="39"/>
      <c r="BL806" s="39"/>
      <c r="BM806" s="39"/>
      <c r="BN806" s="39"/>
      <c r="BO806" s="39"/>
      <c r="BP806" s="40"/>
      <c r="BQ806" s="40"/>
      <c r="BR806" s="40"/>
      <c r="BS806" s="40"/>
      <c r="BT806" s="40"/>
      <c r="BU806" s="40"/>
      <c r="BV806" s="40"/>
      <c r="CB806" s="15"/>
    </row>
    <row r="807" spans="2:80" x14ac:dyDescent="0.2">
      <c r="B807" s="14"/>
      <c r="C807" s="121"/>
      <c r="E807" s="121"/>
      <c r="AV807" s="40"/>
      <c r="AW807" s="184">
        <f t="shared" si="59"/>
        <v>0</v>
      </c>
      <c r="AX807" s="184"/>
      <c r="AY807" s="184">
        <f t="shared" si="60"/>
        <v>0</v>
      </c>
      <c r="AZ807" s="184"/>
      <c r="BA807" s="39"/>
      <c r="BB807" s="39"/>
      <c r="BC807" s="184">
        <f t="shared" si="61"/>
        <v>0</v>
      </c>
      <c r="BD807" s="184"/>
      <c r="BE807" s="184">
        <f t="shared" si="62"/>
        <v>0</v>
      </c>
      <c r="BF807" s="184"/>
      <c r="BG807" s="39"/>
      <c r="BH807" s="39"/>
      <c r="BI807" s="39"/>
      <c r="BJ807" s="39"/>
      <c r="BK807" s="39"/>
      <c r="BL807" s="39"/>
      <c r="BM807" s="39"/>
      <c r="BN807" s="39"/>
      <c r="BO807" s="39"/>
      <c r="BP807" s="40"/>
      <c r="BQ807" s="40"/>
      <c r="BR807" s="40"/>
      <c r="BS807" s="40"/>
      <c r="BT807" s="40"/>
      <c r="BU807" s="40"/>
      <c r="BV807" s="40"/>
      <c r="CB807" s="15"/>
    </row>
    <row r="808" spans="2:80" x14ac:dyDescent="0.2">
      <c r="B808" s="14"/>
      <c r="C808" s="121"/>
      <c r="AV808" s="40"/>
      <c r="AW808" s="39"/>
      <c r="AX808" s="39"/>
      <c r="AY808" s="39"/>
      <c r="AZ808" s="39"/>
      <c r="BA808" s="39"/>
      <c r="BB808" s="39"/>
      <c r="BC808" s="184">
        <f>SUM(BC790:BD807)</f>
        <v>27.626273556387403</v>
      </c>
      <c r="BD808" s="184"/>
      <c r="BE808" s="184">
        <f>SUM(BE790:BF807)</f>
        <v>13.799999999999999</v>
      </c>
      <c r="BF808" s="184"/>
      <c r="BG808" s="39"/>
      <c r="BH808" s="39"/>
      <c r="BI808" s="39"/>
      <c r="BJ808" s="39"/>
      <c r="BK808" s="39"/>
      <c r="BL808" s="39"/>
      <c r="BM808" s="39"/>
      <c r="BN808" s="39"/>
      <c r="BO808" s="39"/>
      <c r="BP808" s="40"/>
      <c r="BQ808" s="40"/>
      <c r="BR808" s="40"/>
      <c r="BS808" s="40"/>
      <c r="BT808" s="40"/>
      <c r="BU808" s="40"/>
      <c r="BV808" s="40"/>
      <c r="CB808" s="15"/>
    </row>
    <row r="809" spans="2:80" x14ac:dyDescent="0.2">
      <c r="B809" s="14"/>
      <c r="C809" s="36" t="s">
        <v>2</v>
      </c>
      <c r="E809" s="36" t="s">
        <v>0</v>
      </c>
      <c r="AH809" s="1" t="s">
        <v>466</v>
      </c>
      <c r="AV809" s="40"/>
      <c r="AW809" s="40"/>
      <c r="AX809" s="40"/>
      <c r="AY809" s="40"/>
      <c r="AZ809" s="40"/>
      <c r="BA809" s="40"/>
      <c r="BB809" s="40"/>
      <c r="BC809" s="40"/>
      <c r="BD809" s="40"/>
      <c r="BE809" s="40"/>
      <c r="BF809" s="40"/>
      <c r="BG809" s="40"/>
      <c r="BH809" s="40"/>
      <c r="BI809" s="40"/>
      <c r="BJ809" s="40"/>
      <c r="BK809" s="40"/>
      <c r="BL809" s="40"/>
      <c r="BM809" s="40"/>
      <c r="BN809" s="40"/>
      <c r="BO809" s="40"/>
      <c r="BP809" s="40"/>
      <c r="BQ809" s="40"/>
      <c r="BR809" s="40"/>
      <c r="BS809" s="40"/>
      <c r="BT809" s="40"/>
      <c r="BU809" s="40"/>
      <c r="BV809" s="40"/>
      <c r="CB809" s="15"/>
    </row>
    <row r="810" spans="2:80" x14ac:dyDescent="0.2">
      <c r="B810" s="14"/>
      <c r="C810" s="36" t="s">
        <v>0</v>
      </c>
      <c r="E810" s="121">
        <f>+E805</f>
        <v>6</v>
      </c>
      <c r="AW810" s="40"/>
      <c r="AX810" s="40"/>
      <c r="AY810" s="40"/>
      <c r="AZ810" s="40"/>
      <c r="BA810" s="40"/>
      <c r="BB810" s="40"/>
      <c r="BC810" s="40"/>
      <c r="BD810" s="40"/>
      <c r="BE810" s="40"/>
      <c r="BF810" s="40"/>
      <c r="BG810" s="40"/>
      <c r="BH810" s="40"/>
      <c r="BI810" s="40"/>
      <c r="BJ810" s="40"/>
      <c r="BK810" s="40"/>
      <c r="BL810" s="40"/>
      <c r="BM810" s="40"/>
      <c r="BN810" s="40"/>
      <c r="BO810" s="40"/>
      <c r="BP810" s="40"/>
      <c r="BQ810" s="40"/>
      <c r="BR810" s="40"/>
      <c r="BS810" s="40"/>
      <c r="CB810" s="15"/>
    </row>
    <row r="811" spans="2:80" x14ac:dyDescent="0.2">
      <c r="B811" s="14"/>
      <c r="C811" s="121">
        <f>+E795</f>
        <v>6</v>
      </c>
      <c r="E811" s="121"/>
      <c r="BM811" s="35" t="s">
        <v>444</v>
      </c>
      <c r="CB811" s="15"/>
    </row>
    <row r="812" spans="2:80" x14ac:dyDescent="0.2">
      <c r="B812" s="14"/>
      <c r="C812" s="121"/>
      <c r="E812" s="121"/>
      <c r="BR812" s="1" t="s">
        <v>418</v>
      </c>
      <c r="CB812" s="15"/>
    </row>
    <row r="813" spans="2:80" x14ac:dyDescent="0.2">
      <c r="B813" s="14"/>
      <c r="C813" s="121"/>
      <c r="CB813" s="15"/>
    </row>
    <row r="814" spans="2:80" x14ac:dyDescent="0.2">
      <c r="B814" s="14"/>
      <c r="C814" s="121" t="s">
        <v>1</v>
      </c>
      <c r="E814" s="36" t="s">
        <v>0</v>
      </c>
      <c r="AH814" s="1" t="s">
        <v>7</v>
      </c>
      <c r="CB814" s="15"/>
    </row>
    <row r="815" spans="2:80" x14ac:dyDescent="0.2">
      <c r="B815" s="14"/>
      <c r="C815" s="121"/>
      <c r="E815" s="121">
        <f>+E810</f>
        <v>6</v>
      </c>
      <c r="AU815" s="35" t="s">
        <v>416</v>
      </c>
      <c r="BE815" s="35" t="s">
        <v>414</v>
      </c>
      <c r="BU815" s="60" t="s">
        <v>424</v>
      </c>
      <c r="CB815" s="15"/>
    </row>
    <row r="816" spans="2:80" x14ac:dyDescent="0.2">
      <c r="B816" s="14"/>
      <c r="C816" s="122">
        <v>7</v>
      </c>
      <c r="E816" s="121"/>
      <c r="BU816" s="60"/>
      <c r="CB816" s="15"/>
    </row>
    <row r="817" spans="2:80" x14ac:dyDescent="0.2">
      <c r="B817" s="14"/>
      <c r="C817" s="122"/>
      <c r="E817" s="121"/>
      <c r="CB817" s="15"/>
    </row>
    <row r="818" spans="2:80" x14ac:dyDescent="0.2">
      <c r="B818" s="14"/>
      <c r="BP818" s="1" t="s">
        <v>421</v>
      </c>
      <c r="CB818" s="15"/>
    </row>
    <row r="819" spans="2:80" x14ac:dyDescent="0.2">
      <c r="B819" s="14"/>
      <c r="E819" s="36" t="s">
        <v>0</v>
      </c>
      <c r="AR819" s="1" t="s">
        <v>420</v>
      </c>
      <c r="AY819" s="25" t="s">
        <v>421</v>
      </c>
      <c r="BC819" s="1" t="s">
        <v>422</v>
      </c>
      <c r="BJ819" s="25" t="s">
        <v>421</v>
      </c>
      <c r="BN819" s="1" t="s">
        <v>420</v>
      </c>
      <c r="CB819" s="15"/>
    </row>
    <row r="820" spans="2:80" x14ac:dyDescent="0.2">
      <c r="B820" s="14"/>
      <c r="E820" s="121">
        <f>+E815</f>
        <v>6</v>
      </c>
      <c r="CB820" s="15"/>
    </row>
    <row r="821" spans="2:80" x14ac:dyDescent="0.2">
      <c r="B821" s="14"/>
      <c r="E821" s="121"/>
      <c r="CB821" s="15"/>
    </row>
    <row r="822" spans="2:80" x14ac:dyDescent="0.2">
      <c r="B822" s="14"/>
      <c r="E822" s="121"/>
      <c r="CB822" s="15"/>
    </row>
    <row r="823" spans="2:80" x14ac:dyDescent="0.2">
      <c r="B823" s="14"/>
      <c r="AV823" s="60" t="s">
        <v>418</v>
      </c>
      <c r="AW823" s="60"/>
      <c r="CB823" s="15"/>
    </row>
    <row r="824" spans="2:80" x14ac:dyDescent="0.2">
      <c r="B824" s="14"/>
      <c r="E824" s="36" t="s">
        <v>0</v>
      </c>
      <c r="CB824" s="15"/>
    </row>
    <row r="825" spans="2:80" x14ac:dyDescent="0.2">
      <c r="B825" s="14"/>
      <c r="E825" s="121">
        <f>+E820</f>
        <v>6</v>
      </c>
      <c r="CB825" s="15"/>
    </row>
    <row r="826" spans="2:80" x14ac:dyDescent="0.2">
      <c r="B826" s="14"/>
      <c r="E826" s="121"/>
      <c r="CB826" s="15"/>
    </row>
    <row r="827" spans="2:80" x14ac:dyDescent="0.2">
      <c r="B827" s="14"/>
      <c r="E827" s="121"/>
      <c r="CB827" s="15"/>
    </row>
    <row r="828" spans="2:80" x14ac:dyDescent="0.2">
      <c r="B828" s="14"/>
      <c r="CB828" s="15"/>
    </row>
    <row r="829" spans="2:80" x14ac:dyDescent="0.2">
      <c r="B829" s="14"/>
      <c r="CB829" s="15"/>
    </row>
    <row r="830" spans="2:80" x14ac:dyDescent="0.2">
      <c r="B830" s="14"/>
      <c r="J830" s="1" t="s">
        <v>269</v>
      </c>
      <c r="P830" s="35" t="s">
        <v>291</v>
      </c>
      <c r="BR830" s="40"/>
      <c r="BS830" s="35" t="s">
        <v>450</v>
      </c>
      <c r="CB830" s="15"/>
    </row>
    <row r="831" spans="2:80" x14ac:dyDescent="0.2">
      <c r="B831" s="14"/>
      <c r="I831" s="1" t="s">
        <v>11</v>
      </c>
      <c r="T831" s="1" t="s">
        <v>451</v>
      </c>
      <c r="Y831" s="1" t="s">
        <v>270</v>
      </c>
      <c r="AH831" s="1" t="s">
        <v>386</v>
      </c>
      <c r="BR831" s="40"/>
      <c r="CB831" s="15"/>
    </row>
    <row r="832" spans="2:80" x14ac:dyDescent="0.2">
      <c r="B832" s="14"/>
      <c r="AA832" s="1" t="s">
        <v>10</v>
      </c>
      <c r="BR832" s="40"/>
      <c r="BV832" s="36" t="s">
        <v>0</v>
      </c>
      <c r="BX832" s="1" t="s">
        <v>452</v>
      </c>
      <c r="CB832" s="15"/>
    </row>
    <row r="833" spans="2:80" x14ac:dyDescent="0.2">
      <c r="B833" s="14"/>
      <c r="E833" s="36" t="s">
        <v>0</v>
      </c>
      <c r="BR833" s="40"/>
      <c r="BV833" s="121">
        <f>+E834</f>
        <v>1.2</v>
      </c>
      <c r="BX833" s="1" t="s">
        <v>453</v>
      </c>
      <c r="CB833" s="15"/>
    </row>
    <row r="834" spans="2:80" x14ac:dyDescent="0.2">
      <c r="B834" s="14"/>
      <c r="E834" s="121">
        <f>+E772</f>
        <v>1.2</v>
      </c>
      <c r="AG834" s="1" t="s">
        <v>452</v>
      </c>
      <c r="BR834" s="40"/>
      <c r="BV834" s="121"/>
      <c r="CB834" s="15"/>
    </row>
    <row r="835" spans="2:80" x14ac:dyDescent="0.2">
      <c r="B835" s="14"/>
      <c r="E835" s="121"/>
      <c r="AX835" s="35" t="s">
        <v>454</v>
      </c>
      <c r="BR835" s="40"/>
      <c r="BV835" s="121"/>
      <c r="CB835" s="15"/>
    </row>
    <row r="836" spans="2:80" x14ac:dyDescent="0.2">
      <c r="B836" s="14"/>
      <c r="E836" s="121"/>
      <c r="AX836" s="44" t="s">
        <v>452</v>
      </c>
      <c r="BR836" s="40"/>
      <c r="CB836" s="15"/>
    </row>
    <row r="837" spans="2:80" x14ac:dyDescent="0.2">
      <c r="B837" s="14"/>
      <c r="C837" s="36" t="s">
        <v>0</v>
      </c>
      <c r="AD837" s="37"/>
      <c r="AT837" s="1" t="s">
        <v>430</v>
      </c>
      <c r="BN837" s="36" t="s">
        <v>0</v>
      </c>
      <c r="BR837" s="40"/>
      <c r="BU837" s="60">
        <f>+D838</f>
        <v>4</v>
      </c>
      <c r="BV837" s="60"/>
      <c r="BW837" s="183" t="s">
        <v>0</v>
      </c>
      <c r="CB837" s="15"/>
    </row>
    <row r="838" spans="2:80" x14ac:dyDescent="0.2">
      <c r="B838" s="14"/>
      <c r="C838" s="121">
        <f>+C776</f>
        <v>9.1999999999999993</v>
      </c>
      <c r="D838" s="60">
        <f>+E778-D840-D843</f>
        <v>4</v>
      </c>
      <c r="E838" s="60"/>
      <c r="F838" s="1" t="s">
        <v>0</v>
      </c>
      <c r="BN838" s="122">
        <v>0.8</v>
      </c>
      <c r="BR838" s="40"/>
      <c r="BU838" s="60"/>
      <c r="BV838" s="60"/>
      <c r="BW838" s="183"/>
      <c r="CB838" s="15"/>
    </row>
    <row r="839" spans="2:80" x14ac:dyDescent="0.2">
      <c r="B839" s="14"/>
      <c r="C839" s="121"/>
      <c r="AQ839" s="1" t="s">
        <v>422</v>
      </c>
      <c r="AS839" s="1" t="s">
        <v>431</v>
      </c>
      <c r="BN839" s="122"/>
      <c r="BR839" s="40"/>
      <c r="CB839" s="15"/>
    </row>
    <row r="840" spans="2:80" x14ac:dyDescent="0.2">
      <c r="B840" s="14"/>
      <c r="C840" s="121"/>
      <c r="D840" s="60">
        <f>+AH841-D843</f>
        <v>2</v>
      </c>
      <c r="E840" s="60"/>
      <c r="F840" s="183" t="s">
        <v>0</v>
      </c>
      <c r="G840" s="1" t="s">
        <v>455</v>
      </c>
      <c r="AF840" s="25" t="s">
        <v>455</v>
      </c>
      <c r="AH840" s="36" t="s">
        <v>0</v>
      </c>
      <c r="AR840" s="1" t="s">
        <v>237</v>
      </c>
      <c r="BN840" s="122"/>
      <c r="BR840" s="40"/>
      <c r="BS840" s="60">
        <f>+BN838</f>
        <v>0.8</v>
      </c>
      <c r="BT840" s="60"/>
      <c r="BV840" s="36" t="s">
        <v>0</v>
      </c>
      <c r="CB840" s="15"/>
    </row>
    <row r="841" spans="2:80" x14ac:dyDescent="0.2">
      <c r="B841" s="14"/>
      <c r="D841" s="60"/>
      <c r="E841" s="60"/>
      <c r="F841" s="183"/>
      <c r="AH841" s="122">
        <v>4</v>
      </c>
      <c r="BR841" s="40"/>
      <c r="BV841" s="121">
        <f>+AH841</f>
        <v>4</v>
      </c>
      <c r="CB841" s="15"/>
    </row>
    <row r="842" spans="2:80" x14ac:dyDescent="0.2">
      <c r="B842" s="14"/>
      <c r="AH842" s="122"/>
      <c r="BR842" s="40"/>
      <c r="BV842" s="121"/>
      <c r="BX842" s="1" t="s">
        <v>452</v>
      </c>
      <c r="CB842" s="15"/>
    </row>
    <row r="843" spans="2:80" x14ac:dyDescent="0.2">
      <c r="B843" s="14"/>
      <c r="D843" s="91">
        <v>2</v>
      </c>
      <c r="E843" s="91"/>
      <c r="F843" s="1" t="s">
        <v>0</v>
      </c>
      <c r="AH843" s="122"/>
      <c r="AN843" s="60">
        <f>+H846</f>
        <v>3.1666666666666665</v>
      </c>
      <c r="AO843" s="60"/>
      <c r="AQ843" s="60">
        <f>+K846</f>
        <v>3.1666666666666665</v>
      </c>
      <c r="AR843" s="60"/>
      <c r="AT843" s="60">
        <f>+N846</f>
        <v>3.1666666666666665</v>
      </c>
      <c r="AU843" s="60"/>
      <c r="AW843" s="60">
        <f>+S846/2</f>
        <v>2.5</v>
      </c>
      <c r="AX843" s="60"/>
      <c r="AY843" s="1" t="s">
        <v>0</v>
      </c>
      <c r="BA843" s="60">
        <f>+AW843</f>
        <v>2.5</v>
      </c>
      <c r="BB843" s="60"/>
      <c r="BD843" s="60">
        <f>+AT843</f>
        <v>3.1666666666666665</v>
      </c>
      <c r="BE843" s="60"/>
      <c r="BF843" s="1" t="s">
        <v>0</v>
      </c>
      <c r="BG843" s="60">
        <f>+AQ843</f>
        <v>3.1666666666666665</v>
      </c>
      <c r="BH843" s="60"/>
      <c r="BI843" s="1" t="s">
        <v>0</v>
      </c>
      <c r="BJ843" s="60">
        <f>+AN843</f>
        <v>3.1666666666666665</v>
      </c>
      <c r="BK843" s="60"/>
      <c r="BL843" s="1" t="s">
        <v>0</v>
      </c>
      <c r="BR843" s="40"/>
      <c r="BV843" s="121"/>
      <c r="CB843" s="15"/>
    </row>
    <row r="844" spans="2:80" x14ac:dyDescent="0.2">
      <c r="B844" s="14"/>
      <c r="BR844" s="40"/>
      <c r="CB844" s="15"/>
    </row>
    <row r="845" spans="2:80" x14ac:dyDescent="0.2">
      <c r="B845" s="14"/>
      <c r="T845" s="38" t="s">
        <v>451</v>
      </c>
      <c r="BO845" s="40"/>
      <c r="BP845" s="40"/>
      <c r="BQ845" s="40"/>
      <c r="BR845" s="40"/>
      <c r="CB845" s="15"/>
    </row>
    <row r="846" spans="2:80" x14ac:dyDescent="0.2">
      <c r="B846" s="14"/>
      <c r="H846" s="60">
        <f>+K846</f>
        <v>3.1666666666666665</v>
      </c>
      <c r="I846" s="60"/>
      <c r="J846" s="1" t="s">
        <v>0</v>
      </c>
      <c r="K846" s="60">
        <f>+N846</f>
        <v>3.1666666666666665</v>
      </c>
      <c r="L846" s="60"/>
      <c r="M846" s="1" t="s">
        <v>0</v>
      </c>
      <c r="N846" s="60">
        <f>(S848-S846)/2/3</f>
        <v>3.1666666666666665</v>
      </c>
      <c r="O846" s="60"/>
      <c r="P846" s="1" t="s">
        <v>0</v>
      </c>
      <c r="S846" s="91">
        <v>5</v>
      </c>
      <c r="T846" s="91"/>
      <c r="U846" s="1" t="s">
        <v>0</v>
      </c>
      <c r="X846" s="60">
        <f>+N846</f>
        <v>3.1666666666666665</v>
      </c>
      <c r="Y846" s="60"/>
      <c r="Z846" s="1" t="s">
        <v>0</v>
      </c>
      <c r="AA846" s="60">
        <f>+N846</f>
        <v>3.1666666666666665</v>
      </c>
      <c r="AB846" s="60"/>
      <c r="AC846" s="1" t="s">
        <v>0</v>
      </c>
      <c r="AD846" s="60">
        <f>+N846</f>
        <v>3.1666666666666665</v>
      </c>
      <c r="AE846" s="60"/>
      <c r="AF846" s="1" t="s">
        <v>0</v>
      </c>
      <c r="BO846" s="40"/>
      <c r="BP846" s="40"/>
      <c r="BQ846" s="40"/>
      <c r="BR846" s="40"/>
      <c r="CB846" s="15"/>
    </row>
    <row r="847" spans="2:80" x14ac:dyDescent="0.2">
      <c r="B847" s="14"/>
      <c r="BO847" s="40"/>
      <c r="BP847" s="40"/>
      <c r="BQ847" s="40"/>
      <c r="BR847" s="40"/>
      <c r="BS847" s="40"/>
      <c r="CB847" s="15"/>
    </row>
    <row r="848" spans="2:80" x14ac:dyDescent="0.2">
      <c r="B848" s="14"/>
      <c r="S848" s="60">
        <f>+S786</f>
        <v>24</v>
      </c>
      <c r="T848" s="60"/>
      <c r="U848" s="1" t="s">
        <v>0</v>
      </c>
      <c r="BO848" s="40"/>
      <c r="BP848" s="40"/>
      <c r="BQ848" s="40"/>
      <c r="BR848" s="40"/>
      <c r="BS848" s="40"/>
      <c r="CB848" s="15"/>
    </row>
    <row r="849" spans="2:80" x14ac:dyDescent="0.2">
      <c r="B849" s="14"/>
      <c r="BO849" s="40"/>
      <c r="BP849" s="40"/>
      <c r="BQ849" s="40"/>
      <c r="BR849" s="40"/>
      <c r="BS849" s="40"/>
      <c r="CB849" s="15"/>
    </row>
    <row r="850" spans="2:80" ht="11.25" customHeight="1" x14ac:dyDescent="0.2">
      <c r="B850" s="14"/>
      <c r="H850" s="35" t="s">
        <v>542</v>
      </c>
      <c r="Q850" s="1" t="s">
        <v>549</v>
      </c>
      <c r="AH850" s="35" t="s">
        <v>489</v>
      </c>
      <c r="CB850" s="15"/>
    </row>
    <row r="851" spans="2:80" ht="11.25" customHeight="1" x14ac:dyDescent="0.2">
      <c r="B851" s="14"/>
      <c r="E851" s="1" t="s">
        <v>508</v>
      </c>
      <c r="P851" s="1" t="s">
        <v>487</v>
      </c>
      <c r="CB851" s="15"/>
    </row>
    <row r="852" spans="2:80" ht="11.25" customHeight="1" x14ac:dyDescent="0.2">
      <c r="B852" s="14"/>
      <c r="G852" s="1" t="s">
        <v>546</v>
      </c>
      <c r="CB852" s="15"/>
    </row>
    <row r="853" spans="2:80" ht="11.25" customHeight="1" x14ac:dyDescent="0.2">
      <c r="B853" s="14"/>
      <c r="D853" s="91">
        <v>0.15</v>
      </c>
      <c r="E853" s="91"/>
      <c r="F853" s="1" t="s">
        <v>0</v>
      </c>
      <c r="CB853" s="15"/>
    </row>
    <row r="854" spans="2:80" ht="11.25" customHeight="1" x14ac:dyDescent="0.2">
      <c r="B854" s="14"/>
      <c r="CB854" s="15"/>
    </row>
    <row r="855" spans="2:80" ht="11.25" customHeight="1" x14ac:dyDescent="0.2">
      <c r="B855" s="14"/>
      <c r="CB855" s="15"/>
    </row>
    <row r="856" spans="2:80" ht="11.25" customHeight="1" x14ac:dyDescent="0.2">
      <c r="B856" s="14"/>
      <c r="Q856" s="91">
        <v>0.8</v>
      </c>
      <c r="R856" s="91"/>
      <c r="S856" s="1" t="s">
        <v>0</v>
      </c>
      <c r="AZ856" s="88" t="s">
        <v>539</v>
      </c>
      <c r="BA856" s="89"/>
      <c r="BB856" s="89"/>
      <c r="BC856" s="89"/>
      <c r="BD856" s="89"/>
      <c r="BE856" s="89"/>
      <c r="BF856" s="89"/>
      <c r="BG856" s="89"/>
      <c r="BH856" s="89"/>
      <c r="BI856" s="89"/>
      <c r="BJ856" s="89"/>
      <c r="BK856" s="89"/>
      <c r="BL856" s="89"/>
      <c r="BM856" s="89"/>
      <c r="BN856" s="89"/>
      <c r="BO856" s="89"/>
      <c r="BP856" s="89"/>
      <c r="BQ856" s="89"/>
      <c r="BR856" s="90"/>
      <c r="CB856" s="15"/>
    </row>
    <row r="857" spans="2:80" ht="11.25" customHeight="1" x14ac:dyDescent="0.2">
      <c r="B857" s="14"/>
      <c r="O857" s="1" t="s">
        <v>488</v>
      </c>
      <c r="AZ857" s="92" t="s">
        <v>509</v>
      </c>
      <c r="BA857" s="92"/>
      <c r="BB857" s="92"/>
      <c r="BC857" s="162" t="s">
        <v>510</v>
      </c>
      <c r="BD857" s="162"/>
      <c r="BE857" s="92" t="s">
        <v>511</v>
      </c>
      <c r="BF857" s="92"/>
      <c r="BG857" s="92"/>
      <c r="BH857" s="92"/>
      <c r="BI857" s="92" t="s">
        <v>512</v>
      </c>
      <c r="BJ857" s="92"/>
      <c r="BK857" s="92"/>
      <c r="BL857" s="92"/>
      <c r="BM857" s="92" t="s">
        <v>513</v>
      </c>
      <c r="BN857" s="92"/>
      <c r="BO857" s="92"/>
      <c r="BP857" s="92"/>
      <c r="BQ857" s="97" t="s">
        <v>538</v>
      </c>
      <c r="BR857" s="98"/>
      <c r="CB857" s="15"/>
    </row>
    <row r="858" spans="2:80" ht="11.25" customHeight="1" x14ac:dyDescent="0.2">
      <c r="B858" s="14"/>
      <c r="AZ858" s="92"/>
      <c r="BA858" s="92"/>
      <c r="BB858" s="92"/>
      <c r="BC858" s="162"/>
      <c r="BD858" s="162"/>
      <c r="BE858" s="92" t="s">
        <v>514</v>
      </c>
      <c r="BF858" s="92"/>
      <c r="BG858" s="92" t="s">
        <v>515</v>
      </c>
      <c r="BH858" s="92"/>
      <c r="BI858" s="92" t="s">
        <v>514</v>
      </c>
      <c r="BJ858" s="92"/>
      <c r="BK858" s="92" t="s">
        <v>515</v>
      </c>
      <c r="BL858" s="92"/>
      <c r="BM858" s="92" t="s">
        <v>514</v>
      </c>
      <c r="BN858" s="92"/>
      <c r="BO858" s="92" t="s">
        <v>515</v>
      </c>
      <c r="BP858" s="92"/>
      <c r="BQ858" s="97"/>
      <c r="BR858" s="98"/>
      <c r="BU858" s="1" t="s">
        <v>558</v>
      </c>
      <c r="CB858" s="15"/>
    </row>
    <row r="859" spans="2:80" ht="11.25" customHeight="1" thickBot="1" x14ac:dyDescent="0.25">
      <c r="B859" s="14"/>
      <c r="AZ859" s="155"/>
      <c r="BA859" s="155"/>
      <c r="BB859" s="155"/>
      <c r="BC859" s="99" t="s">
        <v>516</v>
      </c>
      <c r="BD859" s="100"/>
      <c r="BE859" s="99" t="s">
        <v>419</v>
      </c>
      <c r="BF859" s="100"/>
      <c r="BG859" s="99" t="s">
        <v>419</v>
      </c>
      <c r="BH859" s="100"/>
      <c r="BI859" s="99" t="s">
        <v>419</v>
      </c>
      <c r="BJ859" s="100"/>
      <c r="BK859" s="99" t="s">
        <v>419</v>
      </c>
      <c r="BL859" s="100"/>
      <c r="BM859" s="99" t="s">
        <v>517</v>
      </c>
      <c r="BN859" s="100"/>
      <c r="BO859" s="99" t="s">
        <v>517</v>
      </c>
      <c r="BP859" s="100"/>
      <c r="BQ859" s="99" t="s">
        <v>412</v>
      </c>
      <c r="BR859" s="100"/>
      <c r="CB859" s="15"/>
    </row>
    <row r="860" spans="2:80" ht="11.25" customHeight="1" thickTop="1" x14ac:dyDescent="0.2">
      <c r="B860" s="14"/>
      <c r="Q860" s="91">
        <v>0.4</v>
      </c>
      <c r="R860" s="91"/>
      <c r="S860" s="1" t="s">
        <v>0</v>
      </c>
      <c r="AZ860" s="108" t="s">
        <v>518</v>
      </c>
      <c r="BA860" s="108"/>
      <c r="BB860" s="108"/>
      <c r="BE860" s="109">
        <v>150</v>
      </c>
      <c r="BF860" s="109"/>
      <c r="BG860" s="109">
        <v>250</v>
      </c>
      <c r="BH860" s="109"/>
      <c r="BI860" s="109">
        <v>5</v>
      </c>
      <c r="BJ860" s="109"/>
      <c r="BK860" s="109">
        <v>5</v>
      </c>
      <c r="BL860" s="109"/>
      <c r="BM860" s="109">
        <v>131</v>
      </c>
      <c r="BN860" s="109"/>
      <c r="BO860" s="109">
        <v>78</v>
      </c>
      <c r="BP860" s="109"/>
      <c r="BQ860" s="101">
        <v>1.64</v>
      </c>
      <c r="BR860" s="102"/>
      <c r="CB860" s="15"/>
    </row>
    <row r="861" spans="2:80" ht="11.25" customHeight="1" x14ac:dyDescent="0.2">
      <c r="B861" s="14"/>
      <c r="AZ861" s="92" t="s">
        <v>519</v>
      </c>
      <c r="BA861" s="92"/>
      <c r="BB861" s="92"/>
      <c r="BE861" s="63">
        <v>150</v>
      </c>
      <c r="BF861" s="63"/>
      <c r="BG861" s="63">
        <v>250</v>
      </c>
      <c r="BH861" s="63"/>
      <c r="BI861" s="63">
        <v>5.5</v>
      </c>
      <c r="BJ861" s="63"/>
      <c r="BK861" s="63">
        <v>5.5</v>
      </c>
      <c r="BL861" s="63"/>
      <c r="BM861" s="63">
        <v>158</v>
      </c>
      <c r="BN861" s="63"/>
      <c r="BO861" s="63">
        <v>78</v>
      </c>
      <c r="BP861" s="63"/>
      <c r="BQ861" s="69">
        <v>1.86</v>
      </c>
      <c r="BR861" s="70"/>
      <c r="CB861" s="15"/>
    </row>
    <row r="862" spans="2:80" ht="11.25" customHeight="1" x14ac:dyDescent="0.2">
      <c r="B862" s="14"/>
      <c r="AZ862" s="92" t="s">
        <v>520</v>
      </c>
      <c r="BA862" s="92"/>
      <c r="BB862" s="92"/>
      <c r="BE862" s="63">
        <v>150</v>
      </c>
      <c r="BF862" s="63"/>
      <c r="BG862" s="63">
        <v>250</v>
      </c>
      <c r="BH862" s="63"/>
      <c r="BI862" s="63">
        <v>6</v>
      </c>
      <c r="BJ862" s="63"/>
      <c r="BK862" s="63">
        <v>5</v>
      </c>
      <c r="BL862" s="63"/>
      <c r="BM862" s="63">
        <v>188</v>
      </c>
      <c r="BN862" s="63"/>
      <c r="BO862" s="63">
        <v>78</v>
      </c>
      <c r="BP862" s="63"/>
      <c r="BQ862" s="69">
        <v>2.1</v>
      </c>
      <c r="BR862" s="70"/>
      <c r="BX862" s="1" t="s">
        <v>559</v>
      </c>
      <c r="CB862" s="15"/>
    </row>
    <row r="863" spans="2:80" ht="11.25" customHeight="1" x14ac:dyDescent="0.2">
      <c r="B863" s="14"/>
      <c r="K863" s="60">
        <f>+R878</f>
        <v>2</v>
      </c>
      <c r="L863" s="60"/>
      <c r="M863" s="1" t="s">
        <v>0</v>
      </c>
      <c r="AF863" s="78" t="s">
        <v>556</v>
      </c>
      <c r="AG863" s="78"/>
      <c r="AH863" s="78"/>
      <c r="AI863" s="78"/>
      <c r="AJ863" s="78"/>
      <c r="AK863" s="78"/>
      <c r="AL863" s="78"/>
      <c r="AM863" s="78"/>
      <c r="AZ863" s="92" t="s">
        <v>521</v>
      </c>
      <c r="BA863" s="92"/>
      <c r="BB863" s="92"/>
      <c r="BE863" s="63">
        <v>150</v>
      </c>
      <c r="BF863" s="63"/>
      <c r="BG863" s="63">
        <v>250</v>
      </c>
      <c r="BH863" s="63"/>
      <c r="BI863" s="63">
        <v>6.5</v>
      </c>
      <c r="BJ863" s="63"/>
      <c r="BK863" s="63">
        <v>5</v>
      </c>
      <c r="BL863" s="63"/>
      <c r="BM863" s="63">
        <v>221</v>
      </c>
      <c r="BN863" s="63"/>
      <c r="BO863" s="63">
        <v>78</v>
      </c>
      <c r="BP863" s="63"/>
      <c r="BQ863" s="69">
        <v>2.35</v>
      </c>
      <c r="BR863" s="70"/>
      <c r="CB863" s="15"/>
    </row>
    <row r="864" spans="2:80" ht="11.25" customHeight="1" x14ac:dyDescent="0.2">
      <c r="B864" s="14"/>
      <c r="AF864" s="78"/>
      <c r="AG864" s="78"/>
      <c r="AH864" s="78"/>
      <c r="AI864" s="78"/>
      <c r="AJ864" s="78"/>
      <c r="AK864" s="78"/>
      <c r="AL864" s="78"/>
      <c r="AM864" s="78"/>
      <c r="AZ864" s="92" t="s">
        <v>522</v>
      </c>
      <c r="BA864" s="92"/>
      <c r="BB864" s="92"/>
      <c r="BE864" s="63">
        <v>150</v>
      </c>
      <c r="BF864" s="63"/>
      <c r="BG864" s="63">
        <v>250</v>
      </c>
      <c r="BH864" s="63"/>
      <c r="BI864" s="63">
        <v>7</v>
      </c>
      <c r="BJ864" s="63"/>
      <c r="BK864" s="63">
        <v>5</v>
      </c>
      <c r="BL864" s="63"/>
      <c r="BM864" s="63">
        <v>257</v>
      </c>
      <c r="BN864" s="63"/>
      <c r="BO864" s="63">
        <v>78</v>
      </c>
      <c r="BP864" s="63"/>
      <c r="BQ864" s="69">
        <v>2.63</v>
      </c>
      <c r="BR864" s="70"/>
      <c r="CB864" s="15"/>
    </row>
    <row r="865" spans="2:80" ht="11.25" customHeight="1" x14ac:dyDescent="0.2">
      <c r="B865" s="14"/>
      <c r="Q865" s="1" t="s">
        <v>574</v>
      </c>
      <c r="AF865" s="78"/>
      <c r="AG865" s="78"/>
      <c r="AH865" s="78"/>
      <c r="AI865" s="78"/>
      <c r="AJ865" s="78"/>
      <c r="AK865" s="78"/>
      <c r="AL865" s="78"/>
      <c r="AM865" s="78"/>
      <c r="AZ865" s="92" t="s">
        <v>523</v>
      </c>
      <c r="BA865" s="92"/>
      <c r="BB865" s="92"/>
      <c r="BC865" s="127">
        <v>5</v>
      </c>
      <c r="BD865" s="127"/>
      <c r="BE865" s="63">
        <v>150</v>
      </c>
      <c r="BF865" s="63"/>
      <c r="BG865" s="63">
        <v>250</v>
      </c>
      <c r="BH865" s="63"/>
      <c r="BI865" s="63">
        <v>7.5</v>
      </c>
      <c r="BJ865" s="63"/>
      <c r="BK865" s="63">
        <v>5</v>
      </c>
      <c r="BL865" s="63"/>
      <c r="BM865" s="63">
        <v>295</v>
      </c>
      <c r="BN865" s="63"/>
      <c r="BO865" s="63">
        <v>78</v>
      </c>
      <c r="BP865" s="63"/>
      <c r="BQ865" s="69">
        <v>2.93</v>
      </c>
      <c r="BR865" s="70"/>
      <c r="CB865" s="15"/>
    </row>
    <row r="866" spans="2:80" ht="11.25" customHeight="1" x14ac:dyDescent="0.2">
      <c r="B866" s="14"/>
      <c r="F866" s="31" t="str">
        <f>IF((C878*1000*K888*1000*0.01)&gt;(F867*PI()*H867^2/4),"artır.","")</f>
        <v/>
      </c>
      <c r="Q866" s="38">
        <f>(ROUNDUP(Q856/(T866/1000),0)+1)</f>
        <v>9</v>
      </c>
      <c r="R866" s="118">
        <v>8</v>
      </c>
      <c r="S866" s="118"/>
      <c r="T866" s="110">
        <v>100</v>
      </c>
      <c r="U866" s="110"/>
      <c r="AF866" s="78"/>
      <c r="AG866" s="78"/>
      <c r="AH866" s="78"/>
      <c r="AI866" s="78"/>
      <c r="AJ866" s="78"/>
      <c r="AK866" s="78"/>
      <c r="AL866" s="78"/>
      <c r="AM866" s="78"/>
      <c r="AZ866" s="92" t="s">
        <v>524</v>
      </c>
      <c r="BA866" s="92"/>
      <c r="BB866" s="92"/>
      <c r="BC866" s="67">
        <v>2.15</v>
      </c>
      <c r="BD866" s="68"/>
      <c r="BE866" s="63">
        <v>150</v>
      </c>
      <c r="BF866" s="63"/>
      <c r="BG866" s="63">
        <v>250</v>
      </c>
      <c r="BH866" s="63"/>
      <c r="BI866" s="63">
        <v>7.8</v>
      </c>
      <c r="BJ866" s="63"/>
      <c r="BK866" s="63">
        <v>5</v>
      </c>
      <c r="BL866" s="63"/>
      <c r="BM866" s="63">
        <v>317</v>
      </c>
      <c r="BN866" s="63"/>
      <c r="BO866" s="63">
        <v>78</v>
      </c>
      <c r="BP866" s="63"/>
      <c r="BQ866" s="69">
        <v>3.12</v>
      </c>
      <c r="BR866" s="70"/>
      <c r="CB866" s="15"/>
    </row>
    <row r="867" spans="2:80" ht="11.25" customHeight="1" x14ac:dyDescent="0.2">
      <c r="B867" s="14"/>
      <c r="F867" s="119">
        <v>16</v>
      </c>
      <c r="G867" s="119"/>
      <c r="H867" s="116">
        <v>26</v>
      </c>
      <c r="I867" s="116"/>
      <c r="Q867" s="1" t="s">
        <v>498</v>
      </c>
      <c r="R867" s="60">
        <f>ROUNDUP(4*(C878-0.1)+2*MAX(6*R866,8)/1000,2)</f>
        <v>3.3</v>
      </c>
      <c r="S867" s="60"/>
      <c r="T867" s="1" t="s">
        <v>0</v>
      </c>
      <c r="AF867" s="78"/>
      <c r="AG867" s="78"/>
      <c r="AH867" s="78"/>
      <c r="AI867" s="78"/>
      <c r="AJ867" s="78"/>
      <c r="AK867" s="78"/>
      <c r="AL867" s="78"/>
      <c r="AM867" s="78"/>
      <c r="AZ867" s="92" t="s">
        <v>525</v>
      </c>
      <c r="BA867" s="92"/>
      <c r="BB867" s="92"/>
      <c r="BE867" s="63">
        <v>150</v>
      </c>
      <c r="BF867" s="63"/>
      <c r="BG867" s="63">
        <v>250</v>
      </c>
      <c r="BH867" s="63"/>
      <c r="BI867" s="63">
        <v>8</v>
      </c>
      <c r="BJ867" s="63"/>
      <c r="BK867" s="63">
        <v>5</v>
      </c>
      <c r="BL867" s="63"/>
      <c r="BM867" s="63">
        <v>335</v>
      </c>
      <c r="BN867" s="63"/>
      <c r="BO867" s="63">
        <v>78</v>
      </c>
      <c r="BP867" s="63"/>
      <c r="BQ867" s="69">
        <v>3.25</v>
      </c>
      <c r="BR867" s="70"/>
      <c r="CB867" s="15"/>
    </row>
    <row r="868" spans="2:80" ht="11.25" customHeight="1" x14ac:dyDescent="0.2">
      <c r="B868" s="14"/>
      <c r="F868" s="1" t="s">
        <v>498</v>
      </c>
      <c r="G868" s="60">
        <f>+Q860+Q856-0.1+0.2</f>
        <v>1.3</v>
      </c>
      <c r="H868" s="60"/>
      <c r="I868" s="1" t="s">
        <v>0</v>
      </c>
      <c r="Q868" s="1" t="s">
        <v>498</v>
      </c>
      <c r="R868" s="60">
        <f>ROUNDUP(((C878-0.1)*2)+((C878-0.1)/3*2)+2*MAX(6*R866,8)/1000,2)</f>
        <v>2.23</v>
      </c>
      <c r="S868" s="60"/>
      <c r="T868" s="1" t="s">
        <v>0</v>
      </c>
      <c r="AF868" s="78"/>
      <c r="AG868" s="78"/>
      <c r="AH868" s="78"/>
      <c r="AI868" s="78"/>
      <c r="AJ868" s="78"/>
      <c r="AK868" s="78"/>
      <c r="AL868" s="78"/>
      <c r="AM868" s="78"/>
      <c r="AZ868" s="92" t="s">
        <v>526</v>
      </c>
      <c r="BA868" s="92"/>
      <c r="BB868" s="92"/>
      <c r="BE868" s="63">
        <v>150</v>
      </c>
      <c r="BF868" s="63"/>
      <c r="BG868" s="63">
        <v>250</v>
      </c>
      <c r="BH868" s="63"/>
      <c r="BI868" s="63">
        <v>8.5</v>
      </c>
      <c r="BJ868" s="63"/>
      <c r="BK868" s="63">
        <v>5</v>
      </c>
      <c r="BL868" s="63"/>
      <c r="BM868" s="63">
        <v>377</v>
      </c>
      <c r="BN868" s="63"/>
      <c r="BO868" s="63">
        <v>78</v>
      </c>
      <c r="BP868" s="63"/>
      <c r="BQ868" s="69">
        <v>3.86</v>
      </c>
      <c r="BR868" s="70"/>
      <c r="CB868" s="15"/>
    </row>
    <row r="869" spans="2:80" ht="11.25" customHeight="1" x14ac:dyDescent="0.2">
      <c r="B869" s="14"/>
      <c r="AF869" s="78"/>
      <c r="AG869" s="78"/>
      <c r="AH869" s="78"/>
      <c r="AI869" s="78"/>
      <c r="AJ869" s="78"/>
      <c r="AK869" s="78"/>
      <c r="AL869" s="78"/>
      <c r="AM869" s="78"/>
      <c r="AZ869" s="92" t="s">
        <v>527</v>
      </c>
      <c r="BA869" s="92"/>
      <c r="BB869" s="92"/>
      <c r="BC869" s="50"/>
      <c r="BD869" s="47"/>
      <c r="BE869" s="63">
        <v>150</v>
      </c>
      <c r="BF869" s="63"/>
      <c r="BG869" s="63">
        <v>150</v>
      </c>
      <c r="BH869" s="63"/>
      <c r="BI869" s="63">
        <v>5</v>
      </c>
      <c r="BJ869" s="63"/>
      <c r="BK869" s="63">
        <v>5</v>
      </c>
      <c r="BL869" s="63"/>
      <c r="BM869" s="63">
        <v>131</v>
      </c>
      <c r="BN869" s="63"/>
      <c r="BO869" s="63">
        <v>131</v>
      </c>
      <c r="BP869" s="63"/>
      <c r="BQ869" s="69">
        <v>2.06</v>
      </c>
      <c r="BR869" s="70"/>
      <c r="CB869" s="15"/>
    </row>
    <row r="870" spans="2:80" ht="11.25" customHeight="1" x14ac:dyDescent="0.2">
      <c r="B870" s="14"/>
      <c r="L870" s="117">
        <f>MAX(2*ROUNDUP((0.002*R878*1000*(Q860*1000-50))/(PI()*N870^2/4),0),2*(ROUNDUP((R878-0.1)/(P870/1000),0)+1))</f>
        <v>18</v>
      </c>
      <c r="M870" s="117"/>
      <c r="N870" s="116">
        <v>16</v>
      </c>
      <c r="O870" s="116"/>
      <c r="P870" s="110">
        <v>250</v>
      </c>
      <c r="Q870" s="110"/>
      <c r="R870" s="1" t="s">
        <v>272</v>
      </c>
      <c r="AF870" s="78"/>
      <c r="AG870" s="78"/>
      <c r="AH870" s="78"/>
      <c r="AI870" s="78"/>
      <c r="AJ870" s="78"/>
      <c r="AK870" s="78"/>
      <c r="AL870" s="78"/>
      <c r="AM870" s="78"/>
      <c r="AZ870" s="92" t="s">
        <v>528</v>
      </c>
      <c r="BA870" s="92"/>
      <c r="BB870" s="92"/>
      <c r="BC870" s="51"/>
      <c r="BD870" s="52"/>
      <c r="BE870" s="63">
        <v>150</v>
      </c>
      <c r="BF870" s="63"/>
      <c r="BG870" s="63">
        <v>150</v>
      </c>
      <c r="BH870" s="63"/>
      <c r="BI870" s="63">
        <v>5.5</v>
      </c>
      <c r="BJ870" s="63"/>
      <c r="BK870" s="63">
        <v>5.5</v>
      </c>
      <c r="BL870" s="63"/>
      <c r="BM870" s="63">
        <v>158</v>
      </c>
      <c r="BN870" s="63"/>
      <c r="BO870" s="63">
        <v>158</v>
      </c>
      <c r="BP870" s="63"/>
      <c r="BQ870" s="69">
        <v>2.4900000000000002</v>
      </c>
      <c r="BR870" s="70"/>
      <c r="CB870" s="15"/>
    </row>
    <row r="871" spans="2:80" ht="11.25" customHeight="1" x14ac:dyDescent="0.2">
      <c r="B871" s="14"/>
      <c r="L871" s="1" t="s">
        <v>498</v>
      </c>
      <c r="M871" s="60">
        <f>K863-0.1+2*(Q860-0.1)</f>
        <v>2.5</v>
      </c>
      <c r="N871" s="60"/>
      <c r="O871" s="1" t="s">
        <v>0</v>
      </c>
      <c r="Q871" s="31" t="str">
        <f>IF(P870&gt;250,"aralık azalt.","")</f>
        <v/>
      </c>
      <c r="AF871" s="78"/>
      <c r="AG871" s="78"/>
      <c r="AH871" s="78"/>
      <c r="AI871" s="78"/>
      <c r="AJ871" s="78"/>
      <c r="AK871" s="78"/>
      <c r="AL871" s="78"/>
      <c r="AM871" s="78"/>
      <c r="AZ871" s="92" t="s">
        <v>529</v>
      </c>
      <c r="BA871" s="92"/>
      <c r="BB871" s="92"/>
      <c r="BC871" s="51"/>
      <c r="BD871" s="52"/>
      <c r="BE871" s="63">
        <v>150</v>
      </c>
      <c r="BF871" s="63"/>
      <c r="BG871" s="63">
        <v>150</v>
      </c>
      <c r="BH871" s="63"/>
      <c r="BI871" s="63">
        <v>6</v>
      </c>
      <c r="BJ871" s="63"/>
      <c r="BK871" s="63">
        <v>6</v>
      </c>
      <c r="BL871" s="63"/>
      <c r="BM871" s="63">
        <v>188</v>
      </c>
      <c r="BN871" s="63"/>
      <c r="BO871" s="63">
        <v>188</v>
      </c>
      <c r="BP871" s="63"/>
      <c r="BQ871" s="69">
        <v>2.96</v>
      </c>
      <c r="BR871" s="70"/>
      <c r="CB871" s="15"/>
    </row>
    <row r="872" spans="2:80" ht="11.25" customHeight="1" x14ac:dyDescent="0.2">
      <c r="B872" s="14"/>
      <c r="H872" s="35" t="s">
        <v>541</v>
      </c>
      <c r="AF872" s="78"/>
      <c r="AG872" s="78"/>
      <c r="AH872" s="78"/>
      <c r="AI872" s="78"/>
      <c r="AJ872" s="78"/>
      <c r="AK872" s="78"/>
      <c r="AL872" s="78"/>
      <c r="AM872" s="78"/>
      <c r="AZ872" s="92" t="s">
        <v>530</v>
      </c>
      <c r="BA872" s="92"/>
      <c r="BB872" s="92"/>
      <c r="BC872" s="51"/>
      <c r="BD872" s="52"/>
      <c r="BE872" s="63">
        <v>150</v>
      </c>
      <c r="BF872" s="63"/>
      <c r="BG872" s="63">
        <v>150</v>
      </c>
      <c r="BH872" s="63"/>
      <c r="BI872" s="63">
        <v>6.5</v>
      </c>
      <c r="BJ872" s="63"/>
      <c r="BK872" s="63">
        <v>6.5</v>
      </c>
      <c r="BL872" s="63"/>
      <c r="BM872" s="63">
        <v>221</v>
      </c>
      <c r="BN872" s="63"/>
      <c r="BO872" s="63">
        <v>221</v>
      </c>
      <c r="BP872" s="63"/>
      <c r="BQ872" s="69">
        <v>3.47</v>
      </c>
      <c r="BR872" s="70"/>
      <c r="CB872" s="15"/>
    </row>
    <row r="873" spans="2:80" ht="11.25" customHeight="1" x14ac:dyDescent="0.2">
      <c r="B873" s="14"/>
      <c r="AF873" s="78"/>
      <c r="AG873" s="78"/>
      <c r="AH873" s="78"/>
      <c r="AI873" s="78"/>
      <c r="AJ873" s="78"/>
      <c r="AK873" s="78"/>
      <c r="AL873" s="78"/>
      <c r="AM873" s="78"/>
      <c r="AZ873" s="92" t="s">
        <v>531</v>
      </c>
      <c r="BA873" s="92"/>
      <c r="BB873" s="92"/>
      <c r="BC873" s="51"/>
      <c r="BD873" s="52"/>
      <c r="BE873" s="63">
        <v>150</v>
      </c>
      <c r="BF873" s="63"/>
      <c r="BG873" s="63">
        <v>150</v>
      </c>
      <c r="BH873" s="63"/>
      <c r="BI873" s="63">
        <v>7</v>
      </c>
      <c r="BJ873" s="63"/>
      <c r="BK873" s="63">
        <v>7</v>
      </c>
      <c r="BL873" s="63"/>
      <c r="BM873" s="63">
        <v>257</v>
      </c>
      <c r="BN873" s="63"/>
      <c r="BO873" s="63">
        <v>257</v>
      </c>
      <c r="BP873" s="63"/>
      <c r="BQ873" s="69">
        <v>4.03</v>
      </c>
      <c r="BR873" s="70"/>
      <c r="CB873" s="15"/>
    </row>
    <row r="874" spans="2:80" ht="11.25" customHeight="1" x14ac:dyDescent="0.2">
      <c r="B874" s="14"/>
      <c r="AF874" s="78"/>
      <c r="AG874" s="78"/>
      <c r="AH874" s="78"/>
      <c r="AI874" s="78"/>
      <c r="AJ874" s="78"/>
      <c r="AK874" s="78"/>
      <c r="AL874" s="78"/>
      <c r="AM874" s="78"/>
      <c r="AZ874" s="92" t="s">
        <v>532</v>
      </c>
      <c r="BA874" s="92"/>
      <c r="BB874" s="92"/>
      <c r="BC874" s="93">
        <v>5</v>
      </c>
      <c r="BD874" s="94"/>
      <c r="BE874" s="63">
        <v>150</v>
      </c>
      <c r="BF874" s="63"/>
      <c r="BG874" s="63">
        <v>150</v>
      </c>
      <c r="BH874" s="63"/>
      <c r="BI874" s="63">
        <v>7.5</v>
      </c>
      <c r="BJ874" s="63"/>
      <c r="BK874" s="63">
        <v>7.5</v>
      </c>
      <c r="BL874" s="63"/>
      <c r="BM874" s="63">
        <v>295</v>
      </c>
      <c r="BN874" s="63"/>
      <c r="BO874" s="63">
        <v>295</v>
      </c>
      <c r="BP874" s="63"/>
      <c r="BQ874" s="69">
        <v>4.62</v>
      </c>
      <c r="BR874" s="70"/>
      <c r="CB874" s="15"/>
    </row>
    <row r="875" spans="2:80" ht="11.25" customHeight="1" x14ac:dyDescent="0.2">
      <c r="B875" s="14"/>
      <c r="AF875" s="78"/>
      <c r="AG875" s="78"/>
      <c r="AH875" s="78"/>
      <c r="AI875" s="78"/>
      <c r="AJ875" s="78"/>
      <c r="AK875" s="78"/>
      <c r="AL875" s="78"/>
      <c r="AM875" s="78"/>
      <c r="AZ875" s="92" t="s">
        <v>533</v>
      </c>
      <c r="BA875" s="92"/>
      <c r="BB875" s="92"/>
      <c r="BC875" s="67">
        <v>2.15</v>
      </c>
      <c r="BD875" s="68"/>
      <c r="BE875" s="63">
        <v>150</v>
      </c>
      <c r="BF875" s="63"/>
      <c r="BG875" s="63">
        <v>150</v>
      </c>
      <c r="BH875" s="63"/>
      <c r="BI875" s="63">
        <v>7.8</v>
      </c>
      <c r="BJ875" s="63"/>
      <c r="BK875" s="63">
        <v>6</v>
      </c>
      <c r="BL875" s="63"/>
      <c r="BM875" s="63">
        <v>317</v>
      </c>
      <c r="BN875" s="63"/>
      <c r="BO875" s="63">
        <v>188</v>
      </c>
      <c r="BP875" s="63"/>
      <c r="BQ875" s="69">
        <v>3.98</v>
      </c>
      <c r="BR875" s="70"/>
      <c r="CB875" s="15"/>
    </row>
    <row r="876" spans="2:80" ht="11.25" customHeight="1" x14ac:dyDescent="0.2">
      <c r="B876" s="14"/>
      <c r="AZ876" s="92" t="s">
        <v>534</v>
      </c>
      <c r="BA876" s="92"/>
      <c r="BB876" s="92"/>
      <c r="BC876" s="51"/>
      <c r="BD876" s="52"/>
      <c r="BE876" s="63">
        <v>150</v>
      </c>
      <c r="BF876" s="63"/>
      <c r="BG876" s="63">
        <v>150</v>
      </c>
      <c r="BH876" s="63"/>
      <c r="BI876" s="63">
        <v>8</v>
      </c>
      <c r="BJ876" s="63"/>
      <c r="BK876" s="63">
        <v>8</v>
      </c>
      <c r="BL876" s="63"/>
      <c r="BM876" s="63">
        <v>335</v>
      </c>
      <c r="BN876" s="63"/>
      <c r="BO876" s="63">
        <v>335</v>
      </c>
      <c r="BP876" s="63"/>
      <c r="BQ876" s="69">
        <v>5.26</v>
      </c>
      <c r="BR876" s="70"/>
      <c r="CB876" s="15"/>
    </row>
    <row r="877" spans="2:80" ht="11.25" customHeight="1" x14ac:dyDescent="0.2">
      <c r="B877" s="14"/>
      <c r="C877" s="36" t="s">
        <v>0</v>
      </c>
      <c r="R877" s="36" t="s">
        <v>0</v>
      </c>
      <c r="S877" s="201" t="str">
        <f>IF(R878&lt;E795,"","azalt.")</f>
        <v/>
      </c>
      <c r="AZ877" s="92" t="s">
        <v>535</v>
      </c>
      <c r="BA877" s="92"/>
      <c r="BB877" s="92"/>
      <c r="BC877" s="51"/>
      <c r="BD877" s="52"/>
      <c r="BE877" s="63">
        <v>150</v>
      </c>
      <c r="BF877" s="63"/>
      <c r="BG877" s="63">
        <v>150</v>
      </c>
      <c r="BH877" s="63"/>
      <c r="BI877" s="63">
        <v>8.5</v>
      </c>
      <c r="BJ877" s="63"/>
      <c r="BK877" s="63">
        <v>6</v>
      </c>
      <c r="BL877" s="63"/>
      <c r="BM877" s="63">
        <v>377</v>
      </c>
      <c r="BN877" s="63"/>
      <c r="BO877" s="63">
        <v>188</v>
      </c>
      <c r="BP877" s="63"/>
      <c r="BQ877" s="69">
        <v>4.45</v>
      </c>
      <c r="BR877" s="70"/>
      <c r="CB877" s="15"/>
    </row>
    <row r="878" spans="2:80" ht="11.25" customHeight="1" x14ac:dyDescent="0.2">
      <c r="B878" s="14"/>
      <c r="C878" s="121">
        <f>+K888</f>
        <v>0.9</v>
      </c>
      <c r="R878" s="122">
        <v>2</v>
      </c>
      <c r="S878" s="201"/>
      <c r="AZ878" s="92" t="s">
        <v>536</v>
      </c>
      <c r="BA878" s="92"/>
      <c r="BB878" s="92"/>
      <c r="BC878" s="51"/>
      <c r="BD878" s="52"/>
      <c r="BE878" s="63">
        <v>150</v>
      </c>
      <c r="BF878" s="63"/>
      <c r="BG878" s="63">
        <v>150</v>
      </c>
      <c r="BH878" s="63"/>
      <c r="BI878" s="63">
        <v>8.5</v>
      </c>
      <c r="BJ878" s="63"/>
      <c r="BK878" s="63">
        <v>8.5</v>
      </c>
      <c r="BL878" s="63"/>
      <c r="BM878" s="63">
        <v>377</v>
      </c>
      <c r="BN878" s="63"/>
      <c r="BO878" s="63">
        <v>377</v>
      </c>
      <c r="BP878" s="63"/>
      <c r="BQ878" s="69">
        <v>5.94</v>
      </c>
      <c r="BR878" s="70"/>
      <c r="CB878" s="15"/>
    </row>
    <row r="879" spans="2:80" ht="11.25" customHeight="1" x14ac:dyDescent="0.2">
      <c r="B879" s="14"/>
      <c r="C879" s="121"/>
      <c r="R879" s="122"/>
      <c r="S879" s="201"/>
      <c r="AZ879" s="103" t="s">
        <v>537</v>
      </c>
      <c r="BA879" s="104"/>
      <c r="BB879" s="104"/>
      <c r="BC879" s="104"/>
      <c r="BD879" s="104"/>
      <c r="BE879" s="104"/>
      <c r="BF879" s="104"/>
      <c r="BG879" s="104"/>
      <c r="BH879" s="104"/>
      <c r="BI879" s="104"/>
      <c r="BJ879" s="104"/>
      <c r="BK879" s="104"/>
      <c r="BL879" s="104"/>
      <c r="BM879" s="104"/>
      <c r="BN879" s="104"/>
      <c r="BO879" s="104"/>
      <c r="BP879" s="104"/>
      <c r="BQ879" s="104"/>
      <c r="BR879" s="105"/>
      <c r="CB879" s="15"/>
    </row>
    <row r="880" spans="2:80" ht="11.25" customHeight="1" x14ac:dyDescent="0.2">
      <c r="B880" s="14"/>
      <c r="C880" s="121"/>
      <c r="R880" s="122"/>
      <c r="S880" s="201"/>
      <c r="CB880" s="15"/>
    </row>
    <row r="881" spans="2:80" ht="11.25" customHeight="1" x14ac:dyDescent="0.2">
      <c r="B881" s="14"/>
      <c r="CB881" s="15"/>
    </row>
    <row r="882" spans="2:80" ht="11.25" customHeight="1" x14ac:dyDescent="0.2">
      <c r="B882" s="14"/>
      <c r="CB882" s="15"/>
    </row>
    <row r="883" spans="2:80" ht="11.25" customHeight="1" x14ac:dyDescent="0.2">
      <c r="B883" s="14"/>
      <c r="CB883" s="15"/>
    </row>
    <row r="884" spans="2:80" ht="11.25" customHeight="1" x14ac:dyDescent="0.2">
      <c r="B884" s="14"/>
      <c r="CB884" s="15"/>
    </row>
    <row r="885" spans="2:80" ht="11.25" customHeight="1" x14ac:dyDescent="0.2">
      <c r="B885" s="14"/>
      <c r="C885" s="78" t="s">
        <v>552</v>
      </c>
      <c r="D885" s="78"/>
      <c r="E885" s="78"/>
      <c r="F885" s="78"/>
      <c r="G885" s="78"/>
      <c r="H885" s="78"/>
      <c r="CB885" s="15"/>
    </row>
    <row r="886" spans="2:80" ht="11.25" customHeight="1" x14ac:dyDescent="0.2">
      <c r="B886" s="14"/>
      <c r="C886" s="78"/>
      <c r="D886" s="78"/>
      <c r="E886" s="78"/>
      <c r="F886" s="78"/>
      <c r="G886" s="78"/>
      <c r="H886" s="78"/>
      <c r="K886" s="123">
        <v>0.15</v>
      </c>
      <c r="L886" s="123"/>
      <c r="M886" s="1" t="s">
        <v>0</v>
      </c>
      <c r="CB886" s="15"/>
    </row>
    <row r="887" spans="2:80" ht="11.25" customHeight="1" x14ac:dyDescent="0.2">
      <c r="B887" s="14"/>
      <c r="C887" s="78"/>
      <c r="D887" s="78"/>
      <c r="E887" s="78"/>
      <c r="F887" s="78"/>
      <c r="G887" s="78"/>
      <c r="H887" s="78"/>
      <c r="CB887" s="15"/>
    </row>
    <row r="888" spans="2:80" ht="11.25" customHeight="1" x14ac:dyDescent="0.2">
      <c r="B888" s="14"/>
      <c r="C888" s="78"/>
      <c r="D888" s="78"/>
      <c r="E888" s="78"/>
      <c r="F888" s="78"/>
      <c r="G888" s="78"/>
      <c r="H888" s="78"/>
      <c r="K888" s="91">
        <v>0.9</v>
      </c>
      <c r="L888" s="91"/>
      <c r="M888" s="1" t="s">
        <v>0</v>
      </c>
      <c r="CB888" s="15"/>
    </row>
    <row r="889" spans="2:80" ht="11.25" customHeight="1" x14ac:dyDescent="0.2">
      <c r="B889" s="54"/>
      <c r="C889" s="81"/>
      <c r="D889" s="81"/>
      <c r="E889" s="81"/>
      <c r="F889" s="81"/>
      <c r="G889" s="81"/>
      <c r="H889" s="81"/>
      <c r="I889" s="30"/>
      <c r="J889" s="113" t="str">
        <f>IF(K888&gt;(MAX(P919,U919)/1000+0.04),"","artır.")</f>
        <v/>
      </c>
      <c r="K889" s="113"/>
      <c r="L889" s="113"/>
      <c r="M889" s="113"/>
      <c r="N889" s="30"/>
      <c r="O889" s="30"/>
      <c r="P889" s="30"/>
      <c r="Q889" s="30"/>
      <c r="R889" s="30"/>
      <c r="S889" s="30"/>
      <c r="T889" s="30"/>
      <c r="U889" s="30"/>
      <c r="V889" s="30"/>
      <c r="W889" s="30"/>
      <c r="X889" s="30"/>
      <c r="Y889" s="30"/>
      <c r="Z889" s="30"/>
      <c r="AA889" s="30"/>
      <c r="AB889" s="30"/>
      <c r="AC889" s="30"/>
      <c r="AD889" s="30"/>
      <c r="AE889" s="30"/>
      <c r="AF889" s="30"/>
      <c r="AG889" s="30"/>
      <c r="AH889" s="30"/>
      <c r="AI889" s="30"/>
      <c r="AJ889" s="30"/>
      <c r="AK889" s="30"/>
      <c r="AL889" s="30"/>
      <c r="AM889" s="30"/>
      <c r="AN889" s="30"/>
      <c r="AO889" s="30"/>
      <c r="AP889" s="30"/>
      <c r="AQ889" s="30"/>
      <c r="AR889" s="30"/>
      <c r="AS889" s="30"/>
      <c r="AT889" s="30"/>
      <c r="AU889" s="30"/>
      <c r="AV889" s="30"/>
      <c r="AW889" s="30"/>
      <c r="AX889" s="30"/>
      <c r="AY889" s="30"/>
      <c r="AZ889" s="30"/>
      <c r="BA889" s="30"/>
      <c r="BB889" s="30"/>
      <c r="BC889" s="30"/>
      <c r="BD889" s="30"/>
      <c r="BE889" s="30"/>
      <c r="BF889" s="30"/>
      <c r="BG889" s="30"/>
      <c r="BH889" s="30"/>
      <c r="BI889" s="30"/>
      <c r="BJ889" s="30"/>
      <c r="BK889" s="30"/>
      <c r="BL889" s="30"/>
      <c r="BM889" s="30"/>
      <c r="BN889" s="30"/>
      <c r="BO889" s="30"/>
      <c r="BP889" s="30"/>
      <c r="BQ889" s="30"/>
      <c r="BR889" s="30"/>
      <c r="BS889" s="30"/>
      <c r="BT889" s="30"/>
      <c r="BU889" s="30"/>
      <c r="BV889" s="30"/>
      <c r="BW889" s="30"/>
      <c r="BX889" s="30"/>
      <c r="BY889" s="30"/>
      <c r="BZ889" s="30"/>
      <c r="CA889" s="30"/>
      <c r="CB889" s="55"/>
    </row>
    <row r="890" spans="2:80" x14ac:dyDescent="0.2">
      <c r="B890" s="150" t="s">
        <v>305</v>
      </c>
      <c r="C890" s="151"/>
      <c r="D890" s="151"/>
      <c r="E890" s="151"/>
      <c r="F890" s="151"/>
      <c r="G890" s="151"/>
      <c r="H890" s="151"/>
      <c r="I890" s="151"/>
      <c r="J890" s="151"/>
      <c r="K890" s="151"/>
      <c r="L890" s="151"/>
      <c r="M890" s="151"/>
      <c r="N890" s="151"/>
      <c r="O890" s="151"/>
      <c r="P890" s="151"/>
      <c r="Q890" s="151"/>
      <c r="R890" s="151"/>
      <c r="S890" s="151"/>
      <c r="T890" s="151"/>
      <c r="U890" s="151"/>
      <c r="V890" s="151"/>
      <c r="W890" s="151"/>
      <c r="X890" s="151"/>
      <c r="Y890" s="151"/>
      <c r="Z890" s="151"/>
      <c r="AA890" s="151"/>
      <c r="AB890" s="151"/>
      <c r="AC890" s="151"/>
      <c r="AD890" s="151"/>
      <c r="AE890" s="151"/>
      <c r="AF890" s="151"/>
      <c r="AG890" s="151"/>
      <c r="AH890" s="151"/>
      <c r="AI890" s="151"/>
      <c r="AJ890" s="151"/>
      <c r="AK890" s="151"/>
      <c r="AL890" s="151"/>
      <c r="AM890" s="151"/>
      <c r="AN890" s="151"/>
      <c r="AO890" s="151"/>
      <c r="AP890" s="151"/>
      <c r="AQ890" s="151"/>
      <c r="AR890" s="151"/>
      <c r="AS890" s="151"/>
      <c r="AT890" s="151"/>
      <c r="AU890" s="151"/>
      <c r="AV890" s="151"/>
      <c r="AW890" s="151"/>
      <c r="AX890" s="151"/>
      <c r="AY890" s="151"/>
      <c r="AZ890" s="151"/>
      <c r="BA890" s="151"/>
      <c r="BB890" s="151"/>
      <c r="BC890" s="151"/>
      <c r="BD890" s="151"/>
      <c r="BE890" s="151"/>
      <c r="BF890" s="151"/>
      <c r="BG890" s="151"/>
      <c r="BH890" s="151"/>
      <c r="BI890" s="151"/>
      <c r="BJ890" s="151"/>
      <c r="BK890" s="151"/>
      <c r="BL890" s="151"/>
      <c r="BM890" s="151"/>
      <c r="BN890" s="151"/>
      <c r="BO890" s="151"/>
      <c r="BP890" s="151"/>
      <c r="BQ890" s="151"/>
      <c r="BR890" s="151"/>
      <c r="BS890" s="151"/>
      <c r="BT890" s="151"/>
      <c r="BU890" s="151"/>
      <c r="BV890" s="151"/>
      <c r="BW890" s="151"/>
      <c r="BX890" s="151"/>
      <c r="BY890" s="151"/>
      <c r="BZ890" s="151"/>
      <c r="CA890" s="151"/>
      <c r="CB890" s="152"/>
    </row>
    <row r="891" spans="2:80" x14ac:dyDescent="0.2">
      <c r="B891" s="150"/>
      <c r="C891" s="151"/>
      <c r="D891" s="151"/>
      <c r="E891" s="151"/>
      <c r="F891" s="151"/>
      <c r="G891" s="151"/>
      <c r="H891" s="151"/>
      <c r="I891" s="151"/>
      <c r="J891" s="151"/>
      <c r="K891" s="151"/>
      <c r="L891" s="151"/>
      <c r="M891" s="151"/>
      <c r="N891" s="151"/>
      <c r="O891" s="151"/>
      <c r="P891" s="151"/>
      <c r="Q891" s="151"/>
      <c r="R891" s="151"/>
      <c r="S891" s="151"/>
      <c r="T891" s="151"/>
      <c r="U891" s="151"/>
      <c r="V891" s="151"/>
      <c r="W891" s="151"/>
      <c r="X891" s="151"/>
      <c r="Y891" s="151"/>
      <c r="Z891" s="151"/>
      <c r="AA891" s="151"/>
      <c r="AB891" s="151"/>
      <c r="AC891" s="151"/>
      <c r="AD891" s="151"/>
      <c r="AE891" s="151"/>
      <c r="AF891" s="151"/>
      <c r="AG891" s="151"/>
      <c r="AH891" s="151"/>
      <c r="AI891" s="151"/>
      <c r="AJ891" s="151"/>
      <c r="AK891" s="151"/>
      <c r="AL891" s="151"/>
      <c r="AM891" s="151"/>
      <c r="AN891" s="151"/>
      <c r="AO891" s="151"/>
      <c r="AP891" s="151"/>
      <c r="AQ891" s="151"/>
      <c r="AR891" s="151"/>
      <c r="AS891" s="151"/>
      <c r="AT891" s="151"/>
      <c r="AU891" s="151"/>
      <c r="AV891" s="151"/>
      <c r="AW891" s="151"/>
      <c r="AX891" s="151"/>
      <c r="AY891" s="151"/>
      <c r="AZ891" s="151"/>
      <c r="BA891" s="151"/>
      <c r="BB891" s="151"/>
      <c r="BC891" s="151"/>
      <c r="BD891" s="151"/>
      <c r="BE891" s="151"/>
      <c r="BF891" s="151"/>
      <c r="BG891" s="151"/>
      <c r="BH891" s="151"/>
      <c r="BI891" s="151"/>
      <c r="BJ891" s="151"/>
      <c r="BK891" s="151"/>
      <c r="BL891" s="151"/>
      <c r="BM891" s="151"/>
      <c r="BN891" s="151"/>
      <c r="BO891" s="151"/>
      <c r="BP891" s="151"/>
      <c r="BQ891" s="151"/>
      <c r="BR891" s="151"/>
      <c r="BS891" s="151"/>
      <c r="BT891" s="151"/>
      <c r="BU891" s="151"/>
      <c r="BV891" s="151"/>
      <c r="BW891" s="151"/>
      <c r="BX891" s="151"/>
      <c r="BY891" s="151"/>
      <c r="BZ891" s="151"/>
      <c r="CA891" s="151"/>
      <c r="CB891" s="152"/>
    </row>
    <row r="892" spans="2:80" x14ac:dyDescent="0.2">
      <c r="B892" s="153" t="s">
        <v>264</v>
      </c>
      <c r="C892" s="92"/>
      <c r="D892" s="92"/>
      <c r="E892" s="92"/>
      <c r="F892" s="92"/>
      <c r="G892" s="92"/>
      <c r="H892" s="92"/>
      <c r="I892" s="92"/>
      <c r="J892" s="92"/>
      <c r="K892" s="92"/>
      <c r="L892" s="92"/>
      <c r="M892" s="92"/>
      <c r="N892" s="92"/>
      <c r="O892" s="92" t="s">
        <v>304</v>
      </c>
      <c r="P892" s="92"/>
      <c r="Q892" s="92"/>
      <c r="R892" s="92"/>
      <c r="S892" s="92"/>
      <c r="T892" s="92"/>
      <c r="U892" s="92"/>
      <c r="V892" s="92"/>
      <c r="W892" s="92"/>
      <c r="X892" s="92"/>
      <c r="Y892" s="92"/>
      <c r="Z892" s="92"/>
      <c r="AA892" s="92"/>
      <c r="AB892" s="92"/>
      <c r="AC892" s="92"/>
      <c r="AD892" s="92"/>
      <c r="AE892" s="92"/>
      <c r="AF892" s="92"/>
      <c r="AG892" s="92"/>
      <c r="AH892" s="92"/>
      <c r="AI892" s="92"/>
      <c r="AJ892" s="92"/>
      <c r="AK892" s="92"/>
      <c r="AL892" s="92"/>
      <c r="AM892" s="92"/>
      <c r="AN892" s="92"/>
      <c r="AO892" s="92"/>
      <c r="AP892" s="92"/>
      <c r="AQ892" s="92"/>
      <c r="AR892" s="92"/>
      <c r="AS892" s="92"/>
      <c r="AT892" s="92"/>
      <c r="AU892" s="92"/>
      <c r="AV892" s="92"/>
      <c r="AW892" s="92"/>
      <c r="AX892" s="92"/>
      <c r="AY892" s="92"/>
      <c r="AZ892" s="92"/>
      <c r="BA892" s="92"/>
      <c r="BB892" s="92" t="s">
        <v>262</v>
      </c>
      <c r="BC892" s="92"/>
      <c r="BD892" s="92"/>
      <c r="BE892" s="92" t="s">
        <v>266</v>
      </c>
      <c r="BF892" s="92"/>
      <c r="BG892" s="92"/>
      <c r="BH892" s="92" t="s">
        <v>263</v>
      </c>
      <c r="BI892" s="92"/>
      <c r="BJ892" s="92"/>
      <c r="BK892" s="156" t="s">
        <v>384</v>
      </c>
      <c r="BL892" s="157"/>
      <c r="BM892" s="157"/>
      <c r="BN892" s="162" t="s">
        <v>303</v>
      </c>
      <c r="BO892" s="92"/>
      <c r="BP892" s="92"/>
      <c r="BQ892" s="92"/>
      <c r="BR892" s="162" t="s">
        <v>298</v>
      </c>
      <c r="BS892" s="162"/>
      <c r="BT892" s="162"/>
      <c r="BU892" s="162"/>
      <c r="BV892" s="92"/>
      <c r="BW892" s="92"/>
      <c r="BX892" s="162" t="s">
        <v>279</v>
      </c>
      <c r="BY892" s="162"/>
      <c r="BZ892" s="162"/>
      <c r="CA892" s="162"/>
      <c r="CB892" s="163"/>
    </row>
    <row r="893" spans="2:80" x14ac:dyDescent="0.2">
      <c r="B893" s="153"/>
      <c r="C893" s="92"/>
      <c r="D893" s="92"/>
      <c r="E893" s="92"/>
      <c r="F893" s="92"/>
      <c r="G893" s="92"/>
      <c r="H893" s="92"/>
      <c r="I893" s="92"/>
      <c r="J893" s="92"/>
      <c r="K893" s="92"/>
      <c r="L893" s="92"/>
      <c r="M893" s="92"/>
      <c r="N893" s="92"/>
      <c r="O893" s="166" t="s">
        <v>17</v>
      </c>
      <c r="P893" s="167"/>
      <c r="Q893" s="167"/>
      <c r="R893" s="167"/>
      <c r="S893" s="168"/>
      <c r="T893" s="108" t="s">
        <v>417</v>
      </c>
      <c r="U893" s="108"/>
      <c r="V893" s="108"/>
      <c r="W893" s="108"/>
      <c r="X893" s="108"/>
      <c r="Y893" s="108"/>
      <c r="Z893" s="108"/>
      <c r="AA893" s="108"/>
      <c r="AB893" s="108" t="s">
        <v>414</v>
      </c>
      <c r="AC893" s="108"/>
      <c r="AD893" s="108"/>
      <c r="AE893" s="108"/>
      <c r="AF893" s="108"/>
      <c r="AG893" s="175" t="s">
        <v>429</v>
      </c>
      <c r="AH893" s="176"/>
      <c r="AI893" s="176"/>
      <c r="AJ893" s="176"/>
      <c r="AK893" s="177"/>
      <c r="AL893" s="178" t="s">
        <v>16</v>
      </c>
      <c r="AM893" s="178"/>
      <c r="AN893" s="178"/>
      <c r="AO893" s="178"/>
      <c r="AP893" s="178"/>
      <c r="AQ893" s="178"/>
      <c r="AR893" s="178" t="s">
        <v>267</v>
      </c>
      <c r="AS893" s="178"/>
      <c r="AT893" s="178"/>
      <c r="AU893" s="178"/>
      <c r="AV893" s="178"/>
      <c r="AW893" s="178" t="s">
        <v>423</v>
      </c>
      <c r="AX893" s="178"/>
      <c r="AY893" s="178"/>
      <c r="AZ893" s="178"/>
      <c r="BA893" s="178"/>
      <c r="BB893" s="92"/>
      <c r="BC893" s="92"/>
      <c r="BD893" s="92"/>
      <c r="BE893" s="92"/>
      <c r="BF893" s="92"/>
      <c r="BG893" s="92"/>
      <c r="BH893" s="92"/>
      <c r="BI893" s="92"/>
      <c r="BJ893" s="92"/>
      <c r="BK893" s="158"/>
      <c r="BL893" s="159"/>
      <c r="BM893" s="159"/>
      <c r="BN893" s="162"/>
      <c r="BO893" s="92"/>
      <c r="BP893" s="92"/>
      <c r="BQ893" s="92"/>
      <c r="BR893" s="162"/>
      <c r="BS893" s="162"/>
      <c r="BT893" s="162"/>
      <c r="BU893" s="162"/>
      <c r="BV893" s="92"/>
      <c r="BW893" s="92"/>
      <c r="BX893" s="162"/>
      <c r="BY893" s="162"/>
      <c r="BZ893" s="162"/>
      <c r="CA893" s="162"/>
      <c r="CB893" s="163"/>
    </row>
    <row r="894" spans="2:80" x14ac:dyDescent="0.2">
      <c r="B894" s="153"/>
      <c r="C894" s="92"/>
      <c r="D894" s="92"/>
      <c r="E894" s="92"/>
      <c r="F894" s="92"/>
      <c r="G894" s="92"/>
      <c r="H894" s="92"/>
      <c r="I894" s="92"/>
      <c r="J894" s="92"/>
      <c r="K894" s="92"/>
      <c r="L894" s="92"/>
      <c r="M894" s="92"/>
      <c r="N894" s="92"/>
      <c r="O894" s="169"/>
      <c r="P894" s="170"/>
      <c r="Q894" s="170"/>
      <c r="R894" s="170"/>
      <c r="S894" s="171"/>
      <c r="T894" s="97" t="s">
        <v>418</v>
      </c>
      <c r="U894" s="95"/>
      <c r="V894" s="29" t="s">
        <v>415</v>
      </c>
      <c r="W894" s="95" t="s">
        <v>420</v>
      </c>
      <c r="X894" s="95"/>
      <c r="Y894" s="29" t="s">
        <v>415</v>
      </c>
      <c r="Z894" s="95" t="s">
        <v>421</v>
      </c>
      <c r="AA894" s="98"/>
      <c r="AB894" s="97" t="s">
        <v>422</v>
      </c>
      <c r="AC894" s="95"/>
      <c r="AD894" s="29" t="s">
        <v>415</v>
      </c>
      <c r="AE894" s="95" t="s">
        <v>421</v>
      </c>
      <c r="AF894" s="98"/>
      <c r="AG894" s="97" t="s">
        <v>473</v>
      </c>
      <c r="AH894" s="95"/>
      <c r="AI894" s="95"/>
      <c r="AJ894" s="95"/>
      <c r="AK894" s="98"/>
      <c r="AL894" s="179"/>
      <c r="AM894" s="179"/>
      <c r="AN894" s="179"/>
      <c r="AO894" s="179"/>
      <c r="AP894" s="179"/>
      <c r="AQ894" s="179"/>
      <c r="AR894" s="179"/>
      <c r="AS894" s="179"/>
      <c r="AT894" s="179"/>
      <c r="AU894" s="179"/>
      <c r="AV894" s="179"/>
      <c r="AW894" s="179"/>
      <c r="AX894" s="179"/>
      <c r="AY894" s="179"/>
      <c r="AZ894" s="179"/>
      <c r="BA894" s="179"/>
      <c r="BB894" s="92"/>
      <c r="BC894" s="92"/>
      <c r="BD894" s="92"/>
      <c r="BE894" s="92"/>
      <c r="BF894" s="92"/>
      <c r="BG894" s="92"/>
      <c r="BH894" s="92"/>
      <c r="BI894" s="92"/>
      <c r="BJ894" s="92"/>
      <c r="BK894" s="158"/>
      <c r="BL894" s="159"/>
      <c r="BM894" s="159"/>
      <c r="BN894" s="92"/>
      <c r="BO894" s="92"/>
      <c r="BP894" s="92"/>
      <c r="BQ894" s="92"/>
      <c r="BR894" s="162"/>
      <c r="BS894" s="162"/>
      <c r="BT894" s="162"/>
      <c r="BU894" s="162"/>
      <c r="BV894" s="92"/>
      <c r="BW894" s="92"/>
      <c r="BX894" s="162"/>
      <c r="BY894" s="162"/>
      <c r="BZ894" s="162"/>
      <c r="CA894" s="162"/>
      <c r="CB894" s="163"/>
    </row>
    <row r="895" spans="2:80" ht="12" thickBot="1" x14ac:dyDescent="0.25">
      <c r="B895" s="154"/>
      <c r="C895" s="155"/>
      <c r="D895" s="155"/>
      <c r="E895" s="155"/>
      <c r="F895" s="155"/>
      <c r="G895" s="155"/>
      <c r="H895" s="155"/>
      <c r="I895" s="155"/>
      <c r="J895" s="155"/>
      <c r="K895" s="155"/>
      <c r="L895" s="155"/>
      <c r="M895" s="155"/>
      <c r="N895" s="155"/>
      <c r="O895" s="172"/>
      <c r="P895" s="173"/>
      <c r="Q895" s="173"/>
      <c r="R895" s="173"/>
      <c r="S895" s="174"/>
      <c r="T895" s="181" t="s">
        <v>419</v>
      </c>
      <c r="U895" s="182"/>
      <c r="V895" s="28" t="s">
        <v>415</v>
      </c>
      <c r="W895" s="182" t="s">
        <v>419</v>
      </c>
      <c r="X895" s="182"/>
      <c r="Y895" s="28" t="s">
        <v>415</v>
      </c>
      <c r="Z895" s="182" t="s">
        <v>419</v>
      </c>
      <c r="AA895" s="192"/>
      <c r="AB895" s="181" t="s">
        <v>419</v>
      </c>
      <c r="AC895" s="182"/>
      <c r="AD895" s="28" t="s">
        <v>415</v>
      </c>
      <c r="AE895" s="182" t="s">
        <v>419</v>
      </c>
      <c r="AF895" s="192"/>
      <c r="AG895" s="181" t="s">
        <v>419</v>
      </c>
      <c r="AH895" s="182"/>
      <c r="AI895" s="182"/>
      <c r="AJ895" s="182"/>
      <c r="AK895" s="192"/>
      <c r="AL895" s="180"/>
      <c r="AM895" s="180"/>
      <c r="AN895" s="180"/>
      <c r="AO895" s="180"/>
      <c r="AP895" s="180"/>
      <c r="AQ895" s="180"/>
      <c r="AR895" s="180"/>
      <c r="AS895" s="180"/>
      <c r="AT895" s="180"/>
      <c r="AU895" s="180"/>
      <c r="AV895" s="180"/>
      <c r="AW895" s="180"/>
      <c r="AX895" s="180"/>
      <c r="AY895" s="180"/>
      <c r="AZ895" s="180"/>
      <c r="BA895" s="180"/>
      <c r="BB895" s="155"/>
      <c r="BC895" s="155"/>
      <c r="BD895" s="155"/>
      <c r="BE895" s="155"/>
      <c r="BF895" s="155"/>
      <c r="BG895" s="155"/>
      <c r="BH895" s="155"/>
      <c r="BI895" s="155"/>
      <c r="BJ895" s="155"/>
      <c r="BK895" s="160"/>
      <c r="BL895" s="161"/>
      <c r="BM895" s="161"/>
      <c r="BN895" s="155"/>
      <c r="BO895" s="155"/>
      <c r="BP895" s="155"/>
      <c r="BQ895" s="155"/>
      <c r="BR895" s="155"/>
      <c r="BS895" s="155"/>
      <c r="BT895" s="155"/>
      <c r="BU895" s="155"/>
      <c r="BV895" s="155"/>
      <c r="BW895" s="155"/>
      <c r="BX895" s="164"/>
      <c r="BY895" s="164"/>
      <c r="BZ895" s="164"/>
      <c r="CA895" s="164"/>
      <c r="CB895" s="165"/>
    </row>
    <row r="896" spans="2:80" ht="12" thickTop="1" x14ac:dyDescent="0.2">
      <c r="B896" s="71" t="s">
        <v>268</v>
      </c>
      <c r="C896" s="72"/>
      <c r="D896" s="72"/>
      <c r="E896" s="72"/>
      <c r="F896" s="72"/>
      <c r="G896" s="72"/>
      <c r="H896" s="72"/>
      <c r="I896" s="72"/>
      <c r="J896" s="72"/>
      <c r="K896" s="72"/>
      <c r="L896" s="72"/>
      <c r="M896" s="72"/>
      <c r="N896" s="72"/>
      <c r="O896" s="193">
        <v>12</v>
      </c>
      <c r="P896" s="194"/>
      <c r="Q896" s="21" t="s">
        <v>272</v>
      </c>
      <c r="R896" s="21"/>
      <c r="S896" s="21"/>
      <c r="T896" s="27"/>
      <c r="U896" s="27"/>
      <c r="V896" s="27"/>
      <c r="W896" s="27"/>
      <c r="X896" s="27"/>
      <c r="Y896" s="27"/>
      <c r="Z896" s="27"/>
      <c r="AA896" s="27"/>
      <c r="AB896" s="27"/>
      <c r="AC896" s="27"/>
      <c r="AD896" s="27"/>
      <c r="AE896" s="27"/>
      <c r="AF896" s="27"/>
      <c r="AG896" s="27"/>
      <c r="AH896" s="21"/>
      <c r="AI896" s="21"/>
      <c r="AJ896" s="21"/>
      <c r="AK896" s="21"/>
      <c r="AL896" s="21"/>
      <c r="AM896" s="21"/>
      <c r="AN896" s="21"/>
      <c r="AO896" s="21"/>
      <c r="AP896" s="21"/>
      <c r="AQ896" s="21"/>
      <c r="AR896" s="21"/>
      <c r="AS896" s="21"/>
      <c r="AT896" s="21"/>
      <c r="AU896" s="21"/>
      <c r="AV896" s="21"/>
      <c r="AW896" s="21"/>
      <c r="AX896" s="21"/>
      <c r="AY896" s="21"/>
      <c r="AZ896" s="21"/>
      <c r="BA896" s="22"/>
      <c r="BB896" s="195">
        <f>ROUND(PI()*O896^2/4*7.85/1000,3)</f>
        <v>0.88800000000000001</v>
      </c>
      <c r="BC896" s="195"/>
      <c r="BD896" s="195"/>
      <c r="BE896" s="63">
        <f>C816*2</f>
        <v>14</v>
      </c>
      <c r="BF896" s="63"/>
      <c r="BG896" s="63"/>
      <c r="BH896" s="83">
        <f>2*SQRT((E810/2)^2+T791^2)+(AL798/2-2)*W791</f>
        <v>17.211102550927979</v>
      </c>
      <c r="BI896" s="83"/>
      <c r="BJ896" s="83"/>
      <c r="BK896" s="124">
        <f t="shared" ref="BK896:BK918" si="63">+BE896*BH896</f>
        <v>240.95543571299172</v>
      </c>
      <c r="BL896" s="125"/>
      <c r="BM896" s="126"/>
      <c r="BN896" s="83">
        <f t="shared" ref="BN896:BN918" si="64">BB896*(BE896*BH896)</f>
        <v>213.96842691313665</v>
      </c>
      <c r="BO896" s="83"/>
      <c r="BP896" s="83"/>
      <c r="BQ896" s="83"/>
      <c r="BR896" s="84">
        <v>25</v>
      </c>
      <c r="BS896" s="84"/>
      <c r="BT896" s="84"/>
      <c r="BU896" s="84"/>
      <c r="BV896" s="84"/>
      <c r="BW896" s="84"/>
      <c r="BX896" s="65">
        <f t="shared" ref="BX896" si="65">BR896*BN896</f>
        <v>5349.2106728284161</v>
      </c>
      <c r="BY896" s="65"/>
      <c r="BZ896" s="65"/>
      <c r="CA896" s="65"/>
      <c r="CB896" s="66"/>
    </row>
    <row r="897" spans="2:80" x14ac:dyDescent="0.2">
      <c r="B897" s="147" t="s">
        <v>14</v>
      </c>
      <c r="C897" s="148"/>
      <c r="D897" s="148"/>
      <c r="E897" s="148"/>
      <c r="F897" s="148"/>
      <c r="G897" s="148"/>
      <c r="H897" s="148"/>
      <c r="I897" s="148"/>
      <c r="J897" s="148"/>
      <c r="K897" s="148"/>
      <c r="L897" s="148"/>
      <c r="M897" s="148"/>
      <c r="N897" s="148"/>
      <c r="O897" s="120" t="s">
        <v>413</v>
      </c>
      <c r="P897" s="73"/>
      <c r="Q897" s="73"/>
      <c r="R897" s="73"/>
      <c r="S897" s="128"/>
      <c r="T897" s="129">
        <v>150</v>
      </c>
      <c r="U897" s="130"/>
      <c r="V897" s="26" t="s">
        <v>415</v>
      </c>
      <c r="W897" s="130">
        <v>150</v>
      </c>
      <c r="X897" s="130"/>
      <c r="Y897" s="26" t="s">
        <v>415</v>
      </c>
      <c r="Z897" s="130">
        <v>10</v>
      </c>
      <c r="AA897" s="131"/>
      <c r="AB897" s="129">
        <v>150</v>
      </c>
      <c r="AC897" s="130"/>
      <c r="AD897" s="26" t="s">
        <v>415</v>
      </c>
      <c r="AE897" s="130">
        <v>10</v>
      </c>
      <c r="AF897" s="131"/>
      <c r="AG897" s="129" t="s">
        <v>395</v>
      </c>
      <c r="AH897" s="130"/>
      <c r="AI897" s="130"/>
      <c r="AJ897" s="130"/>
      <c r="AK897" s="131"/>
      <c r="AL897" s="129" t="s">
        <v>306</v>
      </c>
      <c r="AM897" s="130"/>
      <c r="AN897" s="130"/>
      <c r="AO897" s="130"/>
      <c r="AP897" s="130"/>
      <c r="AQ897" s="131"/>
      <c r="AR897" s="129" t="s">
        <v>246</v>
      </c>
      <c r="AS897" s="130"/>
      <c r="AT897" s="130"/>
      <c r="AU897" s="130"/>
      <c r="AV897" s="131"/>
      <c r="AW897" s="146" t="s">
        <v>160</v>
      </c>
      <c r="AX897" s="146"/>
      <c r="AY897" s="146"/>
      <c r="AZ897" s="146"/>
      <c r="BA897" s="146"/>
      <c r="BB897" s="143" cm="1">
        <f t="array" ref="BB897">IF(O897="C profil",INDEX($CX$4:$CX$28,MATCH(AG897,$CW$4:$CW$28,0),0),IF(O897="kutu profil",(((T897*W897-4*((2*Z897)*(2*Z897)-PI()*(2*Z897)^2/4))-((T897-2*Z897)*(W897-2*Z897)-4*((1*Z897)*(1*Z897)-PI()*(1*Z897)^2/4)))/1000000*7850),IF(O897="boru profil",((PI()*AB897^2/4-PI()*(AB897-2*AE897)^2/4)/1000000*7850),IF(O897="I profil",INDEX($CN$4:$CN$118,MATCH(AL897,$CM$4:$CM$118,0),0),IF(O897="U profil",INDEX($CU$4:$CU$28,MATCH(AR897,$CT$4:$CT$28,0),0),IF(O897="korniyer",INDEX($CR$4:$CR$176,MATCH(AW897,$CQ$4:$CQ$176,0),0),"hatalı"))))))</f>
        <v>4.72</v>
      </c>
      <c r="BC897" s="143"/>
      <c r="BD897" s="143"/>
      <c r="BE897" s="109">
        <f>AL798</f>
        <v>14</v>
      </c>
      <c r="BF897" s="109"/>
      <c r="BG897" s="109"/>
      <c r="BH897" s="149">
        <f>C806</f>
        <v>42</v>
      </c>
      <c r="BI897" s="149"/>
      <c r="BJ897" s="149"/>
      <c r="BK897" s="134">
        <f t="shared" si="63"/>
        <v>588</v>
      </c>
      <c r="BL897" s="135"/>
      <c r="BM897" s="136"/>
      <c r="BN897" s="149">
        <f t="shared" si="64"/>
        <v>2775.3599999999997</v>
      </c>
      <c r="BO897" s="149"/>
      <c r="BP897" s="149"/>
      <c r="BQ897" s="149"/>
      <c r="BR897" s="84">
        <v>28</v>
      </c>
      <c r="BS897" s="84"/>
      <c r="BT897" s="84"/>
      <c r="BU897" s="84"/>
      <c r="BV897" s="84"/>
      <c r="BW897" s="84"/>
      <c r="BX897" s="85">
        <f>BR897*BN897</f>
        <v>77710.079999999987</v>
      </c>
      <c r="BY897" s="85"/>
      <c r="BZ897" s="85"/>
      <c r="CA897" s="85"/>
      <c r="CB897" s="86"/>
    </row>
    <row r="898" spans="2:80" x14ac:dyDescent="0.2">
      <c r="B898" s="41" t="s">
        <v>434</v>
      </c>
      <c r="C898" s="42"/>
      <c r="D898" s="42"/>
      <c r="E898" s="42"/>
      <c r="F898" s="42"/>
      <c r="G898" s="42"/>
      <c r="H898" s="42"/>
      <c r="I898" s="42"/>
      <c r="J898" s="73" t="s">
        <v>435</v>
      </c>
      <c r="K898" s="73"/>
      <c r="L898" s="73"/>
      <c r="M898" s="73"/>
      <c r="N898" s="43"/>
      <c r="O898" s="120" t="s">
        <v>382</v>
      </c>
      <c r="P898" s="73"/>
      <c r="Q898" s="73"/>
      <c r="R898" s="73"/>
      <c r="S898" s="128"/>
      <c r="T898" s="129">
        <v>150</v>
      </c>
      <c r="U898" s="130"/>
      <c r="V898" s="26" t="s">
        <v>415</v>
      </c>
      <c r="W898" s="130">
        <v>150</v>
      </c>
      <c r="X898" s="130"/>
      <c r="Y898" s="26" t="s">
        <v>415</v>
      </c>
      <c r="Z898" s="130">
        <v>10</v>
      </c>
      <c r="AA898" s="131"/>
      <c r="AB898" s="129">
        <v>150</v>
      </c>
      <c r="AC898" s="130"/>
      <c r="AD898" s="26" t="s">
        <v>415</v>
      </c>
      <c r="AE898" s="130">
        <v>10</v>
      </c>
      <c r="AF898" s="131"/>
      <c r="AG898" s="13"/>
      <c r="AH898" s="11"/>
      <c r="AI898" s="11"/>
      <c r="AJ898" s="11"/>
      <c r="AK898" s="12"/>
      <c r="AL898" s="129" t="s">
        <v>281</v>
      </c>
      <c r="AM898" s="130"/>
      <c r="AN898" s="130"/>
      <c r="AO898" s="130"/>
      <c r="AP898" s="130"/>
      <c r="AQ898" s="131"/>
      <c r="AR898" s="129" t="s">
        <v>246</v>
      </c>
      <c r="AS898" s="130"/>
      <c r="AT898" s="130"/>
      <c r="AU898" s="130"/>
      <c r="AV898" s="131"/>
      <c r="AW898" s="146" t="s">
        <v>189</v>
      </c>
      <c r="AX898" s="146"/>
      <c r="AY898" s="146"/>
      <c r="AZ898" s="146"/>
      <c r="BA898" s="146"/>
      <c r="BB898" s="143" cm="1">
        <f t="array" ref="BB898">IF(O898="kutu profil",(((T898*W898-4*((2*Z898)*(2*Z898)-PI()*(2*Z898)^2/4))-((T898-2*Z898)*(W898-2*Z898)-4*((1*Z898)*(1*Z898)-PI()*(1*Z898)^2/4)))/1000000*7850),IF(O898="boru profil",((PI()*AB898^2/4-PI()*(AB898-2*AE898)^2/4)/1000000*7850),IF(O898="I profil",INDEX($CN$4:$CN$118,MATCH(AL898,$CM$4:$CM$118,0),0),IF(O898="U profil",INDEX($CU$4:$CU$28,MATCH(AR898,$CT$4:$CT$28,0),0),IF(O898="korniyer",INDEX($CR$4:$CR$176,MATCH(AW898,$CQ$4:$CQ$176,0),0),"hatalı")))))</f>
        <v>11.9</v>
      </c>
      <c r="BC898" s="143"/>
      <c r="BD898" s="143"/>
      <c r="BE898" s="63">
        <f>IF(J898="tek çubuk",1,2)*(C816+1)</f>
        <v>16</v>
      </c>
      <c r="BF898" s="63"/>
      <c r="BG898" s="63"/>
      <c r="BH898" s="83">
        <f>+BA790</f>
        <v>24.119701490690137</v>
      </c>
      <c r="BI898" s="83"/>
      <c r="BJ898" s="83"/>
      <c r="BK898" s="134">
        <f t="shared" si="63"/>
        <v>385.91522385104219</v>
      </c>
      <c r="BL898" s="135"/>
      <c r="BM898" s="136"/>
      <c r="BN898" s="83">
        <f t="shared" si="64"/>
        <v>4592.3911638274021</v>
      </c>
      <c r="BO898" s="83"/>
      <c r="BP898" s="83"/>
      <c r="BQ898" s="83"/>
      <c r="BR898" s="84">
        <v>28</v>
      </c>
      <c r="BS898" s="84"/>
      <c r="BT898" s="84"/>
      <c r="BU898" s="84"/>
      <c r="BV898" s="84"/>
      <c r="BW898" s="84"/>
      <c r="BX898" s="85">
        <f t="shared" ref="BX898:BX924" si="66">BR898*BN898</f>
        <v>128586.95258716727</v>
      </c>
      <c r="BY898" s="85"/>
      <c r="BZ898" s="85"/>
      <c r="CA898" s="85"/>
      <c r="CB898" s="86"/>
    </row>
    <row r="899" spans="2:80" x14ac:dyDescent="0.2">
      <c r="B899" s="41" t="s">
        <v>436</v>
      </c>
      <c r="C899" s="42"/>
      <c r="D899" s="42"/>
      <c r="E899" s="42"/>
      <c r="F899" s="42"/>
      <c r="G899" s="42"/>
      <c r="H899" s="42"/>
      <c r="I899" s="42"/>
      <c r="J899" s="73" t="s">
        <v>435</v>
      </c>
      <c r="K899" s="73"/>
      <c r="L899" s="73"/>
      <c r="M899" s="73"/>
      <c r="N899" s="43"/>
      <c r="O899" s="120" t="s">
        <v>382</v>
      </c>
      <c r="P899" s="73"/>
      <c r="Q899" s="73"/>
      <c r="R899" s="73"/>
      <c r="S899" s="128"/>
      <c r="T899" s="129">
        <v>150</v>
      </c>
      <c r="U899" s="130"/>
      <c r="V899" s="26" t="s">
        <v>415</v>
      </c>
      <c r="W899" s="130">
        <v>150</v>
      </c>
      <c r="X899" s="130"/>
      <c r="Y899" s="26" t="s">
        <v>415</v>
      </c>
      <c r="Z899" s="130">
        <v>10</v>
      </c>
      <c r="AA899" s="131"/>
      <c r="AB899" s="129">
        <v>150</v>
      </c>
      <c r="AC899" s="130"/>
      <c r="AD899" s="26" t="s">
        <v>415</v>
      </c>
      <c r="AE899" s="130">
        <v>10</v>
      </c>
      <c r="AF899" s="131"/>
      <c r="AG899" s="13"/>
      <c r="AH899" s="11"/>
      <c r="AI899" s="11"/>
      <c r="AJ899" s="11"/>
      <c r="AK899" s="12"/>
      <c r="AL899" s="129" t="s">
        <v>281</v>
      </c>
      <c r="AM899" s="130"/>
      <c r="AN899" s="130"/>
      <c r="AO899" s="130"/>
      <c r="AP899" s="130"/>
      <c r="AQ899" s="131"/>
      <c r="AR899" s="129" t="s">
        <v>246</v>
      </c>
      <c r="AS899" s="130"/>
      <c r="AT899" s="130"/>
      <c r="AU899" s="130"/>
      <c r="AV899" s="131"/>
      <c r="AW899" s="146" t="s">
        <v>189</v>
      </c>
      <c r="AX899" s="146"/>
      <c r="AY899" s="146"/>
      <c r="AZ899" s="146"/>
      <c r="BA899" s="146"/>
      <c r="BB899" s="143" cm="1">
        <f t="array" ref="BB899">IF(O899="kutu profil",(((T899*W899-4*((2*Z899)*(2*Z899)-PI()*(2*Z899)^2/4))-((T899-2*Z899)*(W899-2*Z899)-4*((1*Z899)*(1*Z899)-PI()*(1*Z899)^2/4)))/1000000*7850),IF(O899="boru profil",((PI()*AB899^2/4-PI()*(AB899-2*AE899)^2/4)/1000000*7850),IF(O899="I profil",INDEX($CN$4:$CN$118,MATCH(AL899,$CM$4:$CM$118,0),0),IF(O899="U profil",INDEX($CU$4:$CU$28,MATCH(AR899,$CT$4:$CT$28,0),0),IF(O899="korniyer",INDEX($CR$4:$CR$176,MATCH(AW899,$CQ$4:$CQ$176,0),0),"hatalı")))))</f>
        <v>11.9</v>
      </c>
      <c r="BC899" s="143"/>
      <c r="BD899" s="143"/>
      <c r="BE899" s="63">
        <f>IF(J899="tek çubuk",1,2)*(C816+1)</f>
        <v>16</v>
      </c>
      <c r="BF899" s="63"/>
      <c r="BG899" s="63"/>
      <c r="BH899" s="83">
        <f>+BG790</f>
        <v>24</v>
      </c>
      <c r="BI899" s="83"/>
      <c r="BJ899" s="83"/>
      <c r="BK899" s="134">
        <f t="shared" si="63"/>
        <v>384</v>
      </c>
      <c r="BL899" s="135"/>
      <c r="BM899" s="136"/>
      <c r="BN899" s="83">
        <f t="shared" si="64"/>
        <v>4569.6000000000004</v>
      </c>
      <c r="BO899" s="83"/>
      <c r="BP899" s="83"/>
      <c r="BQ899" s="83"/>
      <c r="BR899" s="84">
        <v>28</v>
      </c>
      <c r="BS899" s="84"/>
      <c r="BT899" s="84"/>
      <c r="BU899" s="84"/>
      <c r="BV899" s="84"/>
      <c r="BW899" s="84"/>
      <c r="BX899" s="85">
        <f t="shared" si="66"/>
        <v>127948.80000000002</v>
      </c>
      <c r="BY899" s="85"/>
      <c r="BZ899" s="85"/>
      <c r="CA899" s="85"/>
      <c r="CB899" s="86"/>
    </row>
    <row r="900" spans="2:80" x14ac:dyDescent="0.2">
      <c r="B900" s="41" t="s">
        <v>437</v>
      </c>
      <c r="C900" s="42"/>
      <c r="D900" s="42"/>
      <c r="E900" s="42"/>
      <c r="F900" s="42"/>
      <c r="G900" s="42"/>
      <c r="H900" s="42"/>
      <c r="I900" s="42"/>
      <c r="J900" s="73" t="s">
        <v>438</v>
      </c>
      <c r="K900" s="73"/>
      <c r="L900" s="73"/>
      <c r="M900" s="73"/>
      <c r="N900" s="43"/>
      <c r="O900" s="120" t="s">
        <v>382</v>
      </c>
      <c r="P900" s="73"/>
      <c r="Q900" s="73"/>
      <c r="R900" s="73"/>
      <c r="S900" s="128"/>
      <c r="T900" s="129">
        <v>150</v>
      </c>
      <c r="U900" s="130"/>
      <c r="V900" s="26" t="s">
        <v>415</v>
      </c>
      <c r="W900" s="130">
        <v>150</v>
      </c>
      <c r="X900" s="130"/>
      <c r="Y900" s="26" t="s">
        <v>415</v>
      </c>
      <c r="Z900" s="130">
        <v>10</v>
      </c>
      <c r="AA900" s="131"/>
      <c r="AB900" s="129">
        <v>150</v>
      </c>
      <c r="AC900" s="130"/>
      <c r="AD900" s="26" t="s">
        <v>415</v>
      </c>
      <c r="AE900" s="130">
        <v>10</v>
      </c>
      <c r="AF900" s="131"/>
      <c r="AG900" s="13"/>
      <c r="AH900" s="11"/>
      <c r="AI900" s="11"/>
      <c r="AJ900" s="11"/>
      <c r="AK900" s="12"/>
      <c r="AL900" s="129" t="s">
        <v>281</v>
      </c>
      <c r="AM900" s="130"/>
      <c r="AN900" s="130"/>
      <c r="AO900" s="130"/>
      <c r="AP900" s="130"/>
      <c r="AQ900" s="131"/>
      <c r="AR900" s="129" t="s">
        <v>246</v>
      </c>
      <c r="AS900" s="130"/>
      <c r="AT900" s="130"/>
      <c r="AU900" s="130"/>
      <c r="AV900" s="131"/>
      <c r="AW900" s="146" t="s">
        <v>192</v>
      </c>
      <c r="AX900" s="146"/>
      <c r="AY900" s="146"/>
      <c r="AZ900" s="146"/>
      <c r="BA900" s="146"/>
      <c r="BB900" s="143" cm="1">
        <f t="array" ref="BB900">IF(O900="kutu profil",(((T900*W900-4*((2*Z900)*(2*Z900)-PI()*(2*Z900)^2/4))-((T900-2*Z900)*(W900-2*Z900)-4*((1*Z900)*(1*Z900)-PI()*(1*Z900)^2/4)))/1000000*7850),IF(O900="boru profil",((PI()*AB900^2/4-PI()*(AB900-2*AE900)^2/4)/1000000*7850),IF(O900="I profil",INDEX($CN$4:$CN$118,MATCH(AL900,$CM$4:$CM$118,0),0),IF(O900="U profil",INDEX($CU$4:$CU$28,MATCH(AR900,$CT$4:$CT$28,0),0),IF(O900="korniyer",INDEX($CR$4:$CR$176,MATCH(AW900,$CQ$4:$CQ$176,0),0),"hatalı")))))</f>
        <v>10.9</v>
      </c>
      <c r="BC900" s="143"/>
      <c r="BD900" s="143"/>
      <c r="BE900" s="63">
        <f>IF(J900="tek çubuk",1,2)*(C816+1)</f>
        <v>8</v>
      </c>
      <c r="BF900" s="63"/>
      <c r="BG900" s="63"/>
      <c r="BH900" s="83">
        <f>+BC808</f>
        <v>27.626273556387403</v>
      </c>
      <c r="BI900" s="83"/>
      <c r="BJ900" s="83"/>
      <c r="BK900" s="134">
        <f t="shared" si="63"/>
        <v>221.01018845109922</v>
      </c>
      <c r="BL900" s="135"/>
      <c r="BM900" s="136"/>
      <c r="BN900" s="83">
        <f t="shared" si="64"/>
        <v>2409.0110541169815</v>
      </c>
      <c r="BO900" s="83"/>
      <c r="BP900" s="83"/>
      <c r="BQ900" s="83"/>
      <c r="BR900" s="84">
        <v>28</v>
      </c>
      <c r="BS900" s="84"/>
      <c r="BT900" s="84"/>
      <c r="BU900" s="84"/>
      <c r="BV900" s="84"/>
      <c r="BW900" s="84"/>
      <c r="BX900" s="85">
        <f t="shared" si="66"/>
        <v>67452.309515275483</v>
      </c>
      <c r="BY900" s="85"/>
      <c r="BZ900" s="85"/>
      <c r="CA900" s="85"/>
      <c r="CB900" s="86"/>
    </row>
    <row r="901" spans="2:80" x14ac:dyDescent="0.2">
      <c r="B901" s="41" t="s">
        <v>439</v>
      </c>
      <c r="C901" s="42"/>
      <c r="D901" s="42"/>
      <c r="E901" s="42"/>
      <c r="F901" s="42"/>
      <c r="G901" s="42"/>
      <c r="H901" s="42"/>
      <c r="I901" s="42"/>
      <c r="J901" s="73" t="s">
        <v>438</v>
      </c>
      <c r="K901" s="73"/>
      <c r="L901" s="73"/>
      <c r="M901" s="73"/>
      <c r="N901" s="43"/>
      <c r="O901" s="120" t="s">
        <v>382</v>
      </c>
      <c r="P901" s="73"/>
      <c r="Q901" s="73"/>
      <c r="R901" s="73"/>
      <c r="S901" s="128"/>
      <c r="T901" s="129">
        <v>150</v>
      </c>
      <c r="U901" s="130"/>
      <c r="V901" s="26" t="s">
        <v>415</v>
      </c>
      <c r="W901" s="130">
        <v>150</v>
      </c>
      <c r="X901" s="130"/>
      <c r="Y901" s="26" t="s">
        <v>415</v>
      </c>
      <c r="Z901" s="130">
        <v>10</v>
      </c>
      <c r="AA901" s="131"/>
      <c r="AB901" s="129">
        <v>150</v>
      </c>
      <c r="AC901" s="130"/>
      <c r="AD901" s="26" t="s">
        <v>415</v>
      </c>
      <c r="AE901" s="130">
        <v>10</v>
      </c>
      <c r="AF901" s="131"/>
      <c r="AG901" s="13"/>
      <c r="AH901" s="11"/>
      <c r="AI901" s="11"/>
      <c r="AJ901" s="11"/>
      <c r="AK901" s="12"/>
      <c r="AL901" s="129" t="s">
        <v>281</v>
      </c>
      <c r="AM901" s="130"/>
      <c r="AN901" s="130"/>
      <c r="AO901" s="130"/>
      <c r="AP901" s="130"/>
      <c r="AQ901" s="131"/>
      <c r="AR901" s="129" t="s">
        <v>246</v>
      </c>
      <c r="AS901" s="130"/>
      <c r="AT901" s="130"/>
      <c r="AU901" s="130"/>
      <c r="AV901" s="131"/>
      <c r="AW901" s="146" t="s">
        <v>192</v>
      </c>
      <c r="AX901" s="146"/>
      <c r="AY901" s="146"/>
      <c r="AZ901" s="146"/>
      <c r="BA901" s="146"/>
      <c r="BB901" s="143" cm="1">
        <f t="array" ref="BB901">IF(O901="kutu profil",(((T901*W901-4*((2*Z901)*(2*Z901)-PI()*(2*Z901)^2/4))-((T901-2*Z901)*(W901-2*Z901)-4*((1*Z901)*(1*Z901)-PI()*(1*Z901)^2/4)))/1000000*7850),IF(O901="boru profil",((PI()*AB901^2/4-PI()*(AB901-2*AE901)^2/4)/1000000*7850),IF(O901="I profil",INDEX($CN$4:$CN$118,MATCH(AL901,$CM$4:$CM$118,0),0),IF(O901="U profil",INDEX($CU$4:$CU$28,MATCH(AR901,$CT$4:$CT$28,0),0),IF(O901="korniyer",INDEX($CR$4:$CR$176,MATCH(AW901,$CQ$4:$CQ$176,0),0),"hatalı")))))</f>
        <v>10.9</v>
      </c>
      <c r="BC901" s="143"/>
      <c r="BD901" s="143"/>
      <c r="BE901" s="63">
        <f>IF(J901="tek çubuk",1,2)*(C816+1)</f>
        <v>8</v>
      </c>
      <c r="BF901" s="63"/>
      <c r="BG901" s="63"/>
      <c r="BH901" s="83">
        <f>+BE808</f>
        <v>13.799999999999999</v>
      </c>
      <c r="BI901" s="83"/>
      <c r="BJ901" s="83"/>
      <c r="BK901" s="134">
        <f t="shared" si="63"/>
        <v>110.39999999999999</v>
      </c>
      <c r="BL901" s="135"/>
      <c r="BM901" s="136"/>
      <c r="BN901" s="83">
        <f t="shared" si="64"/>
        <v>1203.3599999999999</v>
      </c>
      <c r="BO901" s="83"/>
      <c r="BP901" s="83"/>
      <c r="BQ901" s="83"/>
      <c r="BR901" s="84">
        <v>28</v>
      </c>
      <c r="BS901" s="84"/>
      <c r="BT901" s="84"/>
      <c r="BU901" s="84"/>
      <c r="BV901" s="84"/>
      <c r="BW901" s="84"/>
      <c r="BX901" s="85">
        <f t="shared" si="66"/>
        <v>33694.079999999994</v>
      </c>
      <c r="BY901" s="85"/>
      <c r="BZ901" s="85"/>
      <c r="CA901" s="85"/>
      <c r="CB901" s="86"/>
    </row>
    <row r="902" spans="2:80" x14ac:dyDescent="0.2">
      <c r="B902" s="71" t="s">
        <v>13</v>
      </c>
      <c r="C902" s="72"/>
      <c r="D902" s="72"/>
      <c r="E902" s="72"/>
      <c r="F902" s="72"/>
      <c r="G902" s="72"/>
      <c r="H902" s="72"/>
      <c r="I902" s="72"/>
      <c r="J902" s="72"/>
      <c r="K902" s="72"/>
      <c r="L902" s="72"/>
      <c r="M902" s="72"/>
      <c r="N902" s="72"/>
      <c r="O902" s="120" t="s">
        <v>16</v>
      </c>
      <c r="P902" s="73"/>
      <c r="Q902" s="73"/>
      <c r="R902" s="73"/>
      <c r="S902" s="128"/>
      <c r="T902" s="129">
        <v>150</v>
      </c>
      <c r="U902" s="130"/>
      <c r="V902" s="26" t="s">
        <v>415</v>
      </c>
      <c r="W902" s="130">
        <v>150</v>
      </c>
      <c r="X902" s="130"/>
      <c r="Y902" s="26" t="s">
        <v>415</v>
      </c>
      <c r="Z902" s="130">
        <v>10</v>
      </c>
      <c r="AA902" s="131"/>
      <c r="AB902" s="129">
        <v>150</v>
      </c>
      <c r="AC902" s="130"/>
      <c r="AD902" s="26" t="s">
        <v>415</v>
      </c>
      <c r="AE902" s="130">
        <v>10</v>
      </c>
      <c r="AF902" s="131"/>
      <c r="AG902" s="13"/>
      <c r="AH902" s="11"/>
      <c r="AI902" s="11"/>
      <c r="AJ902" s="11"/>
      <c r="AK902" s="12"/>
      <c r="AL902" s="129" t="s">
        <v>281</v>
      </c>
      <c r="AM902" s="130"/>
      <c r="AN902" s="130"/>
      <c r="AO902" s="130"/>
      <c r="AP902" s="130"/>
      <c r="AQ902" s="131"/>
      <c r="AR902" s="129" t="s">
        <v>246</v>
      </c>
      <c r="AS902" s="130"/>
      <c r="AT902" s="130"/>
      <c r="AU902" s="130"/>
      <c r="AV902" s="131"/>
      <c r="AW902" s="146" t="s">
        <v>345</v>
      </c>
      <c r="AX902" s="146"/>
      <c r="AY902" s="146"/>
      <c r="AZ902" s="146"/>
      <c r="BA902" s="146"/>
      <c r="BB902" s="143" cm="1">
        <f t="array" ref="BB902">IF(O902="kutu profil",(((T902*W902-4*((2*Z902)*(2*Z902)-PI()*(2*Z902)^2/4))-((T902-2*Z902)*(W902-2*Z902)-4*((1*Z902)*(1*Z902)-PI()*(1*Z902)^2/4)))/1000000*7850),IF(O902="boru profil",((PI()*AB902^2/4-PI()*(AB902-2*AE902)^2/4)/1000000*7850),IF(O902="I profil",INDEX($CN$4:$CN$118,MATCH(AL902,$CM$4:$CM$118,0),0),IF(O902="U profil",INDEX($CU$4:$CU$28,MATCH(AR902,$CT$4:$CT$28,0),0),IF(O902="korniyer",INDEX($CR$4:$CR$176,MATCH(AW902,$CQ$4:$CQ$176,0),0),"hatalı")))))</f>
        <v>122</v>
      </c>
      <c r="BC902" s="143"/>
      <c r="BD902" s="143"/>
      <c r="BE902" s="63">
        <f>(C816+1)*2</f>
        <v>16</v>
      </c>
      <c r="BF902" s="63"/>
      <c r="BG902" s="63"/>
      <c r="BH902" s="83">
        <f>+E778</f>
        <v>8</v>
      </c>
      <c r="BI902" s="83"/>
      <c r="BJ902" s="83"/>
      <c r="BK902" s="134">
        <f t="shared" si="63"/>
        <v>128</v>
      </c>
      <c r="BL902" s="135"/>
      <c r="BM902" s="136"/>
      <c r="BN902" s="83">
        <f t="shared" si="64"/>
        <v>15616</v>
      </c>
      <c r="BO902" s="83"/>
      <c r="BP902" s="83"/>
      <c r="BQ902" s="83"/>
      <c r="BR902" s="84">
        <v>28</v>
      </c>
      <c r="BS902" s="84"/>
      <c r="BT902" s="84"/>
      <c r="BU902" s="84"/>
      <c r="BV902" s="84"/>
      <c r="BW902" s="84"/>
      <c r="BX902" s="85">
        <f t="shared" si="66"/>
        <v>437248</v>
      </c>
      <c r="BY902" s="85"/>
      <c r="BZ902" s="85"/>
      <c r="CA902" s="85"/>
      <c r="CB902" s="86"/>
    </row>
    <row r="903" spans="2:80" x14ac:dyDescent="0.2">
      <c r="B903" s="71" t="s">
        <v>466</v>
      </c>
      <c r="C903" s="72"/>
      <c r="D903" s="72"/>
      <c r="E903" s="72"/>
      <c r="F903" s="72"/>
      <c r="G903" s="72"/>
      <c r="H903" s="72"/>
      <c r="I903" s="72"/>
      <c r="J903" s="72"/>
      <c r="K903" s="72"/>
      <c r="L903" s="72"/>
      <c r="M903" s="72"/>
      <c r="N903" s="72"/>
      <c r="O903" s="120" t="s">
        <v>416</v>
      </c>
      <c r="P903" s="73"/>
      <c r="Q903" s="73"/>
      <c r="R903" s="73"/>
      <c r="S903" s="128"/>
      <c r="T903" s="129">
        <v>80</v>
      </c>
      <c r="U903" s="130"/>
      <c r="V903" s="26" t="s">
        <v>415</v>
      </c>
      <c r="W903" s="130">
        <v>80</v>
      </c>
      <c r="X903" s="130"/>
      <c r="Y903" s="26" t="s">
        <v>415</v>
      </c>
      <c r="Z903" s="130">
        <v>4</v>
      </c>
      <c r="AA903" s="131"/>
      <c r="AB903" s="129">
        <v>150</v>
      </c>
      <c r="AC903" s="130"/>
      <c r="AD903" s="26" t="s">
        <v>415</v>
      </c>
      <c r="AE903" s="130">
        <v>10</v>
      </c>
      <c r="AF903" s="131"/>
      <c r="AG903" s="13"/>
      <c r="AH903" s="11"/>
      <c r="AI903" s="11"/>
      <c r="AJ903" s="11"/>
      <c r="AK903" s="12"/>
      <c r="AL903" s="129" t="s">
        <v>281</v>
      </c>
      <c r="AM903" s="130"/>
      <c r="AN903" s="130"/>
      <c r="AO903" s="130"/>
      <c r="AP903" s="130"/>
      <c r="AQ903" s="131"/>
      <c r="AR903" s="129" t="s">
        <v>246</v>
      </c>
      <c r="AS903" s="130"/>
      <c r="AT903" s="130"/>
      <c r="AU903" s="130"/>
      <c r="AV903" s="131"/>
      <c r="AW903" s="146" t="s">
        <v>345</v>
      </c>
      <c r="AX903" s="146"/>
      <c r="AY903" s="146"/>
      <c r="AZ903" s="146"/>
      <c r="BA903" s="146"/>
      <c r="BB903" s="143" cm="1">
        <f t="array" ref="BB903">IF(O903="kutu profil",(((T903*W903-4*((2*Z903)*(2*Z903)-PI()*(2*Z903)^2/4))-((T903-2*Z903)*(W903-2*Z903)-4*((1*Z903)*(1*Z903)-PI()*(1*Z903)^2/4)))/1000000*7850),IF(O903="boru profil",((PI()*AB903^2/4-PI()*(AB903-2*AE903)^2/4)/1000000*7850),IF(O903="I profil",INDEX($CN$4:$CN$118,MATCH(AL903,$CM$4:$CM$118,0),0),IF(O903="U profil",INDEX($CU$4:$CU$28,MATCH(AR903,$CT$4:$CT$28,0),0),IF(O903="korniyer",INDEX($CR$4:$CR$176,MATCH(AW903,$CQ$4:$CQ$176,0),0),"hatalı")))))</f>
        <v>9.2221521118726368</v>
      </c>
      <c r="BC903" s="143"/>
      <c r="BD903" s="143"/>
      <c r="BE903" s="63" cm="1">
        <f t="array" ref="BE903">INDEX(BN795:BN805,MATCH(C816,BM795:BM805,0),0)*2*4+INDEX(BO795:BO805,MATCH(C816,BM795:BM805,0),0)*2*2</f>
        <v>40</v>
      </c>
      <c r="BF903" s="63"/>
      <c r="BG903" s="63"/>
      <c r="BH903" s="83">
        <f>SQRT(E795^2+(2*H791)^2)</f>
        <v>7.2111025509279782</v>
      </c>
      <c r="BI903" s="83"/>
      <c r="BJ903" s="83"/>
      <c r="BK903" s="134">
        <f t="shared" si="63"/>
        <v>288.44410203711914</v>
      </c>
      <c r="BL903" s="135"/>
      <c r="BM903" s="136"/>
      <c r="BN903" s="83">
        <f t="shared" si="64"/>
        <v>2660.0753847588244</v>
      </c>
      <c r="BO903" s="83"/>
      <c r="BP903" s="83"/>
      <c r="BQ903" s="83"/>
      <c r="BR903" s="84">
        <v>28</v>
      </c>
      <c r="BS903" s="84"/>
      <c r="BT903" s="84"/>
      <c r="BU903" s="84"/>
      <c r="BV903" s="84"/>
      <c r="BW903" s="84"/>
      <c r="BX903" s="85">
        <f t="shared" si="66"/>
        <v>74482.110773247085</v>
      </c>
      <c r="BY903" s="85"/>
      <c r="BZ903" s="85"/>
      <c r="CA903" s="85"/>
      <c r="CB903" s="86"/>
    </row>
    <row r="904" spans="2:80" x14ac:dyDescent="0.2">
      <c r="B904" s="71" t="s">
        <v>289</v>
      </c>
      <c r="C904" s="72"/>
      <c r="D904" s="72"/>
      <c r="E904" s="72"/>
      <c r="F904" s="72"/>
      <c r="G904" s="72"/>
      <c r="H904" s="72"/>
      <c r="I904" s="72"/>
      <c r="J904" s="72"/>
      <c r="K904" s="72"/>
      <c r="L904" s="72"/>
      <c r="M904" s="72"/>
      <c r="N904" s="72"/>
      <c r="O904" s="120" t="s">
        <v>416</v>
      </c>
      <c r="P904" s="73"/>
      <c r="Q904" s="73"/>
      <c r="R904" s="73"/>
      <c r="S904" s="128"/>
      <c r="T904" s="129">
        <v>150</v>
      </c>
      <c r="U904" s="130"/>
      <c r="V904" s="26" t="s">
        <v>415</v>
      </c>
      <c r="W904" s="130">
        <v>150</v>
      </c>
      <c r="X904" s="130"/>
      <c r="Y904" s="26" t="s">
        <v>415</v>
      </c>
      <c r="Z904" s="130">
        <v>5</v>
      </c>
      <c r="AA904" s="131"/>
      <c r="AB904" s="129">
        <v>150</v>
      </c>
      <c r="AC904" s="130"/>
      <c r="AD904" s="26" t="s">
        <v>415</v>
      </c>
      <c r="AE904" s="130">
        <v>10</v>
      </c>
      <c r="AF904" s="131"/>
      <c r="AG904" s="13"/>
      <c r="AH904" s="11"/>
      <c r="AI904" s="11"/>
      <c r="AJ904" s="11"/>
      <c r="AK904" s="12"/>
      <c r="AL904" s="129" t="s">
        <v>281</v>
      </c>
      <c r="AM904" s="130"/>
      <c r="AN904" s="130"/>
      <c r="AO904" s="130"/>
      <c r="AP904" s="130"/>
      <c r="AQ904" s="131"/>
      <c r="AR904" s="129" t="s">
        <v>247</v>
      </c>
      <c r="AS904" s="130"/>
      <c r="AT904" s="130"/>
      <c r="AU904" s="130"/>
      <c r="AV904" s="131"/>
      <c r="AW904" s="146" t="s">
        <v>345</v>
      </c>
      <c r="AX904" s="146"/>
      <c r="AY904" s="146"/>
      <c r="AZ904" s="146"/>
      <c r="BA904" s="146"/>
      <c r="BB904" s="143" cm="1">
        <f t="array" ref="BB904">IF(O904="kutu profil",(((T904*W904-4*((2*Z904)*(2*Z904)-PI()*(2*Z904)^2/4))-((T904-2*Z904)*(W904-2*Z904)-4*((1*Z904)*(1*Z904)-PI()*(1*Z904)^2/4)))/1000000*7850),IF(O904="boru profil",((PI()*AB904^2/4-PI()*(AB904-2*AE904)^2/4)/1000000*7850),IF(O904="I profil",INDEX($CN$4:$CN$118,MATCH(AL904,$CM$4:$CM$118,0),0),IF(O904="U profil",INDEX($CU$4:$CU$28,MATCH(AR904,$CT$4:$CT$28,0),0),IF(O904="korniyer",INDEX($CR$4:$CR$176,MATCH(AW904,$CQ$4:$CQ$176,0),0),"hatalı")))))</f>
        <v>22.259612674800998</v>
      </c>
      <c r="BC904" s="143"/>
      <c r="BD904" s="143"/>
      <c r="BE904" s="63">
        <v>2</v>
      </c>
      <c r="BF904" s="63"/>
      <c r="BG904" s="63"/>
      <c r="BH904" s="83">
        <f>+C806</f>
        <v>42</v>
      </c>
      <c r="BI904" s="83"/>
      <c r="BJ904" s="83"/>
      <c r="BK904" s="134">
        <f t="shared" si="63"/>
        <v>84</v>
      </c>
      <c r="BL904" s="135"/>
      <c r="BM904" s="136"/>
      <c r="BN904" s="83">
        <f t="shared" si="64"/>
        <v>1869.8074646832838</v>
      </c>
      <c r="BO904" s="83"/>
      <c r="BP904" s="83"/>
      <c r="BQ904" s="83"/>
      <c r="BR904" s="84">
        <v>28</v>
      </c>
      <c r="BS904" s="84"/>
      <c r="BT904" s="84"/>
      <c r="BU904" s="84"/>
      <c r="BV904" s="84"/>
      <c r="BW904" s="84"/>
      <c r="BX904" s="85">
        <f t="shared" si="66"/>
        <v>52354.60901113195</v>
      </c>
      <c r="BY904" s="85"/>
      <c r="BZ904" s="85"/>
      <c r="CA904" s="85"/>
      <c r="CB904" s="86"/>
    </row>
    <row r="905" spans="2:80" x14ac:dyDescent="0.2">
      <c r="B905" s="71" t="s">
        <v>288</v>
      </c>
      <c r="C905" s="72"/>
      <c r="D905" s="72"/>
      <c r="E905" s="72"/>
      <c r="F905" s="72"/>
      <c r="G905" s="72"/>
      <c r="H905" s="72"/>
      <c r="I905" s="72"/>
      <c r="J905" s="72"/>
      <c r="K905" s="72"/>
      <c r="L905" s="72"/>
      <c r="M905" s="72"/>
      <c r="N905" s="72"/>
      <c r="O905" s="120" t="s">
        <v>416</v>
      </c>
      <c r="P905" s="73"/>
      <c r="Q905" s="73"/>
      <c r="R905" s="73"/>
      <c r="S905" s="128"/>
      <c r="T905" s="129">
        <v>150</v>
      </c>
      <c r="U905" s="130"/>
      <c r="V905" s="26" t="s">
        <v>415</v>
      </c>
      <c r="W905" s="130">
        <v>150</v>
      </c>
      <c r="X905" s="130"/>
      <c r="Y905" s="26" t="s">
        <v>415</v>
      </c>
      <c r="Z905" s="130">
        <v>5</v>
      </c>
      <c r="AA905" s="131"/>
      <c r="AB905" s="129">
        <v>150</v>
      </c>
      <c r="AC905" s="130"/>
      <c r="AD905" s="26" t="s">
        <v>415</v>
      </c>
      <c r="AE905" s="130">
        <v>10</v>
      </c>
      <c r="AF905" s="131"/>
      <c r="AG905" s="13"/>
      <c r="AH905" s="11"/>
      <c r="AI905" s="11"/>
      <c r="AJ905" s="11"/>
      <c r="AK905" s="12"/>
      <c r="AL905" s="129" t="s">
        <v>281</v>
      </c>
      <c r="AM905" s="130"/>
      <c r="AN905" s="130"/>
      <c r="AO905" s="130"/>
      <c r="AP905" s="130"/>
      <c r="AQ905" s="131"/>
      <c r="AR905" s="129" t="s">
        <v>246</v>
      </c>
      <c r="AS905" s="130"/>
      <c r="AT905" s="130"/>
      <c r="AU905" s="130"/>
      <c r="AV905" s="131"/>
      <c r="AW905" s="146" t="s">
        <v>345</v>
      </c>
      <c r="AX905" s="146"/>
      <c r="AY905" s="146"/>
      <c r="AZ905" s="146"/>
      <c r="BA905" s="146"/>
      <c r="BB905" s="143" cm="1">
        <f t="array" ref="BB905">IF(O905="kutu profil",(((T905*W905-4*((2*Z905)*(2*Z905)-PI()*(2*Z905)^2/4))-((T905-2*Z905)*(W905-2*Z905)-4*((1*Z905)*(1*Z905)-PI()*(1*Z905)^2/4)))/1000000*7850),IF(O905="boru profil",((PI()*AB905^2/4-PI()*(AB905-2*AE905)^2/4)/1000000*7850),IF(O905="I profil",INDEX($CN$4:$CN$118,MATCH(AL905,$CM$4:$CM$118,0),0),IF(O905="U profil",INDEX($CU$4:$CU$28,MATCH(AR905,$CT$4:$CT$28,0),0),IF(O905="korniyer",INDEX($CR$4:$CR$176,MATCH(AW905,$CQ$4:$CQ$176,0),0),"hatalı")))))</f>
        <v>22.259612674800998</v>
      </c>
      <c r="BC905" s="143"/>
      <c r="BD905" s="143"/>
      <c r="BE905" s="63" cm="1">
        <f t="array" ref="BE905">INDEX(BO795:BO805,MATCH(C816,BM795:BM805,0),0)*2*2</f>
        <v>16</v>
      </c>
      <c r="BF905" s="63"/>
      <c r="BG905" s="63"/>
      <c r="BH905" s="83">
        <f>+AS784</f>
        <v>6</v>
      </c>
      <c r="BI905" s="83"/>
      <c r="BJ905" s="83"/>
      <c r="BK905" s="134">
        <f t="shared" si="63"/>
        <v>96</v>
      </c>
      <c r="BL905" s="135"/>
      <c r="BM905" s="136"/>
      <c r="BN905" s="83">
        <f t="shared" si="64"/>
        <v>2136.922816780896</v>
      </c>
      <c r="BO905" s="83"/>
      <c r="BP905" s="83"/>
      <c r="BQ905" s="83"/>
      <c r="BR905" s="84">
        <v>28</v>
      </c>
      <c r="BS905" s="84"/>
      <c r="BT905" s="84"/>
      <c r="BU905" s="84"/>
      <c r="BV905" s="84"/>
      <c r="BW905" s="84"/>
      <c r="BX905" s="85">
        <f t="shared" si="66"/>
        <v>59833.838869865089</v>
      </c>
      <c r="BY905" s="85"/>
      <c r="BZ905" s="85"/>
      <c r="CA905" s="85"/>
      <c r="CB905" s="86"/>
    </row>
    <row r="906" spans="2:80" x14ac:dyDescent="0.2">
      <c r="B906" s="71" t="s">
        <v>447</v>
      </c>
      <c r="C906" s="72"/>
      <c r="D906" s="72"/>
      <c r="E906" s="72"/>
      <c r="F906" s="72"/>
      <c r="G906" s="72"/>
      <c r="H906" s="72"/>
      <c r="I906" s="72"/>
      <c r="J906" s="72"/>
      <c r="K906" s="72"/>
      <c r="L906" s="72"/>
      <c r="M906" s="72"/>
      <c r="N906" s="72"/>
      <c r="O906" s="120" t="s">
        <v>414</v>
      </c>
      <c r="P906" s="73"/>
      <c r="Q906" s="73"/>
      <c r="R906" s="73"/>
      <c r="S906" s="128"/>
      <c r="T906" s="129">
        <v>150</v>
      </c>
      <c r="U906" s="130"/>
      <c r="V906" s="26" t="s">
        <v>415</v>
      </c>
      <c r="W906" s="130">
        <v>150</v>
      </c>
      <c r="X906" s="130"/>
      <c r="Y906" s="26" t="s">
        <v>415</v>
      </c>
      <c r="Z906" s="130">
        <v>8</v>
      </c>
      <c r="AA906" s="131"/>
      <c r="AB906" s="129">
        <v>101.6</v>
      </c>
      <c r="AC906" s="130"/>
      <c r="AD906" s="26" t="s">
        <v>415</v>
      </c>
      <c r="AE906" s="130">
        <v>4.6500000000000004</v>
      </c>
      <c r="AF906" s="131"/>
      <c r="AG906" s="13"/>
      <c r="AH906" s="11"/>
      <c r="AI906" s="11"/>
      <c r="AJ906" s="11"/>
      <c r="AK906" s="12"/>
      <c r="AL906" s="129" t="s">
        <v>281</v>
      </c>
      <c r="AM906" s="130"/>
      <c r="AN906" s="130"/>
      <c r="AO906" s="130"/>
      <c r="AP906" s="130"/>
      <c r="AQ906" s="131"/>
      <c r="AR906" s="129" t="s">
        <v>246</v>
      </c>
      <c r="AS906" s="130"/>
      <c r="AT906" s="130"/>
      <c r="AU906" s="130"/>
      <c r="AV906" s="131"/>
      <c r="AW906" s="146" t="s">
        <v>188</v>
      </c>
      <c r="AX906" s="146"/>
      <c r="AY906" s="146"/>
      <c r="AZ906" s="146"/>
      <c r="BA906" s="146"/>
      <c r="BB906" s="143" cm="1">
        <f t="array" ref="BB906">IF(O906="kutu profil",(((T906*W906-4*((2*Z906)*(2*Z906)-PI()*(2*Z906)^2/4))-((T906-2*Z906)*(W906-2*Z906)-4*((1*Z906)*(1*Z906)-PI()*(1*Z906)^2/4)))/1000000*7850),IF(O906="boru profil",((PI()*AB906^2/4-PI()*(AB906-2*AE906)^2/4)/1000000*7850),IF(O906="I profil",INDEX($CN$4:$CN$118,MATCH(AL906,$CM$4:$CM$118,0),0),IF(O906="U profil",INDEX($CU$4:$CU$28,MATCH(AR906,$CT$4:$CT$28,0),0),IF(O906="korniyer",INDEX($CR$4:$CR$176,MATCH(AW906,$CQ$4:$CQ$176,0),0),"hatalı")))))</f>
        <v>11.117836826961277</v>
      </c>
      <c r="BC906" s="143"/>
      <c r="BD906" s="143"/>
      <c r="BE906" s="63" cm="1">
        <f t="array" ref="BE906">INDEX(BN795:BN805,MATCH(C816,BM795:BM805,0),0)*2*3*2</f>
        <v>36</v>
      </c>
      <c r="BF906" s="63"/>
      <c r="BG906" s="63"/>
      <c r="BH906" s="83">
        <f>SQRT(AO784^2+AJ781^2)</f>
        <v>6.5659052011974035</v>
      </c>
      <c r="BI906" s="83"/>
      <c r="BJ906" s="83"/>
      <c r="BK906" s="134">
        <f t="shared" si="63"/>
        <v>236.37258724310652</v>
      </c>
      <c r="BL906" s="135"/>
      <c r="BM906" s="136"/>
      <c r="BN906" s="83">
        <f t="shared" si="64"/>
        <v>2627.9518553355269</v>
      </c>
      <c r="BO906" s="83"/>
      <c r="BP906" s="83"/>
      <c r="BQ906" s="83"/>
      <c r="BR906" s="84">
        <v>28</v>
      </c>
      <c r="BS906" s="84"/>
      <c r="BT906" s="84"/>
      <c r="BU906" s="84"/>
      <c r="BV906" s="84"/>
      <c r="BW906" s="84"/>
      <c r="BX906" s="85">
        <f t="shared" si="66"/>
        <v>73582.651949394756</v>
      </c>
      <c r="BY906" s="85"/>
      <c r="BZ906" s="85"/>
      <c r="CA906" s="85"/>
      <c r="CB906" s="86"/>
    </row>
    <row r="907" spans="2:80" x14ac:dyDescent="0.2">
      <c r="B907" s="71" t="s">
        <v>448</v>
      </c>
      <c r="C907" s="72"/>
      <c r="D907" s="72"/>
      <c r="E907" s="72"/>
      <c r="F907" s="72"/>
      <c r="G907" s="72"/>
      <c r="H907" s="72"/>
      <c r="I907" s="72"/>
      <c r="J907" s="72"/>
      <c r="K907" s="72"/>
      <c r="L907" s="72"/>
      <c r="M907" s="72"/>
      <c r="N907" s="72"/>
      <c r="O907" s="120" t="s">
        <v>416</v>
      </c>
      <c r="P907" s="73"/>
      <c r="Q907" s="73"/>
      <c r="R907" s="73"/>
      <c r="S907" s="128"/>
      <c r="T907" s="129">
        <v>140</v>
      </c>
      <c r="U907" s="130"/>
      <c r="V907" s="26" t="s">
        <v>415</v>
      </c>
      <c r="W907" s="130">
        <v>140</v>
      </c>
      <c r="X907" s="130"/>
      <c r="Y907" s="26" t="s">
        <v>415</v>
      </c>
      <c r="Z907" s="130">
        <v>8</v>
      </c>
      <c r="AA907" s="131"/>
      <c r="AB907" s="129">
        <v>150</v>
      </c>
      <c r="AC907" s="130"/>
      <c r="AD907" s="26" t="s">
        <v>415</v>
      </c>
      <c r="AE907" s="130">
        <v>10</v>
      </c>
      <c r="AF907" s="131"/>
      <c r="AG907" s="13"/>
      <c r="AH907" s="11"/>
      <c r="AI907" s="11"/>
      <c r="AJ907" s="11"/>
      <c r="AK907" s="12"/>
      <c r="AL907" s="129" t="s">
        <v>281</v>
      </c>
      <c r="AM907" s="130"/>
      <c r="AN907" s="130"/>
      <c r="AO907" s="130"/>
      <c r="AP907" s="130"/>
      <c r="AQ907" s="131"/>
      <c r="AR907" s="129" t="s">
        <v>246</v>
      </c>
      <c r="AS907" s="130"/>
      <c r="AT907" s="130"/>
      <c r="AU907" s="130"/>
      <c r="AV907" s="131"/>
      <c r="AW907" s="146" t="s">
        <v>345</v>
      </c>
      <c r="AX907" s="146"/>
      <c r="AY907" s="146"/>
      <c r="AZ907" s="146"/>
      <c r="BA907" s="146"/>
      <c r="BB907" s="143" cm="1">
        <f t="array" ref="BB907">IF(O907="kutu profil",(((T907*W907-4*((2*Z907)*(2*Z907)-PI()*(2*Z907)^2/4))-((T907-2*Z907)*(W907-2*Z907)-4*((1*Z907)*(1*Z907)-PI()*(1*Z907)^2/4)))/1000000*7850),IF(O907="boru profil",((PI()*AB907^2/4-PI()*(AB907-2*AE907)^2/4)/1000000*7850),IF(O907="I profil",INDEX($CN$4:$CN$118,MATCH(AL907,$CM$4:$CM$118,0),0),IF(O907="U profil",INDEX($CU$4:$CU$28,MATCH(AR907,$CT$4:$CT$28,0),0),IF(O907="korniyer",INDEX($CR$4:$CR$176,MATCH(AW907,$CQ$4:$CQ$176,0),0),"hatalı")))))</f>
        <v>31.86460844749055</v>
      </c>
      <c r="BC907" s="143"/>
      <c r="BD907" s="143"/>
      <c r="BE907" s="63" cm="1">
        <f t="array" ref="BE907">INDEX(BN795:BN805,MATCH(C816,BM795:BM805,0),0)*2*2</f>
        <v>12</v>
      </c>
      <c r="BF907" s="63"/>
      <c r="BG907" s="63"/>
      <c r="BH907" s="83">
        <f>+AO784</f>
        <v>6</v>
      </c>
      <c r="BI907" s="83"/>
      <c r="BJ907" s="83"/>
      <c r="BK907" s="134">
        <f t="shared" si="63"/>
        <v>72</v>
      </c>
      <c r="BL907" s="135"/>
      <c r="BM907" s="136"/>
      <c r="BN907" s="83">
        <f t="shared" si="64"/>
        <v>2294.2518082193196</v>
      </c>
      <c r="BO907" s="83"/>
      <c r="BP907" s="83"/>
      <c r="BQ907" s="83"/>
      <c r="BR907" s="84">
        <v>28</v>
      </c>
      <c r="BS907" s="84"/>
      <c r="BT907" s="84"/>
      <c r="BU907" s="84"/>
      <c r="BV907" s="84"/>
      <c r="BW907" s="84"/>
      <c r="BX907" s="85">
        <f t="shared" si="66"/>
        <v>64239.050630140948</v>
      </c>
      <c r="BY907" s="85"/>
      <c r="BZ907" s="85"/>
      <c r="CA907" s="85"/>
      <c r="CB907" s="86"/>
    </row>
    <row r="908" spans="2:80" x14ac:dyDescent="0.2">
      <c r="B908" s="71" t="s">
        <v>284</v>
      </c>
      <c r="C908" s="72"/>
      <c r="D908" s="72"/>
      <c r="E908" s="72"/>
      <c r="F908" s="72"/>
      <c r="G908" s="72"/>
      <c r="H908" s="72"/>
      <c r="I908" s="72"/>
      <c r="J908" s="72"/>
      <c r="K908" s="72"/>
      <c r="L908" s="72"/>
      <c r="M908" s="72"/>
      <c r="N908" s="72"/>
      <c r="O908" s="120" t="s">
        <v>16</v>
      </c>
      <c r="P908" s="73"/>
      <c r="Q908" s="73"/>
      <c r="R908" s="73"/>
      <c r="S908" s="128"/>
      <c r="T908" s="129">
        <v>150</v>
      </c>
      <c r="U908" s="130"/>
      <c r="V908" s="26" t="s">
        <v>415</v>
      </c>
      <c r="W908" s="130">
        <v>150</v>
      </c>
      <c r="X908" s="130"/>
      <c r="Y908" s="26" t="s">
        <v>415</v>
      </c>
      <c r="Z908" s="130">
        <v>10</v>
      </c>
      <c r="AA908" s="131"/>
      <c r="AB908" s="129">
        <v>150</v>
      </c>
      <c r="AC908" s="130"/>
      <c r="AD908" s="26" t="s">
        <v>415</v>
      </c>
      <c r="AE908" s="130">
        <v>10</v>
      </c>
      <c r="AF908" s="131"/>
      <c r="AG908" s="13"/>
      <c r="AH908" s="11"/>
      <c r="AI908" s="11"/>
      <c r="AJ908" s="11"/>
      <c r="AK908" s="12"/>
      <c r="AL908" s="129" t="s">
        <v>446</v>
      </c>
      <c r="AM908" s="130"/>
      <c r="AN908" s="130"/>
      <c r="AO908" s="130"/>
      <c r="AP908" s="130"/>
      <c r="AQ908" s="131"/>
      <c r="AR908" s="129" t="s">
        <v>246</v>
      </c>
      <c r="AS908" s="130"/>
      <c r="AT908" s="130"/>
      <c r="AU908" s="130"/>
      <c r="AV908" s="131"/>
      <c r="AW908" s="146" t="s">
        <v>345</v>
      </c>
      <c r="AX908" s="146"/>
      <c r="AY908" s="146"/>
      <c r="AZ908" s="146"/>
      <c r="BA908" s="146"/>
      <c r="BB908" s="143" cm="1">
        <f t="array" ref="BB908">IF(O908="kutu profil",(((T908*W908-4*((2*Z908)*(2*Z908)-PI()*(2*Z908)^2/4))-((T908-2*Z908)*(W908-2*Z908)-4*((1*Z908)*(1*Z908)-PI()*(1*Z908)^2/4)))/1000000*7850),IF(O908="boru profil",((PI()*AB908^2/4-PI()*(AB908-2*AE908)^2/4)/1000000*7850),IF(O908="I profil",INDEX($CN$4:$CN$118,MATCH(AL908,$CM$4:$CM$118,0),0),IF(O908="U profil",INDEX($CU$4:$CU$28,MATCH(AR908,$CT$4:$CT$28,0),0),IF(O908="korniyer",INDEX($CR$4:$CR$176,MATCH(AW908,$CQ$4:$CQ$176,0),0),"hatalı")))))</f>
        <v>22.4</v>
      </c>
      <c r="BC908" s="143"/>
      <c r="BD908" s="143"/>
      <c r="BE908" s="63">
        <v>4</v>
      </c>
      <c r="BF908" s="63"/>
      <c r="BG908" s="63"/>
      <c r="BH908" s="83">
        <f>(E778-AF775)*3</f>
        <v>22.200000000000003</v>
      </c>
      <c r="BI908" s="83"/>
      <c r="BJ908" s="83"/>
      <c r="BK908" s="134">
        <f t="shared" si="63"/>
        <v>88.800000000000011</v>
      </c>
      <c r="BL908" s="135"/>
      <c r="BM908" s="136"/>
      <c r="BN908" s="83">
        <f t="shared" si="64"/>
        <v>1989.1200000000001</v>
      </c>
      <c r="BO908" s="83"/>
      <c r="BP908" s="83"/>
      <c r="BQ908" s="83"/>
      <c r="BR908" s="84">
        <v>28</v>
      </c>
      <c r="BS908" s="84"/>
      <c r="BT908" s="84"/>
      <c r="BU908" s="84"/>
      <c r="BV908" s="84"/>
      <c r="BW908" s="84"/>
      <c r="BX908" s="85">
        <f t="shared" si="66"/>
        <v>55695.360000000001</v>
      </c>
      <c r="BY908" s="85"/>
      <c r="BZ908" s="85"/>
      <c r="CA908" s="85"/>
      <c r="CB908" s="86"/>
    </row>
    <row r="909" spans="2:80" x14ac:dyDescent="0.2">
      <c r="B909" s="71" t="s">
        <v>285</v>
      </c>
      <c r="C909" s="72"/>
      <c r="D909" s="72"/>
      <c r="E909" s="72"/>
      <c r="F909" s="72"/>
      <c r="G909" s="72"/>
      <c r="H909" s="72"/>
      <c r="I909" s="72"/>
      <c r="J909" s="72"/>
      <c r="K909" s="72"/>
      <c r="L909" s="72"/>
      <c r="M909" s="72"/>
      <c r="N909" s="72"/>
      <c r="O909" s="120" t="s">
        <v>416</v>
      </c>
      <c r="P909" s="73"/>
      <c r="Q909" s="73"/>
      <c r="R909" s="73"/>
      <c r="S909" s="128"/>
      <c r="T909" s="129">
        <v>150</v>
      </c>
      <c r="U909" s="130"/>
      <c r="V909" s="26" t="s">
        <v>415</v>
      </c>
      <c r="W909" s="130">
        <v>150</v>
      </c>
      <c r="X909" s="130"/>
      <c r="Y909" s="26" t="s">
        <v>415</v>
      </c>
      <c r="Z909" s="130">
        <v>5</v>
      </c>
      <c r="AA909" s="131"/>
      <c r="AB909" s="129">
        <v>150</v>
      </c>
      <c r="AC909" s="130"/>
      <c r="AD909" s="26" t="s">
        <v>415</v>
      </c>
      <c r="AE909" s="130">
        <v>10</v>
      </c>
      <c r="AF909" s="131"/>
      <c r="AG909" s="13"/>
      <c r="AH909" s="11"/>
      <c r="AI909" s="11"/>
      <c r="AJ909" s="11"/>
      <c r="AK909" s="12"/>
      <c r="AL909" s="129" t="s">
        <v>281</v>
      </c>
      <c r="AM909" s="130"/>
      <c r="AN909" s="130"/>
      <c r="AO909" s="130"/>
      <c r="AP909" s="130"/>
      <c r="AQ909" s="131"/>
      <c r="AR909" s="129" t="s">
        <v>246</v>
      </c>
      <c r="AS909" s="130"/>
      <c r="AT909" s="130"/>
      <c r="AU909" s="130"/>
      <c r="AV909" s="131"/>
      <c r="AW909" s="146" t="s">
        <v>345</v>
      </c>
      <c r="AX909" s="146"/>
      <c r="AY909" s="146"/>
      <c r="AZ909" s="146"/>
      <c r="BA909" s="146"/>
      <c r="BB909" s="143" cm="1">
        <f t="array" ref="BB909">IF(O909="kutu profil",(((T909*W909-4*((2*Z909)*(2*Z909)-PI()*(2*Z909)^2/4))-((T909-2*Z909)*(W909-2*Z909)-4*((1*Z909)*(1*Z909)-PI()*(1*Z909)^2/4)))/1000000*7850),IF(O909="boru profil",((PI()*AB909^2/4-PI()*(AB909-2*AE909)^2/4)/1000000*7850),IF(O909="I profil",INDEX($CN$4:$CN$118,MATCH(AL909,$CM$4:$CM$118,0),0),IF(O909="U profil",INDEX($CU$4:$CU$28,MATCH(AR909,$CT$4:$CT$28,0),0),IF(O909="korniyer",INDEX($CR$4:$CR$176,MATCH(AW909,$CQ$4:$CQ$176,0),0),"hatalı")))))</f>
        <v>22.259612674800998</v>
      </c>
      <c r="BC909" s="143"/>
      <c r="BD909" s="143"/>
      <c r="BE909" s="63">
        <v>2</v>
      </c>
      <c r="BF909" s="63"/>
      <c r="BG909" s="63"/>
      <c r="BH909" s="83">
        <f>+E778+E772-AH841-AF775</f>
        <v>4.5999999999999996</v>
      </c>
      <c r="BI909" s="83"/>
      <c r="BJ909" s="83"/>
      <c r="BK909" s="134">
        <f t="shared" si="63"/>
        <v>9.1999999999999993</v>
      </c>
      <c r="BL909" s="135"/>
      <c r="BM909" s="136"/>
      <c r="BN909" s="83">
        <f t="shared" si="64"/>
        <v>204.78843660816918</v>
      </c>
      <c r="BO909" s="83"/>
      <c r="BP909" s="83"/>
      <c r="BQ909" s="83"/>
      <c r="BR909" s="84">
        <v>28</v>
      </c>
      <c r="BS909" s="84"/>
      <c r="BT909" s="84"/>
      <c r="BU909" s="84"/>
      <c r="BV909" s="84"/>
      <c r="BW909" s="84"/>
      <c r="BX909" s="85">
        <f t="shared" si="66"/>
        <v>5734.0762250287371</v>
      </c>
      <c r="BY909" s="85"/>
      <c r="BZ909" s="85"/>
      <c r="CA909" s="85"/>
      <c r="CB909" s="86"/>
    </row>
    <row r="910" spans="2:80" x14ac:dyDescent="0.2">
      <c r="B910" s="71" t="s">
        <v>286</v>
      </c>
      <c r="C910" s="72"/>
      <c r="D910" s="72"/>
      <c r="E910" s="72"/>
      <c r="F910" s="72"/>
      <c r="G910" s="72"/>
      <c r="H910" s="72"/>
      <c r="I910" s="72"/>
      <c r="J910" s="72"/>
      <c r="K910" s="72"/>
      <c r="L910" s="72"/>
      <c r="M910" s="72"/>
      <c r="N910" s="72"/>
      <c r="O910" s="120" t="s">
        <v>416</v>
      </c>
      <c r="P910" s="73"/>
      <c r="Q910" s="73"/>
      <c r="R910" s="73"/>
      <c r="S910" s="128"/>
      <c r="T910" s="129">
        <v>100</v>
      </c>
      <c r="U910" s="130"/>
      <c r="V910" s="26" t="s">
        <v>415</v>
      </c>
      <c r="W910" s="130">
        <v>100</v>
      </c>
      <c r="X910" s="130"/>
      <c r="Y910" s="26" t="s">
        <v>415</v>
      </c>
      <c r="Z910" s="130">
        <v>5</v>
      </c>
      <c r="AA910" s="131"/>
      <c r="AB910" s="129">
        <v>150</v>
      </c>
      <c r="AC910" s="130"/>
      <c r="AD910" s="26" t="s">
        <v>415</v>
      </c>
      <c r="AE910" s="130">
        <v>10</v>
      </c>
      <c r="AF910" s="131"/>
      <c r="AG910" s="13"/>
      <c r="AH910" s="11"/>
      <c r="AI910" s="11"/>
      <c r="AJ910" s="11"/>
      <c r="AK910" s="12"/>
      <c r="AL910" s="129" t="s">
        <v>281</v>
      </c>
      <c r="AM910" s="130"/>
      <c r="AN910" s="130"/>
      <c r="AO910" s="130"/>
      <c r="AP910" s="130"/>
      <c r="AQ910" s="131"/>
      <c r="AR910" s="129" t="s">
        <v>246</v>
      </c>
      <c r="AS910" s="130"/>
      <c r="AT910" s="130"/>
      <c r="AU910" s="130"/>
      <c r="AV910" s="131"/>
      <c r="AW910" s="146" t="s">
        <v>345</v>
      </c>
      <c r="AX910" s="146"/>
      <c r="AY910" s="146"/>
      <c r="AZ910" s="146"/>
      <c r="BA910" s="146"/>
      <c r="BB910" s="143" cm="1">
        <f t="array" ref="BB910">IF(O910="kutu profil",(((T910*W910-4*((2*Z910)*(2*Z910)-PI()*(2*Z910)^2/4))-((T910-2*Z910)*(W910-2*Z910)-4*((1*Z910)*(1*Z910)-PI()*(1*Z910)^2/4)))/1000000*7850),IF(O910="boru profil",((PI()*AB910^2/4-PI()*(AB910-2*AE910)^2/4)/1000000*7850),IF(O910="I profil",INDEX($CN$4:$CN$118,MATCH(AL910,$CM$4:$CM$118,0),0),IF(O910="U profil",INDEX($CU$4:$CU$28,MATCH(AR910,$CT$4:$CT$28,0),0),IF(O910="korniyer",INDEX($CR$4:$CR$176,MATCH(AW910,$CQ$4:$CQ$176,0),0),"hatalı")))))</f>
        <v>14.409612674800993</v>
      </c>
      <c r="BC910" s="143"/>
      <c r="BD910" s="143"/>
      <c r="BE910" s="63">
        <f>6*2*2</f>
        <v>24</v>
      </c>
      <c r="BF910" s="63"/>
      <c r="BG910" s="63"/>
      <c r="BH910" s="83">
        <f>+AD846</f>
        <v>3.1666666666666665</v>
      </c>
      <c r="BI910" s="83"/>
      <c r="BJ910" s="83"/>
      <c r="BK910" s="134">
        <f t="shared" si="63"/>
        <v>76</v>
      </c>
      <c r="BL910" s="135"/>
      <c r="BM910" s="136"/>
      <c r="BN910" s="83">
        <f t="shared" si="64"/>
        <v>1095.1305632848755</v>
      </c>
      <c r="BO910" s="83"/>
      <c r="BP910" s="83"/>
      <c r="BQ910" s="83"/>
      <c r="BR910" s="84">
        <v>28</v>
      </c>
      <c r="BS910" s="84"/>
      <c r="BT910" s="84"/>
      <c r="BU910" s="84"/>
      <c r="BV910" s="84"/>
      <c r="BW910" s="84"/>
      <c r="BX910" s="85">
        <f t="shared" si="66"/>
        <v>30663.655771976515</v>
      </c>
      <c r="BY910" s="85"/>
      <c r="BZ910" s="85"/>
      <c r="CA910" s="85"/>
      <c r="CB910" s="86"/>
    </row>
    <row r="911" spans="2:80" x14ac:dyDescent="0.2">
      <c r="B911" s="71" t="s">
        <v>287</v>
      </c>
      <c r="C911" s="72"/>
      <c r="D911" s="72"/>
      <c r="E911" s="72"/>
      <c r="F911" s="72"/>
      <c r="G911" s="72"/>
      <c r="H911" s="72"/>
      <c r="I911" s="72"/>
      <c r="J911" s="72"/>
      <c r="K911" s="72"/>
      <c r="L911" s="72"/>
      <c r="M911" s="72"/>
      <c r="N911" s="72"/>
      <c r="O911" s="120" t="s">
        <v>416</v>
      </c>
      <c r="P911" s="73"/>
      <c r="Q911" s="73"/>
      <c r="R911" s="73"/>
      <c r="S911" s="128"/>
      <c r="T911" s="129">
        <v>150</v>
      </c>
      <c r="U911" s="130"/>
      <c r="V911" s="26" t="s">
        <v>415</v>
      </c>
      <c r="W911" s="130">
        <v>150</v>
      </c>
      <c r="X911" s="130"/>
      <c r="Y911" s="26" t="s">
        <v>415</v>
      </c>
      <c r="Z911" s="130">
        <v>5</v>
      </c>
      <c r="AA911" s="131"/>
      <c r="AB911" s="129">
        <v>150</v>
      </c>
      <c r="AC911" s="130"/>
      <c r="AD911" s="26" t="s">
        <v>415</v>
      </c>
      <c r="AE911" s="130">
        <v>10</v>
      </c>
      <c r="AF911" s="131"/>
      <c r="AG911" s="13"/>
      <c r="AH911" s="11"/>
      <c r="AI911" s="11"/>
      <c r="AJ911" s="11"/>
      <c r="AK911" s="12"/>
      <c r="AL911" s="129" t="s">
        <v>281</v>
      </c>
      <c r="AM911" s="130"/>
      <c r="AN911" s="130"/>
      <c r="AO911" s="130"/>
      <c r="AP911" s="130"/>
      <c r="AQ911" s="131"/>
      <c r="AR911" s="129" t="s">
        <v>246</v>
      </c>
      <c r="AS911" s="130"/>
      <c r="AT911" s="130"/>
      <c r="AU911" s="130"/>
      <c r="AV911" s="131"/>
      <c r="AW911" s="146" t="s">
        <v>345</v>
      </c>
      <c r="AX911" s="146"/>
      <c r="AY911" s="146"/>
      <c r="AZ911" s="146"/>
      <c r="BA911" s="146"/>
      <c r="BB911" s="143" cm="1">
        <f t="array" ref="BB911">IF(O911="kutu profil",(((T911*W911-4*((2*Z911)*(2*Z911)-PI()*(2*Z911)^2/4))-((T911-2*Z911)*(W911-2*Z911)-4*((1*Z911)*(1*Z911)-PI()*(1*Z911)^2/4)))/1000000*7850),IF(O911="boru profil",((PI()*AB911^2/4-PI()*(AB911-2*AE911)^2/4)/1000000*7850),IF(O911="I profil",INDEX($CN$4:$CN$118,MATCH(AL911,$CM$4:$CM$118,0),0),IF(O911="U profil",INDEX($CU$4:$CU$28,MATCH(AR911,$CT$4:$CT$28,0),0),IF(O911="korniyer",INDEX($CR$4:$CR$176,MATCH(AW911,$CQ$4:$CQ$176,0),0),"hatalı")))))</f>
        <v>22.259612674800998</v>
      </c>
      <c r="BC911" s="143"/>
      <c r="BD911" s="143"/>
      <c r="BE911" s="63">
        <v>4</v>
      </c>
      <c r="BF911" s="63"/>
      <c r="BG911" s="63"/>
      <c r="BH911" s="83">
        <f>+S846/2</f>
        <v>2.5</v>
      </c>
      <c r="BI911" s="83"/>
      <c r="BJ911" s="83"/>
      <c r="BK911" s="134">
        <f t="shared" si="63"/>
        <v>10</v>
      </c>
      <c r="BL911" s="135"/>
      <c r="BM911" s="136"/>
      <c r="BN911" s="83">
        <f t="shared" si="64"/>
        <v>222.59612674800997</v>
      </c>
      <c r="BO911" s="83"/>
      <c r="BP911" s="83"/>
      <c r="BQ911" s="83"/>
      <c r="BR911" s="84">
        <v>28</v>
      </c>
      <c r="BS911" s="84"/>
      <c r="BT911" s="84"/>
      <c r="BU911" s="84"/>
      <c r="BV911" s="84"/>
      <c r="BW911" s="84"/>
      <c r="BX911" s="85">
        <f t="shared" si="66"/>
        <v>6232.691548944279</v>
      </c>
      <c r="BY911" s="85"/>
      <c r="BZ911" s="85"/>
      <c r="CA911" s="85"/>
      <c r="CB911" s="86"/>
    </row>
    <row r="912" spans="2:80" x14ac:dyDescent="0.2">
      <c r="B912" s="71" t="s">
        <v>555</v>
      </c>
      <c r="C912" s="72"/>
      <c r="D912" s="72"/>
      <c r="E912" s="72"/>
      <c r="F912" s="72"/>
      <c r="G912" s="72"/>
      <c r="H912" s="72"/>
      <c r="I912" s="72"/>
      <c r="J912" s="72"/>
      <c r="K912" s="72"/>
      <c r="L912" s="72"/>
      <c r="M912" s="72"/>
      <c r="N912" s="72"/>
      <c r="O912" s="120" t="s">
        <v>416</v>
      </c>
      <c r="P912" s="73"/>
      <c r="Q912" s="73"/>
      <c r="R912" s="73"/>
      <c r="S912" s="128"/>
      <c r="T912" s="129">
        <v>100</v>
      </c>
      <c r="U912" s="130"/>
      <c r="V912" s="26" t="s">
        <v>415</v>
      </c>
      <c r="W912" s="130">
        <v>100</v>
      </c>
      <c r="X912" s="130"/>
      <c r="Y912" s="26" t="s">
        <v>415</v>
      </c>
      <c r="Z912" s="130">
        <v>3</v>
      </c>
      <c r="AA912" s="131"/>
      <c r="AB912" s="129">
        <v>150</v>
      </c>
      <c r="AC912" s="130"/>
      <c r="AD912" s="26" t="s">
        <v>415</v>
      </c>
      <c r="AE912" s="130">
        <v>10</v>
      </c>
      <c r="AF912" s="131"/>
      <c r="AG912" s="13"/>
      <c r="AH912" s="11"/>
      <c r="AI912" s="11"/>
      <c r="AJ912" s="11"/>
      <c r="AK912" s="12"/>
      <c r="AL912" s="129" t="s">
        <v>281</v>
      </c>
      <c r="AM912" s="130"/>
      <c r="AN912" s="130"/>
      <c r="AO912" s="130"/>
      <c r="AP912" s="130"/>
      <c r="AQ912" s="131"/>
      <c r="AR912" s="129" t="s">
        <v>246</v>
      </c>
      <c r="AS912" s="130"/>
      <c r="AT912" s="130"/>
      <c r="AU912" s="130"/>
      <c r="AV912" s="131"/>
      <c r="AW912" s="146" t="s">
        <v>345</v>
      </c>
      <c r="AX912" s="146"/>
      <c r="AY912" s="146"/>
      <c r="AZ912" s="146"/>
      <c r="BA912" s="146"/>
      <c r="BB912" s="143" cm="1">
        <f t="array" ref="BB912">IF(O912="kutu profil",(((T912*W912-4*((2*Z912)*(2*Z912)-PI()*(2*Z912)^2/4))-((T912-2*Z912)*(W912-2*Z912)-4*((1*Z912)*(1*Z912)-PI()*(1*Z912)^2/4)))/1000000*7850),IF(O912="boru profil",((PI()*AB912^2/4-PI()*(AB912-2*AE912)^2/4)/1000000*7850),IF(O912="I profil",INDEX($CN$4:$CN$118,MATCH(AL912,$CM$4:$CM$118,0),0),IF(O912="U profil",INDEX($CU$4:$CU$28,MATCH(AR912,$CT$4:$CT$28,0),0),IF(O912="korniyer",INDEX($CR$4:$CR$176,MATCH(AW912,$CQ$4:$CQ$176,0),0),"hatalı")))))</f>
        <v>8.955460562928355</v>
      </c>
      <c r="BC912" s="143"/>
      <c r="BD912" s="143"/>
      <c r="BE912" s="63">
        <v>2</v>
      </c>
      <c r="BF912" s="63"/>
      <c r="BG912" s="63"/>
      <c r="BH912" s="83">
        <f>2*(S846+AH841+SQRT(S846^2+AH841^2))</f>
        <v>30.806248474865697</v>
      </c>
      <c r="BI912" s="83"/>
      <c r="BJ912" s="83"/>
      <c r="BK912" s="134">
        <f t="shared" si="63"/>
        <v>61.612496949731394</v>
      </c>
      <c r="BL912" s="135"/>
      <c r="BM912" s="136"/>
      <c r="BN912" s="83">
        <f t="shared" si="64"/>
        <v>551.76828661686307</v>
      </c>
      <c r="BO912" s="83"/>
      <c r="BP912" s="83"/>
      <c r="BQ912" s="83"/>
      <c r="BR912" s="84">
        <v>28</v>
      </c>
      <c r="BS912" s="84"/>
      <c r="BT912" s="84"/>
      <c r="BU912" s="84"/>
      <c r="BV912" s="84"/>
      <c r="BW912" s="84"/>
      <c r="BX912" s="85">
        <f t="shared" si="66"/>
        <v>15449.512025272166</v>
      </c>
      <c r="BY912" s="85"/>
      <c r="BZ912" s="85"/>
      <c r="CA912" s="85"/>
      <c r="CB912" s="86"/>
    </row>
    <row r="913" spans="2:80" x14ac:dyDescent="0.2">
      <c r="B913" s="41" t="s">
        <v>554</v>
      </c>
      <c r="C913" s="42"/>
      <c r="D913" s="42"/>
      <c r="E913" s="42"/>
      <c r="F913" s="42"/>
      <c r="G913" s="42" t="s">
        <v>553</v>
      </c>
      <c r="H913" s="42"/>
      <c r="I913" s="42"/>
      <c r="J913" s="42"/>
      <c r="K913" s="73">
        <v>200</v>
      </c>
      <c r="L913" s="73"/>
      <c r="M913" s="42" t="s">
        <v>272</v>
      </c>
      <c r="N913" s="43"/>
      <c r="O913" s="120" t="s">
        <v>382</v>
      </c>
      <c r="P913" s="73"/>
      <c r="Q913" s="73"/>
      <c r="R913" s="73"/>
      <c r="S913" s="128"/>
      <c r="T913" s="129">
        <v>100</v>
      </c>
      <c r="U913" s="130"/>
      <c r="V913" s="26" t="s">
        <v>415</v>
      </c>
      <c r="W913" s="130">
        <v>100</v>
      </c>
      <c r="X913" s="130"/>
      <c r="Y913" s="26" t="s">
        <v>415</v>
      </c>
      <c r="Z913" s="130">
        <v>3</v>
      </c>
      <c r="AA913" s="131"/>
      <c r="AB913" s="129">
        <v>150</v>
      </c>
      <c r="AC913" s="130"/>
      <c r="AD913" s="26" t="s">
        <v>415</v>
      </c>
      <c r="AE913" s="130">
        <v>10</v>
      </c>
      <c r="AF913" s="131"/>
      <c r="AG913" s="13"/>
      <c r="AH913" s="11"/>
      <c r="AI913" s="11"/>
      <c r="AJ913" s="11"/>
      <c r="AK913" s="12"/>
      <c r="AL913" s="129" t="s">
        <v>281</v>
      </c>
      <c r="AM913" s="130"/>
      <c r="AN913" s="130"/>
      <c r="AO913" s="130"/>
      <c r="AP913" s="130"/>
      <c r="AQ913" s="131"/>
      <c r="AR913" s="129" t="s">
        <v>246</v>
      </c>
      <c r="AS913" s="130"/>
      <c r="AT913" s="130"/>
      <c r="AU913" s="130"/>
      <c r="AV913" s="131"/>
      <c r="AW913" s="146" t="s">
        <v>345</v>
      </c>
      <c r="AX913" s="146"/>
      <c r="AY913" s="146"/>
      <c r="AZ913" s="146"/>
      <c r="BA913" s="146"/>
      <c r="BB913" s="143" cm="1">
        <f t="array" ref="BB913">IF(O913="kutu profil",(((T913*W913-4*((2*Z913)*(2*Z913)-PI()*(2*Z913)^2/4))-((T913-2*Z913)*(W913-2*Z913)-4*((1*Z913)*(1*Z913)-PI()*(1*Z913)^2/4)))/1000000*7850),IF(O913="boru profil",((PI()*AB913^2/4-PI()*(AB913-2*AE913)^2/4)/1000000*7850),IF(O913="I profil",INDEX($CN$4:$CN$118,MATCH(AL913,$CM$4:$CM$118,0),0),IF(O913="U profil",INDEX($CU$4:$CU$28,MATCH(AR913,$CT$4:$CT$28,0),0),IF(O913="korniyer",INDEX($CR$4:$CR$176,MATCH(AW913,$CQ$4:$CQ$176,0),0),"hatalı")))))</f>
        <v>13.4</v>
      </c>
      <c r="BC913" s="143"/>
      <c r="BD913" s="143"/>
      <c r="BE913" s="63">
        <f>BE902+12</f>
        <v>28</v>
      </c>
      <c r="BF913" s="63"/>
      <c r="BG913" s="63"/>
      <c r="BH913" s="83">
        <f>+K913/1000</f>
        <v>0.2</v>
      </c>
      <c r="BI913" s="83"/>
      <c r="BJ913" s="83"/>
      <c r="BK913" s="134">
        <f t="shared" si="63"/>
        <v>5.6000000000000005</v>
      </c>
      <c r="BL913" s="135"/>
      <c r="BM913" s="136"/>
      <c r="BN913" s="83">
        <f t="shared" si="64"/>
        <v>75.040000000000006</v>
      </c>
      <c r="BO913" s="83"/>
      <c r="BP913" s="83"/>
      <c r="BQ913" s="83"/>
      <c r="BR913" s="84">
        <v>28</v>
      </c>
      <c r="BS913" s="84"/>
      <c r="BT913" s="84"/>
      <c r="BU913" s="84"/>
      <c r="BV913" s="84"/>
      <c r="BW913" s="84"/>
      <c r="BX913" s="85">
        <f t="shared" si="66"/>
        <v>2101.1200000000003</v>
      </c>
      <c r="BY913" s="85"/>
      <c r="BZ913" s="85"/>
      <c r="CA913" s="85"/>
      <c r="CB913" s="86"/>
    </row>
    <row r="914" spans="2:80" x14ac:dyDescent="0.2">
      <c r="B914" s="41" t="s">
        <v>456</v>
      </c>
      <c r="C914" s="42"/>
      <c r="D914" s="42"/>
      <c r="E914" s="42"/>
      <c r="F914" s="42"/>
      <c r="G914" s="42"/>
      <c r="H914" s="42"/>
      <c r="I914" s="42"/>
      <c r="J914" s="73" t="s">
        <v>438</v>
      </c>
      <c r="K914" s="73"/>
      <c r="L914" s="73"/>
      <c r="M914" s="73"/>
      <c r="N914" s="43"/>
      <c r="O914" s="120" t="s">
        <v>382</v>
      </c>
      <c r="P914" s="73"/>
      <c r="Q914" s="73"/>
      <c r="R914" s="73"/>
      <c r="S914" s="128"/>
      <c r="T914" s="129">
        <v>150</v>
      </c>
      <c r="U914" s="130"/>
      <c r="V914" s="26" t="s">
        <v>415</v>
      </c>
      <c r="W914" s="130">
        <v>150</v>
      </c>
      <c r="X914" s="130"/>
      <c r="Y914" s="26" t="s">
        <v>415</v>
      </c>
      <c r="Z914" s="130">
        <v>10</v>
      </c>
      <c r="AA914" s="131"/>
      <c r="AB914" s="129">
        <v>150</v>
      </c>
      <c r="AC914" s="130"/>
      <c r="AD914" s="26" t="s">
        <v>415</v>
      </c>
      <c r="AE914" s="130">
        <v>10</v>
      </c>
      <c r="AF914" s="131"/>
      <c r="AG914" s="13"/>
      <c r="AH914" s="11"/>
      <c r="AI914" s="11"/>
      <c r="AJ914" s="11"/>
      <c r="AK914" s="12"/>
      <c r="AL914" s="129" t="s">
        <v>281</v>
      </c>
      <c r="AM914" s="130"/>
      <c r="AN914" s="130"/>
      <c r="AO914" s="130"/>
      <c r="AP914" s="130"/>
      <c r="AQ914" s="131"/>
      <c r="AR914" s="129" t="s">
        <v>246</v>
      </c>
      <c r="AS914" s="130"/>
      <c r="AT914" s="130"/>
      <c r="AU914" s="130"/>
      <c r="AV914" s="131"/>
      <c r="AW914" s="146" t="s">
        <v>160</v>
      </c>
      <c r="AX914" s="146"/>
      <c r="AY914" s="146"/>
      <c r="AZ914" s="146"/>
      <c r="BA914" s="146"/>
      <c r="BB914" s="143" cm="1">
        <f t="array" ref="BB914">IF(O914="kutu profil",(((T914*W914-4*((2*Z914)*(2*Z914)-PI()*(2*Z914)^2/4))-((T914-2*Z914)*(W914-2*Z914)-4*((1*Z914)*(1*Z914)-PI()*(1*Z914)^2/4)))/1000000*7850),IF(O914="boru profil",((PI()*AB914^2/4-PI()*(AB914-2*AE914)^2/4)/1000000*7850),IF(O914="I profil",INDEX($CN$4:$CN$118,MATCH(AL914,$CM$4:$CM$118,0),0),IF(O914="U profil",INDEX($CU$4:$CU$28,MATCH(AR914,$CT$4:$CT$28,0),0),IF(O914="korniyer",INDEX($CR$4:$CR$176,MATCH(AW914,$CQ$4:$CQ$176,0),0),"hatalı")))))</f>
        <v>3.77</v>
      </c>
      <c r="BC914" s="143"/>
      <c r="BD914" s="143"/>
      <c r="BE914" s="63">
        <f>IF(J914="tek çubuk",1,2)*2</f>
        <v>2</v>
      </c>
      <c r="BF914" s="63"/>
      <c r="BG914" s="63"/>
      <c r="BH914" s="83">
        <f>(AQ843+AT843+AW843+BA843+BD843+BG843)</f>
        <v>17.666666666666664</v>
      </c>
      <c r="BI914" s="83"/>
      <c r="BJ914" s="83"/>
      <c r="BK914" s="134">
        <f t="shared" si="63"/>
        <v>35.333333333333329</v>
      </c>
      <c r="BL914" s="135"/>
      <c r="BM914" s="136"/>
      <c r="BN914" s="83">
        <f t="shared" si="64"/>
        <v>133.20666666666665</v>
      </c>
      <c r="BO914" s="83"/>
      <c r="BP914" s="83"/>
      <c r="BQ914" s="83"/>
      <c r="BR914" s="84">
        <v>28</v>
      </c>
      <c r="BS914" s="84"/>
      <c r="BT914" s="84"/>
      <c r="BU914" s="84"/>
      <c r="BV914" s="84"/>
      <c r="BW914" s="84"/>
      <c r="BX914" s="85">
        <f t="shared" si="66"/>
        <v>3729.786666666666</v>
      </c>
      <c r="BY914" s="85"/>
      <c r="BZ914" s="85"/>
      <c r="CA914" s="85"/>
      <c r="CB914" s="86"/>
    </row>
    <row r="915" spans="2:80" x14ac:dyDescent="0.2">
      <c r="B915" s="41" t="s">
        <v>457</v>
      </c>
      <c r="C915" s="42"/>
      <c r="D915" s="42"/>
      <c r="E915" s="42"/>
      <c r="F915" s="42"/>
      <c r="G915" s="42"/>
      <c r="H915" s="42"/>
      <c r="I915" s="42"/>
      <c r="J915" s="73" t="s">
        <v>438</v>
      </c>
      <c r="K915" s="73"/>
      <c r="L915" s="73"/>
      <c r="M915" s="73"/>
      <c r="N915" s="43"/>
      <c r="O915" s="120" t="s">
        <v>382</v>
      </c>
      <c r="P915" s="73"/>
      <c r="Q915" s="73"/>
      <c r="R915" s="73"/>
      <c r="S915" s="128"/>
      <c r="T915" s="129">
        <v>150</v>
      </c>
      <c r="U915" s="130"/>
      <c r="V915" s="26" t="s">
        <v>415</v>
      </c>
      <c r="W915" s="130">
        <v>150</v>
      </c>
      <c r="X915" s="130"/>
      <c r="Y915" s="26" t="s">
        <v>415</v>
      </c>
      <c r="Z915" s="130">
        <v>10</v>
      </c>
      <c r="AA915" s="131"/>
      <c r="AB915" s="129">
        <v>150</v>
      </c>
      <c r="AC915" s="130"/>
      <c r="AD915" s="26" t="s">
        <v>415</v>
      </c>
      <c r="AE915" s="130">
        <v>10</v>
      </c>
      <c r="AF915" s="131"/>
      <c r="AG915" s="13"/>
      <c r="AH915" s="11"/>
      <c r="AI915" s="11"/>
      <c r="AJ915" s="11"/>
      <c r="AK915" s="12"/>
      <c r="AL915" s="129" t="s">
        <v>281</v>
      </c>
      <c r="AM915" s="130"/>
      <c r="AN915" s="130"/>
      <c r="AO915" s="130"/>
      <c r="AP915" s="130"/>
      <c r="AQ915" s="131"/>
      <c r="AR915" s="129" t="s">
        <v>246</v>
      </c>
      <c r="AS915" s="130"/>
      <c r="AT915" s="130"/>
      <c r="AU915" s="130"/>
      <c r="AV915" s="131"/>
      <c r="AW915" s="146" t="s">
        <v>160</v>
      </c>
      <c r="AX915" s="146"/>
      <c r="AY915" s="146"/>
      <c r="AZ915" s="146"/>
      <c r="BA915" s="146"/>
      <c r="BB915" s="143" cm="1">
        <f t="array" ref="BB915">IF(O915="kutu profil",(((T915*W915-4*((2*Z915)*(2*Z915)-PI()*(2*Z915)^2/4))-((T915-2*Z915)*(W915-2*Z915)-4*((1*Z915)*(1*Z915)-PI()*(1*Z915)^2/4)))/1000000*7850),IF(O915="boru profil",((PI()*AB915^2/4-PI()*(AB915-2*AE915)^2/4)/1000000*7850),IF(O915="I profil",INDEX($CN$4:$CN$118,MATCH(AL915,$CM$4:$CM$118,0),0),IF(O915="U profil",INDEX($CU$4:$CU$28,MATCH(AR915,$CT$4:$CT$28,0),0),IF(O915="korniyer",INDEX($CR$4:$CR$176,MATCH(AW915,$CQ$4:$CQ$176,0),0),"hatalı")))))</f>
        <v>3.77</v>
      </c>
      <c r="BC915" s="143"/>
      <c r="BD915" s="143"/>
      <c r="BE915" s="63">
        <f>IF(J915="tek çubuk",1,2)*2</f>
        <v>2</v>
      </c>
      <c r="BF915" s="63"/>
      <c r="BG915" s="63"/>
      <c r="BH915" s="83">
        <f>(AN843+AQ843+AT843+AW843+BA843+BD843+BG843+BJ843)</f>
        <v>24.000000000000004</v>
      </c>
      <c r="BI915" s="83"/>
      <c r="BJ915" s="83"/>
      <c r="BK915" s="134">
        <f t="shared" si="63"/>
        <v>48.000000000000007</v>
      </c>
      <c r="BL915" s="135"/>
      <c r="BM915" s="136"/>
      <c r="BN915" s="83">
        <f t="shared" si="64"/>
        <v>180.96000000000004</v>
      </c>
      <c r="BO915" s="83"/>
      <c r="BP915" s="83"/>
      <c r="BQ915" s="83"/>
      <c r="BR915" s="84">
        <v>28</v>
      </c>
      <c r="BS915" s="84"/>
      <c r="BT915" s="84"/>
      <c r="BU915" s="84"/>
      <c r="BV915" s="84"/>
      <c r="BW915" s="84"/>
      <c r="BX915" s="85">
        <f t="shared" si="66"/>
        <v>5066.880000000001</v>
      </c>
      <c r="BY915" s="85"/>
      <c r="BZ915" s="85"/>
      <c r="CA915" s="85"/>
      <c r="CB915" s="86"/>
    </row>
    <row r="916" spans="2:80" x14ac:dyDescent="0.2">
      <c r="B916" s="41" t="s">
        <v>458</v>
      </c>
      <c r="C916" s="42"/>
      <c r="D916" s="42"/>
      <c r="E916" s="42"/>
      <c r="F916" s="42"/>
      <c r="G916" s="42"/>
      <c r="H916" s="42"/>
      <c r="I916" s="42"/>
      <c r="J916" s="73" t="s">
        <v>438</v>
      </c>
      <c r="K916" s="73"/>
      <c r="L916" s="73"/>
      <c r="M916" s="73"/>
      <c r="N916" s="43"/>
      <c r="O916" s="120" t="s">
        <v>382</v>
      </c>
      <c r="P916" s="73"/>
      <c r="Q916" s="73"/>
      <c r="R916" s="73"/>
      <c r="S916" s="128"/>
      <c r="T916" s="129">
        <v>150</v>
      </c>
      <c r="U916" s="130"/>
      <c r="V916" s="26" t="s">
        <v>415</v>
      </c>
      <c r="W916" s="130">
        <v>150</v>
      </c>
      <c r="X916" s="130"/>
      <c r="Y916" s="26" t="s">
        <v>415</v>
      </c>
      <c r="Z916" s="130">
        <v>10</v>
      </c>
      <c r="AA916" s="131"/>
      <c r="AB916" s="129">
        <v>150</v>
      </c>
      <c r="AC916" s="130"/>
      <c r="AD916" s="26" t="s">
        <v>415</v>
      </c>
      <c r="AE916" s="130">
        <v>10</v>
      </c>
      <c r="AF916" s="131"/>
      <c r="AG916" s="13"/>
      <c r="AH916" s="11"/>
      <c r="AI916" s="11"/>
      <c r="AJ916" s="11"/>
      <c r="AK916" s="12"/>
      <c r="AL916" s="129" t="s">
        <v>281</v>
      </c>
      <c r="AM916" s="130"/>
      <c r="AN916" s="130"/>
      <c r="AO916" s="130"/>
      <c r="AP916" s="130"/>
      <c r="AQ916" s="131"/>
      <c r="AR916" s="129" t="s">
        <v>246</v>
      </c>
      <c r="AS916" s="130"/>
      <c r="AT916" s="130"/>
      <c r="AU916" s="130"/>
      <c r="AV916" s="131"/>
      <c r="AW916" s="146" t="s">
        <v>160</v>
      </c>
      <c r="AX916" s="146"/>
      <c r="AY916" s="146"/>
      <c r="AZ916" s="146"/>
      <c r="BA916" s="146"/>
      <c r="BB916" s="143" cm="1">
        <f t="array" ref="BB916">IF(O916="kutu profil",(((T916*W916-4*((2*Z916)*(2*Z916)-PI()*(2*Z916)^2/4))-((T916-2*Z916)*(W916-2*Z916)-4*((1*Z916)*(1*Z916)-PI()*(1*Z916)^2/4)))/1000000*7850),IF(O916="boru profil",((PI()*AB916^2/4-PI()*(AB916-2*AE916)^2/4)/1000000*7850),IF(O916="I profil",INDEX($CN$4:$CN$118,MATCH(AL916,$CM$4:$CM$118,0),0),IF(O916="U profil",INDEX($CU$4:$CU$28,MATCH(AR916,$CT$4:$CT$28,0),0),IF(O916="korniyer",INDEX($CR$4:$CR$176,MATCH(AW916,$CQ$4:$CQ$176,0),0),"hatalı")))))</f>
        <v>3.77</v>
      </c>
      <c r="BC916" s="143"/>
      <c r="BD916" s="143"/>
      <c r="BE916" s="63">
        <f>IF(J916="tek çubuk",1,2)*2</f>
        <v>2</v>
      </c>
      <c r="BF916" s="63"/>
      <c r="BG916" s="63"/>
      <c r="BH916" s="83">
        <f>(SQRT(AN843^2+BN838^2)*6+SQRT(AW843^2+BN838^2)*2)</f>
        <v>24.846700435776977</v>
      </c>
      <c r="BI916" s="83"/>
      <c r="BJ916" s="83"/>
      <c r="BK916" s="134">
        <f t="shared" si="63"/>
        <v>49.693400871553955</v>
      </c>
      <c r="BL916" s="135"/>
      <c r="BM916" s="136"/>
      <c r="BN916" s="83">
        <f t="shared" si="64"/>
        <v>187.3441212857584</v>
      </c>
      <c r="BO916" s="83"/>
      <c r="BP916" s="83"/>
      <c r="BQ916" s="83"/>
      <c r="BR916" s="84">
        <v>28</v>
      </c>
      <c r="BS916" s="84"/>
      <c r="BT916" s="84"/>
      <c r="BU916" s="84"/>
      <c r="BV916" s="84"/>
      <c r="BW916" s="84"/>
      <c r="BX916" s="85">
        <f t="shared" si="66"/>
        <v>5245.6353960012357</v>
      </c>
      <c r="BY916" s="85"/>
      <c r="BZ916" s="85"/>
      <c r="CA916" s="85"/>
      <c r="CB916" s="86"/>
    </row>
    <row r="917" spans="2:80" x14ac:dyDescent="0.2">
      <c r="B917" s="41" t="s">
        <v>459</v>
      </c>
      <c r="C917" s="42"/>
      <c r="D917" s="42"/>
      <c r="E917" s="42"/>
      <c r="F917" s="42"/>
      <c r="G917" s="42"/>
      <c r="H917" s="42"/>
      <c r="I917" s="42"/>
      <c r="J917" s="73" t="s">
        <v>438</v>
      </c>
      <c r="K917" s="73"/>
      <c r="L917" s="73"/>
      <c r="M917" s="73"/>
      <c r="N917" s="43"/>
      <c r="O917" s="120" t="s">
        <v>382</v>
      </c>
      <c r="P917" s="73"/>
      <c r="Q917" s="73"/>
      <c r="R917" s="73"/>
      <c r="S917" s="128"/>
      <c r="T917" s="129">
        <v>150</v>
      </c>
      <c r="U917" s="130"/>
      <c r="V917" s="26" t="s">
        <v>415</v>
      </c>
      <c r="W917" s="130">
        <v>150</v>
      </c>
      <c r="X917" s="130"/>
      <c r="Y917" s="26" t="s">
        <v>415</v>
      </c>
      <c r="Z917" s="130">
        <v>10</v>
      </c>
      <c r="AA917" s="131"/>
      <c r="AB917" s="129">
        <v>150</v>
      </c>
      <c r="AC917" s="130"/>
      <c r="AD917" s="26" t="s">
        <v>415</v>
      </c>
      <c r="AE917" s="130">
        <v>10</v>
      </c>
      <c r="AF917" s="131"/>
      <c r="AG917" s="13"/>
      <c r="AH917" s="11"/>
      <c r="AI917" s="11"/>
      <c r="AJ917" s="11"/>
      <c r="AK917" s="12"/>
      <c r="AL917" s="129" t="s">
        <v>281</v>
      </c>
      <c r="AM917" s="130"/>
      <c r="AN917" s="130"/>
      <c r="AO917" s="130"/>
      <c r="AP917" s="130"/>
      <c r="AQ917" s="131"/>
      <c r="AR917" s="129" t="s">
        <v>246</v>
      </c>
      <c r="AS917" s="130"/>
      <c r="AT917" s="130"/>
      <c r="AU917" s="130"/>
      <c r="AV917" s="131"/>
      <c r="AW917" s="146" t="s">
        <v>160</v>
      </c>
      <c r="AX917" s="146"/>
      <c r="AY917" s="146"/>
      <c r="AZ917" s="146"/>
      <c r="BA917" s="146"/>
      <c r="BB917" s="143" cm="1">
        <f t="array" ref="BB917">IF(O917="kutu profil",(((T917*W917-4*((2*Z917)*(2*Z917)-PI()*(2*Z917)^2/4))-((T917-2*Z917)*(W917-2*Z917)-4*((1*Z917)*(1*Z917)-PI()*(1*Z917)^2/4)))/1000000*7850),IF(O917="boru profil",((PI()*AB917^2/4-PI()*(AB917-2*AE917)^2/4)/1000000*7850),IF(O917="I profil",INDEX($CN$4:$CN$118,MATCH(AL917,$CM$4:$CM$118,0),0),IF(O917="U profil",INDEX($CU$4:$CU$28,MATCH(AR917,$CT$4:$CT$28,0),0),IF(O917="korniyer",INDEX($CR$4:$CR$176,MATCH(AW917,$CQ$4:$CQ$176,0),0),"hatalı")))))</f>
        <v>3.77</v>
      </c>
      <c r="BC917" s="143"/>
      <c r="BD917" s="143"/>
      <c r="BE917" s="63">
        <f>IF(J917="tek çubuk",1,2)*2</f>
        <v>2</v>
      </c>
      <c r="BF917" s="63"/>
      <c r="BG917" s="63"/>
      <c r="BH917" s="83">
        <f>+BN838*7</f>
        <v>5.6000000000000005</v>
      </c>
      <c r="BI917" s="83"/>
      <c r="BJ917" s="83"/>
      <c r="BK917" s="134">
        <f t="shared" si="63"/>
        <v>11.200000000000001</v>
      </c>
      <c r="BL917" s="135"/>
      <c r="BM917" s="136"/>
      <c r="BN917" s="83">
        <f t="shared" si="64"/>
        <v>42.224000000000004</v>
      </c>
      <c r="BO917" s="83"/>
      <c r="BP917" s="83"/>
      <c r="BQ917" s="83"/>
      <c r="BR917" s="84">
        <v>28</v>
      </c>
      <c r="BS917" s="84"/>
      <c r="BT917" s="84"/>
      <c r="BU917" s="84"/>
      <c r="BV917" s="84"/>
      <c r="BW917" s="84"/>
      <c r="BX917" s="85">
        <f t="shared" si="66"/>
        <v>1182.2720000000002</v>
      </c>
      <c r="BY917" s="85"/>
      <c r="BZ917" s="85"/>
      <c r="CA917" s="85"/>
      <c r="CB917" s="86"/>
    </row>
    <row r="918" spans="2:80" x14ac:dyDescent="0.2">
      <c r="B918" s="41" t="s">
        <v>460</v>
      </c>
      <c r="C918" s="42"/>
      <c r="D918" s="42"/>
      <c r="E918" s="42"/>
      <c r="F918" s="42"/>
      <c r="G918" s="42"/>
      <c r="H918" s="42"/>
      <c r="I918" s="42"/>
      <c r="J918" s="73" t="s">
        <v>438</v>
      </c>
      <c r="K918" s="73"/>
      <c r="L918" s="73"/>
      <c r="M918" s="73"/>
      <c r="N918" s="43"/>
      <c r="O918" s="120" t="s">
        <v>382</v>
      </c>
      <c r="P918" s="73"/>
      <c r="Q918" s="73"/>
      <c r="R918" s="73"/>
      <c r="S918" s="128"/>
      <c r="T918" s="129">
        <v>150</v>
      </c>
      <c r="U918" s="130"/>
      <c r="V918" s="26" t="s">
        <v>415</v>
      </c>
      <c r="W918" s="130">
        <v>150</v>
      </c>
      <c r="X918" s="130"/>
      <c r="Y918" s="26" t="s">
        <v>415</v>
      </c>
      <c r="Z918" s="130">
        <v>10</v>
      </c>
      <c r="AA918" s="131"/>
      <c r="AB918" s="129">
        <v>150</v>
      </c>
      <c r="AC918" s="130"/>
      <c r="AD918" s="26" t="s">
        <v>415</v>
      </c>
      <c r="AE918" s="130">
        <v>10</v>
      </c>
      <c r="AF918" s="131"/>
      <c r="AG918" s="13"/>
      <c r="AH918" s="11"/>
      <c r="AI918" s="11"/>
      <c r="AJ918" s="11"/>
      <c r="AK918" s="12"/>
      <c r="AL918" s="129" t="s">
        <v>281</v>
      </c>
      <c r="AM918" s="130"/>
      <c r="AN918" s="130"/>
      <c r="AO918" s="130"/>
      <c r="AP918" s="130"/>
      <c r="AQ918" s="131"/>
      <c r="AR918" s="129" t="s">
        <v>246</v>
      </c>
      <c r="AS918" s="130"/>
      <c r="AT918" s="130"/>
      <c r="AU918" s="130"/>
      <c r="AV918" s="131"/>
      <c r="AW918" s="146" t="s">
        <v>160</v>
      </c>
      <c r="AX918" s="146"/>
      <c r="AY918" s="146"/>
      <c r="AZ918" s="146"/>
      <c r="BA918" s="146"/>
      <c r="BB918" s="143" cm="1">
        <f t="array" ref="BB918">IF(O918="kutu profil",(((T918*W918-4*((2*Z918)*(2*Z918)-PI()*(2*Z918)^2/4))-((T918-2*Z918)*(W918-2*Z918)-4*((1*Z918)*(1*Z918)-PI()*(1*Z918)^2/4)))/1000000*7850),IF(O918="boru profil",((PI()*AB918^2/4-PI()*(AB918-2*AE918)^2/4)/1000000*7850),IF(O918="I profil",INDEX($CN$4:$CN$118,MATCH(AL918,$CM$4:$CM$118,0),0),IF(O918="U profil",INDEX($CU$4:$CU$28,MATCH(AR918,$CT$4:$CT$28,0),0),IF(O918="korniyer",INDEX($CR$4:$CR$176,MATCH(AW918,$CQ$4:$CQ$176,0),0),"hatalı")))))</f>
        <v>3.77</v>
      </c>
      <c r="BC918" s="143"/>
      <c r="BD918" s="143"/>
      <c r="BE918" s="63">
        <f>IF(J918="tek çubuk",1,2)*2</f>
        <v>2</v>
      </c>
      <c r="BF918" s="63"/>
      <c r="BG918" s="63"/>
      <c r="BH918" s="83">
        <f>SQRT(BS840^2+BU837^2)*7</f>
        <v>28.554509276119596</v>
      </c>
      <c r="BI918" s="83"/>
      <c r="BJ918" s="83"/>
      <c r="BK918" s="134">
        <f t="shared" si="63"/>
        <v>57.109018552239192</v>
      </c>
      <c r="BL918" s="135"/>
      <c r="BM918" s="136"/>
      <c r="BN918" s="83">
        <f t="shared" si="64"/>
        <v>215.30099994194177</v>
      </c>
      <c r="BO918" s="83"/>
      <c r="BP918" s="83"/>
      <c r="BQ918" s="83"/>
      <c r="BR918" s="84">
        <v>28</v>
      </c>
      <c r="BS918" s="84"/>
      <c r="BT918" s="84"/>
      <c r="BU918" s="84"/>
      <c r="BV918" s="84"/>
      <c r="BW918" s="84"/>
      <c r="BX918" s="85">
        <f t="shared" si="66"/>
        <v>6028.4279983743691</v>
      </c>
      <c r="BY918" s="85"/>
      <c r="BZ918" s="85"/>
      <c r="CA918" s="85"/>
      <c r="CB918" s="86"/>
    </row>
    <row r="919" spans="2:80" x14ac:dyDescent="0.2">
      <c r="B919" s="71" t="s">
        <v>275</v>
      </c>
      <c r="C919" s="72"/>
      <c r="D919" s="72"/>
      <c r="E919" s="72"/>
      <c r="F919" s="72"/>
      <c r="G919" s="72"/>
      <c r="H919" s="72"/>
      <c r="I919" s="72"/>
      <c r="J919" s="72"/>
      <c r="K919" s="72"/>
      <c r="L919" s="72"/>
      <c r="M919" s="72"/>
      <c r="N919" s="72"/>
      <c r="O919" s="13" t="s">
        <v>271</v>
      </c>
      <c r="P919" s="73">
        <v>800</v>
      </c>
      <c r="Q919" s="73"/>
      <c r="R919" s="11" t="s">
        <v>272</v>
      </c>
      <c r="S919" s="11"/>
      <c r="T919" s="11" t="s">
        <v>273</v>
      </c>
      <c r="U919" s="73">
        <v>450</v>
      </c>
      <c r="V919" s="73"/>
      <c r="W919" s="11" t="s">
        <v>272</v>
      </c>
      <c r="X919" s="11"/>
      <c r="Y919" s="11" t="s">
        <v>274</v>
      </c>
      <c r="Z919" s="73">
        <v>30</v>
      </c>
      <c r="AA919" s="73"/>
      <c r="AB919" s="11" t="s">
        <v>272</v>
      </c>
      <c r="AC919" s="11"/>
      <c r="AD919" s="11"/>
      <c r="AE919" s="11"/>
      <c r="AF919" s="11"/>
      <c r="AG919" s="11"/>
      <c r="AH919" s="11"/>
      <c r="AI919" s="11"/>
      <c r="AJ919" s="11"/>
      <c r="AK919" s="11"/>
      <c r="AL919" s="11"/>
      <c r="AM919" s="11"/>
      <c r="AN919" s="11"/>
      <c r="AO919" s="11"/>
      <c r="AP919" s="11"/>
      <c r="AQ919" s="11"/>
      <c r="AR919" s="11"/>
      <c r="AS919" s="11"/>
      <c r="AT919" s="11"/>
      <c r="AU919" s="11"/>
      <c r="AV919" s="11"/>
      <c r="AW919" s="11"/>
      <c r="AX919" s="11"/>
      <c r="AY919" s="11"/>
      <c r="AZ919" s="11"/>
      <c r="BA919" s="12"/>
      <c r="BB919" s="63" t="s">
        <v>276</v>
      </c>
      <c r="BC919" s="63"/>
      <c r="BD919" s="63"/>
      <c r="BE919" s="63">
        <f>+BE902</f>
        <v>16</v>
      </c>
      <c r="BF919" s="63"/>
      <c r="BG919" s="63"/>
      <c r="BH919" s="62" t="s">
        <v>276</v>
      </c>
      <c r="BI919" s="62"/>
      <c r="BJ919" s="62"/>
      <c r="BK919" s="62" t="s">
        <v>276</v>
      </c>
      <c r="BL919" s="62"/>
      <c r="BM919" s="62"/>
      <c r="BN919" s="83">
        <f t="shared" ref="BN919:BN923" si="67">P919/1000*U919/1000*Z919/1000*7850*BE919</f>
        <v>1356.4799999999998</v>
      </c>
      <c r="BO919" s="83"/>
      <c r="BP919" s="83"/>
      <c r="BQ919" s="83"/>
      <c r="BR919" s="84">
        <v>28</v>
      </c>
      <c r="BS919" s="84"/>
      <c r="BT919" s="84"/>
      <c r="BU919" s="84"/>
      <c r="BV919" s="84"/>
      <c r="BW919" s="84"/>
      <c r="BX919" s="85">
        <f t="shared" si="66"/>
        <v>37981.439999999995</v>
      </c>
      <c r="BY919" s="85"/>
      <c r="BZ919" s="85"/>
      <c r="CA919" s="85"/>
      <c r="CB919" s="86"/>
    </row>
    <row r="920" spans="2:80" x14ac:dyDescent="0.2">
      <c r="B920" s="71" t="s">
        <v>442</v>
      </c>
      <c r="C920" s="72"/>
      <c r="D920" s="72"/>
      <c r="E920" s="72"/>
      <c r="F920" s="72"/>
      <c r="G920" s="72"/>
      <c r="H920" s="72"/>
      <c r="I920" s="72"/>
      <c r="J920" s="72"/>
      <c r="K920" s="72"/>
      <c r="L920" s="72"/>
      <c r="M920" s="72"/>
      <c r="N920" s="72"/>
      <c r="O920" s="13" t="s">
        <v>271</v>
      </c>
      <c r="P920" s="73">
        <v>350</v>
      </c>
      <c r="Q920" s="73"/>
      <c r="R920" s="11" t="s">
        <v>272</v>
      </c>
      <c r="S920" s="11"/>
      <c r="T920" s="11" t="s">
        <v>273</v>
      </c>
      <c r="U920" s="73">
        <v>350</v>
      </c>
      <c r="V920" s="73"/>
      <c r="W920" s="11" t="s">
        <v>272</v>
      </c>
      <c r="X920" s="11"/>
      <c r="Y920" s="11" t="s">
        <v>274</v>
      </c>
      <c r="Z920" s="73">
        <v>20</v>
      </c>
      <c r="AA920" s="73"/>
      <c r="AB920" s="11" t="s">
        <v>272</v>
      </c>
      <c r="AC920" s="11"/>
      <c r="AD920" s="11"/>
      <c r="AE920" s="11"/>
      <c r="AF920" s="11"/>
      <c r="AG920" s="11"/>
      <c r="AH920" s="11"/>
      <c r="AI920" s="11"/>
      <c r="AJ920" s="11"/>
      <c r="AK920" s="11"/>
      <c r="AL920" s="11"/>
      <c r="AM920" s="11"/>
      <c r="AN920" s="11"/>
      <c r="AO920" s="11"/>
      <c r="AP920" s="11"/>
      <c r="AQ920" s="11"/>
      <c r="AR920" s="11"/>
      <c r="AS920" s="11"/>
      <c r="AT920" s="11"/>
      <c r="AU920" s="11"/>
      <c r="AV920" s="11"/>
      <c r="AW920" s="11"/>
      <c r="AX920" s="11"/>
      <c r="AY920" s="11"/>
      <c r="AZ920" s="11"/>
      <c r="BA920" s="12"/>
      <c r="BB920" s="63" t="s">
        <v>276</v>
      </c>
      <c r="BC920" s="63"/>
      <c r="BD920" s="63"/>
      <c r="BE920" s="63">
        <f>6*2</f>
        <v>12</v>
      </c>
      <c r="BF920" s="63"/>
      <c r="BG920" s="63"/>
      <c r="BH920" s="62" t="s">
        <v>276</v>
      </c>
      <c r="BI920" s="62"/>
      <c r="BJ920" s="62"/>
      <c r="BK920" s="62" t="s">
        <v>276</v>
      </c>
      <c r="BL920" s="62"/>
      <c r="BM920" s="62"/>
      <c r="BN920" s="83">
        <f t="shared" si="67"/>
        <v>230.78999999999996</v>
      </c>
      <c r="BO920" s="83"/>
      <c r="BP920" s="83"/>
      <c r="BQ920" s="83"/>
      <c r="BR920" s="84">
        <v>28</v>
      </c>
      <c r="BS920" s="84"/>
      <c r="BT920" s="84"/>
      <c r="BU920" s="84"/>
      <c r="BV920" s="84"/>
      <c r="BW920" s="84"/>
      <c r="BX920" s="85">
        <f t="shared" si="66"/>
        <v>6462.119999999999</v>
      </c>
      <c r="BY920" s="85"/>
      <c r="BZ920" s="85"/>
      <c r="CA920" s="85"/>
      <c r="CB920" s="86"/>
    </row>
    <row r="921" spans="2:80" x14ac:dyDescent="0.2">
      <c r="B921" s="71" t="s">
        <v>277</v>
      </c>
      <c r="C921" s="72"/>
      <c r="D921" s="72"/>
      <c r="E921" s="72"/>
      <c r="F921" s="72"/>
      <c r="G921" s="72"/>
      <c r="H921" s="72"/>
      <c r="I921" s="72"/>
      <c r="J921" s="72"/>
      <c r="K921" s="72"/>
      <c r="L921" s="72"/>
      <c r="M921" s="72"/>
      <c r="N921" s="72"/>
      <c r="O921" s="13" t="s">
        <v>271</v>
      </c>
      <c r="P921" s="73">
        <v>200</v>
      </c>
      <c r="Q921" s="73"/>
      <c r="R921" s="11" t="s">
        <v>272</v>
      </c>
      <c r="S921" s="11"/>
      <c r="T921" s="11" t="s">
        <v>273</v>
      </c>
      <c r="U921" s="73">
        <v>200</v>
      </c>
      <c r="V921" s="73"/>
      <c r="W921" s="11" t="s">
        <v>272</v>
      </c>
      <c r="X921" s="11"/>
      <c r="Y921" s="11" t="s">
        <v>274</v>
      </c>
      <c r="Z921" s="73">
        <v>15</v>
      </c>
      <c r="AA921" s="73"/>
      <c r="AB921" s="11" t="s">
        <v>272</v>
      </c>
      <c r="AC921" s="11"/>
      <c r="AD921" s="11"/>
      <c r="AE921" s="11"/>
      <c r="AF921" s="11"/>
      <c r="AG921" s="11"/>
      <c r="AH921" s="11"/>
      <c r="AI921" s="11"/>
      <c r="AJ921" s="11"/>
      <c r="AK921" s="11"/>
      <c r="AL921" s="11"/>
      <c r="AM921" s="11"/>
      <c r="AN921" s="11"/>
      <c r="AO921" s="11"/>
      <c r="AP921" s="11"/>
      <c r="AQ921" s="11"/>
      <c r="AR921" s="11"/>
      <c r="AS921" s="11"/>
      <c r="AT921" s="11"/>
      <c r="AU921" s="11"/>
      <c r="AV921" s="11"/>
      <c r="AW921" s="11"/>
      <c r="AX921" s="11"/>
      <c r="AY921" s="11"/>
      <c r="AZ921" s="11"/>
      <c r="BA921" s="12"/>
      <c r="BB921" s="63" t="s">
        <v>276</v>
      </c>
      <c r="BC921" s="63"/>
      <c r="BD921" s="63"/>
      <c r="BE921" s="63" cm="1">
        <f t="array" ref="BE921">INDEX(BN795:BN805,MATCH(C816,BM795:BM805,0),0)*3*2</f>
        <v>18</v>
      </c>
      <c r="BF921" s="63"/>
      <c r="BG921" s="63"/>
      <c r="BH921" s="62" t="s">
        <v>276</v>
      </c>
      <c r="BI921" s="62"/>
      <c r="BJ921" s="62"/>
      <c r="BK921" s="62" t="s">
        <v>276</v>
      </c>
      <c r="BL921" s="62"/>
      <c r="BM921" s="62"/>
      <c r="BN921" s="83">
        <f t="shared" si="67"/>
        <v>84.78</v>
      </c>
      <c r="BO921" s="83"/>
      <c r="BP921" s="83"/>
      <c r="BQ921" s="83"/>
      <c r="BR921" s="84">
        <v>28</v>
      </c>
      <c r="BS921" s="84"/>
      <c r="BT921" s="84"/>
      <c r="BU921" s="84"/>
      <c r="BV921" s="84"/>
      <c r="BW921" s="84"/>
      <c r="BX921" s="85">
        <f t="shared" si="66"/>
        <v>2373.84</v>
      </c>
      <c r="BY921" s="85"/>
      <c r="BZ921" s="85"/>
      <c r="CA921" s="85"/>
      <c r="CB921" s="86"/>
    </row>
    <row r="922" spans="2:80" x14ac:dyDescent="0.2">
      <c r="B922" s="71" t="s">
        <v>467</v>
      </c>
      <c r="C922" s="72"/>
      <c r="D922" s="72"/>
      <c r="E922" s="72"/>
      <c r="F922" s="72"/>
      <c r="G922" s="72"/>
      <c r="H922" s="72"/>
      <c r="I922" s="72"/>
      <c r="J922" s="72"/>
      <c r="K922" s="72"/>
      <c r="L922" s="72"/>
      <c r="M922" s="72"/>
      <c r="N922" s="72"/>
      <c r="O922" s="13" t="s">
        <v>271</v>
      </c>
      <c r="P922" s="73">
        <v>200</v>
      </c>
      <c r="Q922" s="73"/>
      <c r="R922" s="11" t="s">
        <v>272</v>
      </c>
      <c r="S922" s="11"/>
      <c r="T922" s="11" t="s">
        <v>273</v>
      </c>
      <c r="U922" s="73">
        <v>200</v>
      </c>
      <c r="V922" s="73"/>
      <c r="W922" s="11" t="s">
        <v>272</v>
      </c>
      <c r="X922" s="11"/>
      <c r="Y922" s="11" t="s">
        <v>274</v>
      </c>
      <c r="Z922" s="73">
        <v>10</v>
      </c>
      <c r="AA922" s="73"/>
      <c r="AB922" s="11" t="s">
        <v>272</v>
      </c>
      <c r="AC922" s="11"/>
      <c r="AD922" s="11"/>
      <c r="AE922" s="11"/>
      <c r="AF922" s="11"/>
      <c r="AG922" s="11"/>
      <c r="AH922" s="11"/>
      <c r="AI922" s="11"/>
      <c r="AJ922" s="11"/>
      <c r="AK922" s="11"/>
      <c r="AL922" s="11"/>
      <c r="AM922" s="11"/>
      <c r="AN922" s="11"/>
      <c r="AO922" s="11"/>
      <c r="AP922" s="11"/>
      <c r="AQ922" s="11"/>
      <c r="AR922" s="11"/>
      <c r="AS922" s="11"/>
      <c r="AT922" s="11"/>
      <c r="AU922" s="11"/>
      <c r="AV922" s="11"/>
      <c r="AW922" s="11"/>
      <c r="AX922" s="11"/>
      <c r="AY922" s="11"/>
      <c r="AZ922" s="11"/>
      <c r="BA922" s="12"/>
      <c r="BB922" s="63" t="s">
        <v>276</v>
      </c>
      <c r="BC922" s="63"/>
      <c r="BD922" s="63"/>
      <c r="BE922" s="63" cm="1">
        <f t="array" ref="BE922">INDEX(BN795:BN805,MATCH(C816,BM795:BM805,0),0)*2*2+INDEX(BO795:BO805,MATCH(C816,BM795:BM805,0),0)*2</f>
        <v>20</v>
      </c>
      <c r="BF922" s="63"/>
      <c r="BG922" s="63"/>
      <c r="BH922" s="62" t="s">
        <v>276</v>
      </c>
      <c r="BI922" s="62"/>
      <c r="BJ922" s="62"/>
      <c r="BK922" s="62" t="s">
        <v>276</v>
      </c>
      <c r="BL922" s="62"/>
      <c r="BM922" s="62"/>
      <c r="BN922" s="83">
        <f t="shared" si="67"/>
        <v>62.800000000000004</v>
      </c>
      <c r="BO922" s="83"/>
      <c r="BP922" s="83"/>
      <c r="BQ922" s="83"/>
      <c r="BR922" s="84">
        <v>28</v>
      </c>
      <c r="BS922" s="84"/>
      <c r="BT922" s="84"/>
      <c r="BU922" s="84"/>
      <c r="BV922" s="84"/>
      <c r="BW922" s="84"/>
      <c r="BX922" s="85">
        <f t="shared" si="66"/>
        <v>1758.4</v>
      </c>
      <c r="BY922" s="85"/>
      <c r="BZ922" s="85"/>
      <c r="CA922" s="85"/>
      <c r="CB922" s="86"/>
    </row>
    <row r="923" spans="2:80" x14ac:dyDescent="0.2">
      <c r="B923" s="71" t="s">
        <v>440</v>
      </c>
      <c r="C923" s="72"/>
      <c r="D923" s="72"/>
      <c r="E923" s="72"/>
      <c r="F923" s="72"/>
      <c r="G923" s="72"/>
      <c r="H923" s="72"/>
      <c r="I923" s="72"/>
      <c r="J923" s="72"/>
      <c r="K923" s="72"/>
      <c r="L923" s="72"/>
      <c r="M923" s="72"/>
      <c r="N923" s="72"/>
      <c r="O923" s="13" t="s">
        <v>271</v>
      </c>
      <c r="P923" s="73">
        <v>200</v>
      </c>
      <c r="Q923" s="73"/>
      <c r="R923" s="11" t="s">
        <v>272</v>
      </c>
      <c r="S923" s="11"/>
      <c r="T923" s="11" t="s">
        <v>273</v>
      </c>
      <c r="U923" s="73">
        <v>200</v>
      </c>
      <c r="V923" s="73"/>
      <c r="W923" s="11" t="s">
        <v>272</v>
      </c>
      <c r="X923" s="11"/>
      <c r="Y923" s="11" t="s">
        <v>274</v>
      </c>
      <c r="Z923" s="73">
        <v>10</v>
      </c>
      <c r="AA923" s="73"/>
      <c r="AB923" s="11" t="s">
        <v>272</v>
      </c>
      <c r="AC923" s="11"/>
      <c r="AD923" s="11"/>
      <c r="AE923" s="11"/>
      <c r="AF923" s="11"/>
      <c r="AG923" s="11"/>
      <c r="AH923" s="11"/>
      <c r="AI923" s="11"/>
      <c r="AJ923" s="11"/>
      <c r="AK923" s="11"/>
      <c r="AL923" s="11"/>
      <c r="AM923" s="11"/>
      <c r="AN923" s="11"/>
      <c r="AO923" s="11"/>
      <c r="AP923" s="11"/>
      <c r="AQ923" s="11"/>
      <c r="AR923" s="11"/>
      <c r="AS923" s="11"/>
      <c r="AT923" s="11"/>
      <c r="AU923" s="11"/>
      <c r="AV923" s="11"/>
      <c r="AW923" s="11"/>
      <c r="AX923" s="11"/>
      <c r="AY923" s="11"/>
      <c r="AZ923" s="11"/>
      <c r="BA923" s="12"/>
      <c r="BB923" s="63" t="s">
        <v>276</v>
      </c>
      <c r="BC923" s="63"/>
      <c r="BD923" s="63"/>
      <c r="BE923" s="63">
        <f>(C816+1)*BI790</f>
        <v>208</v>
      </c>
      <c r="BF923" s="63"/>
      <c r="BG923" s="63"/>
      <c r="BH923" s="62" t="s">
        <v>276</v>
      </c>
      <c r="BI923" s="62"/>
      <c r="BJ923" s="62"/>
      <c r="BK923" s="62" t="s">
        <v>276</v>
      </c>
      <c r="BL923" s="62"/>
      <c r="BM923" s="62"/>
      <c r="BN923" s="83">
        <f t="shared" si="67"/>
        <v>653.12</v>
      </c>
      <c r="BO923" s="83"/>
      <c r="BP923" s="83"/>
      <c r="BQ923" s="83"/>
      <c r="BR923" s="84">
        <v>28</v>
      </c>
      <c r="BS923" s="84"/>
      <c r="BT923" s="84"/>
      <c r="BU923" s="84"/>
      <c r="BV923" s="84"/>
      <c r="BW923" s="84"/>
      <c r="BX923" s="85">
        <f t="shared" si="66"/>
        <v>18287.36</v>
      </c>
      <c r="BY923" s="85"/>
      <c r="BZ923" s="85"/>
      <c r="CA923" s="85"/>
      <c r="CB923" s="86"/>
    </row>
    <row r="924" spans="2:80" x14ac:dyDescent="0.2">
      <c r="B924" s="71" t="s">
        <v>461</v>
      </c>
      <c r="C924" s="72"/>
      <c r="D924" s="72"/>
      <c r="E924" s="72"/>
      <c r="F924" s="72"/>
      <c r="G924" s="72"/>
      <c r="H924" s="72"/>
      <c r="I924" s="72"/>
      <c r="J924" s="72"/>
      <c r="K924" s="72"/>
      <c r="L924" s="72"/>
      <c r="M924" s="72"/>
      <c r="N924" s="72"/>
      <c r="O924" s="13" t="s">
        <v>271</v>
      </c>
      <c r="P924" s="73">
        <v>150</v>
      </c>
      <c r="Q924" s="73"/>
      <c r="R924" s="11" t="s">
        <v>272</v>
      </c>
      <c r="S924" s="11"/>
      <c r="T924" s="11" t="s">
        <v>273</v>
      </c>
      <c r="U924" s="73">
        <v>150</v>
      </c>
      <c r="V924" s="73"/>
      <c r="W924" s="11" t="s">
        <v>272</v>
      </c>
      <c r="X924" s="11"/>
      <c r="Y924" s="11" t="s">
        <v>274</v>
      </c>
      <c r="Z924" s="73">
        <v>6</v>
      </c>
      <c r="AA924" s="73"/>
      <c r="AB924" s="11" t="s">
        <v>272</v>
      </c>
      <c r="AC924" s="11"/>
      <c r="AD924" s="11"/>
      <c r="AE924" s="11"/>
      <c r="AF924" s="11"/>
      <c r="AG924" s="11"/>
      <c r="AH924" s="11"/>
      <c r="AI924" s="11"/>
      <c r="AJ924" s="11"/>
      <c r="AK924" s="11"/>
      <c r="AL924" s="11"/>
      <c r="AM924" s="11"/>
      <c r="AN924" s="11"/>
      <c r="AO924" s="11"/>
      <c r="AP924" s="11"/>
      <c r="AQ924" s="11"/>
      <c r="AR924" s="11"/>
      <c r="AS924" s="11"/>
      <c r="AT924" s="11"/>
      <c r="AU924" s="11"/>
      <c r="AV924" s="11"/>
      <c r="AW924" s="11"/>
      <c r="AX924" s="11"/>
      <c r="AY924" s="11"/>
      <c r="AZ924" s="11"/>
      <c r="BA924" s="12"/>
      <c r="BB924" s="63" t="s">
        <v>276</v>
      </c>
      <c r="BC924" s="63"/>
      <c r="BD924" s="63"/>
      <c r="BE924" s="63">
        <f>(16+7*2)*2</f>
        <v>60</v>
      </c>
      <c r="BF924" s="63"/>
      <c r="BG924" s="63"/>
      <c r="BH924" s="62" t="s">
        <v>276</v>
      </c>
      <c r="BI924" s="62"/>
      <c r="BJ924" s="62"/>
      <c r="BK924" s="62" t="s">
        <v>276</v>
      </c>
      <c r="BL924" s="62"/>
      <c r="BM924" s="62"/>
      <c r="BN924" s="83">
        <f t="shared" ref="BN924:BN930" si="68">P924/1000*U924/1000*Z924/1000*7850*BE924</f>
        <v>63.585000000000001</v>
      </c>
      <c r="BO924" s="83"/>
      <c r="BP924" s="83"/>
      <c r="BQ924" s="83"/>
      <c r="BR924" s="84">
        <v>28</v>
      </c>
      <c r="BS924" s="84"/>
      <c r="BT924" s="84"/>
      <c r="BU924" s="84"/>
      <c r="BV924" s="84"/>
      <c r="BW924" s="84"/>
      <c r="BX924" s="85">
        <f t="shared" si="66"/>
        <v>1780.38</v>
      </c>
      <c r="BY924" s="85"/>
      <c r="BZ924" s="85"/>
      <c r="CA924" s="85"/>
      <c r="CB924" s="86"/>
    </row>
    <row r="925" spans="2:80" x14ac:dyDescent="0.2">
      <c r="B925" s="71" t="s">
        <v>480</v>
      </c>
      <c r="C925" s="72"/>
      <c r="D925" s="72"/>
      <c r="E925" s="72"/>
      <c r="F925" s="72"/>
      <c r="G925" s="72"/>
      <c r="H925" s="72"/>
      <c r="I925" s="72"/>
      <c r="J925" s="72"/>
      <c r="K925" s="72"/>
      <c r="L925" s="72"/>
      <c r="M925" s="72"/>
      <c r="N925" s="72"/>
      <c r="O925" s="13" t="s">
        <v>271</v>
      </c>
      <c r="P925" s="73">
        <v>100</v>
      </c>
      <c r="Q925" s="73"/>
      <c r="R925" s="11" t="s">
        <v>272</v>
      </c>
      <c r="S925" s="11"/>
      <c r="T925" s="11" t="s">
        <v>273</v>
      </c>
      <c r="U925" s="73">
        <v>100</v>
      </c>
      <c r="V925" s="73"/>
      <c r="W925" s="11" t="s">
        <v>272</v>
      </c>
      <c r="X925" s="11"/>
      <c r="Y925" s="11" t="s">
        <v>274</v>
      </c>
      <c r="Z925" s="73">
        <v>10</v>
      </c>
      <c r="AA925" s="73"/>
      <c r="AB925" s="11" t="s">
        <v>272</v>
      </c>
      <c r="AC925" s="11"/>
      <c r="AD925" s="11"/>
      <c r="AE925" s="11"/>
      <c r="AF925" s="11"/>
      <c r="AG925" s="11"/>
      <c r="AH925" s="11"/>
      <c r="AI925" s="11"/>
      <c r="AJ925" s="11"/>
      <c r="AK925" s="11"/>
      <c r="AL925" s="11"/>
      <c r="AM925" s="11"/>
      <c r="AN925" s="11"/>
      <c r="AO925" s="11"/>
      <c r="AP925" s="11"/>
      <c r="AQ925" s="11"/>
      <c r="AR925" s="11"/>
      <c r="AS925" s="11"/>
      <c r="AT925" s="11"/>
      <c r="AU925" s="11"/>
      <c r="AV925" s="11"/>
      <c r="AW925" s="11"/>
      <c r="AX925" s="11"/>
      <c r="AY925" s="11"/>
      <c r="AZ925" s="11"/>
      <c r="BA925" s="12"/>
      <c r="BB925" s="63" t="s">
        <v>276</v>
      </c>
      <c r="BC925" s="63"/>
      <c r="BD925" s="63"/>
      <c r="BE925" s="63" cm="1">
        <f t="array" ref="BE925">((C816)*4+INDEX(BN795:BN805,MATCH(C816,BM795:BM805,0),0)*4)*2</f>
        <v>80</v>
      </c>
      <c r="BF925" s="63"/>
      <c r="BG925" s="63"/>
      <c r="BH925" s="62" t="s">
        <v>276</v>
      </c>
      <c r="BI925" s="62"/>
      <c r="BJ925" s="62"/>
      <c r="BK925" s="62" t="s">
        <v>276</v>
      </c>
      <c r="BL925" s="62"/>
      <c r="BM925" s="62"/>
      <c r="BN925" s="83">
        <f t="shared" si="68"/>
        <v>62.800000000000004</v>
      </c>
      <c r="BO925" s="83"/>
      <c r="BP925" s="83"/>
      <c r="BQ925" s="83"/>
      <c r="BR925" s="84">
        <v>28</v>
      </c>
      <c r="BS925" s="84"/>
      <c r="BT925" s="84"/>
      <c r="BU925" s="84"/>
      <c r="BV925" s="84"/>
      <c r="BW925" s="84"/>
      <c r="BX925" s="85">
        <f>BR925*BN925</f>
        <v>1758.4</v>
      </c>
      <c r="BY925" s="85"/>
      <c r="BZ925" s="85"/>
      <c r="CA925" s="85"/>
      <c r="CB925" s="86"/>
    </row>
    <row r="926" spans="2:80" x14ac:dyDescent="0.2">
      <c r="B926" s="71" t="s">
        <v>475</v>
      </c>
      <c r="C926" s="72"/>
      <c r="D926" s="72"/>
      <c r="E926" s="72"/>
      <c r="F926" s="72"/>
      <c r="G926" s="72"/>
      <c r="H926" s="72"/>
      <c r="I926" s="72"/>
      <c r="J926" s="72"/>
      <c r="K926" s="72"/>
      <c r="L926" s="72"/>
      <c r="M926" s="72"/>
      <c r="N926" s="72"/>
      <c r="O926" s="13" t="s">
        <v>271</v>
      </c>
      <c r="P926" s="73">
        <v>80</v>
      </c>
      <c r="Q926" s="73"/>
      <c r="R926" s="11" t="s">
        <v>272</v>
      </c>
      <c r="S926" s="11"/>
      <c r="T926" s="11" t="s">
        <v>273</v>
      </c>
      <c r="U926" s="73">
        <v>80</v>
      </c>
      <c r="V926" s="73"/>
      <c r="W926" s="11" t="s">
        <v>272</v>
      </c>
      <c r="X926" s="11"/>
      <c r="Y926" s="11" t="s">
        <v>274</v>
      </c>
      <c r="Z926" s="73">
        <v>5</v>
      </c>
      <c r="AA926" s="73"/>
      <c r="AB926" s="11" t="s">
        <v>272</v>
      </c>
      <c r="AC926" s="11"/>
      <c r="AD926" s="11"/>
      <c r="AE926" s="11"/>
      <c r="AF926" s="11"/>
      <c r="AG926" s="11"/>
      <c r="AH926" s="11"/>
      <c r="AI926" s="11"/>
      <c r="AJ926" s="11"/>
      <c r="AK926" s="11"/>
      <c r="AL926" s="11"/>
      <c r="AM926" s="11"/>
      <c r="AN926" s="11"/>
      <c r="AO926" s="11"/>
      <c r="AP926" s="11"/>
      <c r="AQ926" s="11"/>
      <c r="AR926" s="11"/>
      <c r="AS926" s="11"/>
      <c r="AT926" s="11"/>
      <c r="AU926" s="11"/>
      <c r="AV926" s="11"/>
      <c r="AW926" s="11"/>
      <c r="AX926" s="11"/>
      <c r="AY926" s="11"/>
      <c r="AZ926" s="11"/>
      <c r="BA926" s="12"/>
      <c r="BB926" s="63" t="s">
        <v>276</v>
      </c>
      <c r="BC926" s="63"/>
      <c r="BD926" s="63"/>
      <c r="BE926" s="63">
        <f>(C816+1)*AL798</f>
        <v>112</v>
      </c>
      <c r="BF926" s="63"/>
      <c r="BG926" s="63"/>
      <c r="BH926" s="62" t="s">
        <v>276</v>
      </c>
      <c r="BI926" s="62"/>
      <c r="BJ926" s="62"/>
      <c r="BK926" s="62" t="s">
        <v>276</v>
      </c>
      <c r="BL926" s="62"/>
      <c r="BM926" s="62"/>
      <c r="BN926" s="83">
        <f t="shared" si="68"/>
        <v>28.134399999999999</v>
      </c>
      <c r="BO926" s="83"/>
      <c r="BP926" s="83"/>
      <c r="BQ926" s="83"/>
      <c r="BR926" s="84">
        <v>28</v>
      </c>
      <c r="BS926" s="84"/>
      <c r="BT926" s="84"/>
      <c r="BU926" s="84"/>
      <c r="BV926" s="84"/>
      <c r="BW926" s="84"/>
      <c r="BX926" s="85">
        <f t="shared" ref="BX926:BX930" si="69">BR926*BN926</f>
        <v>787.76319999999998</v>
      </c>
      <c r="BY926" s="85"/>
      <c r="BZ926" s="85"/>
      <c r="CA926" s="85"/>
      <c r="CB926" s="86"/>
    </row>
    <row r="927" spans="2:80" x14ac:dyDescent="0.2">
      <c r="B927" s="71" t="s">
        <v>482</v>
      </c>
      <c r="C927" s="72"/>
      <c r="D927" s="72"/>
      <c r="E927" s="72"/>
      <c r="F927" s="72"/>
      <c r="G927" s="72"/>
      <c r="H927" s="72"/>
      <c r="I927" s="72"/>
      <c r="J927" s="72"/>
      <c r="K927" s="72"/>
      <c r="L927" s="72"/>
      <c r="M927" s="72"/>
      <c r="N927" s="72"/>
      <c r="O927" s="13" t="s">
        <v>271</v>
      </c>
      <c r="P927" s="73">
        <v>80</v>
      </c>
      <c r="Q927" s="73"/>
      <c r="R927" s="11" t="s">
        <v>272</v>
      </c>
      <c r="S927" s="11"/>
      <c r="T927" s="11" t="s">
        <v>273</v>
      </c>
      <c r="U927" s="73">
        <v>80</v>
      </c>
      <c r="V927" s="73"/>
      <c r="W927" s="11" t="s">
        <v>272</v>
      </c>
      <c r="X927" s="11"/>
      <c r="Y927" s="11" t="s">
        <v>274</v>
      </c>
      <c r="Z927" s="73">
        <v>5</v>
      </c>
      <c r="AA927" s="73"/>
      <c r="AB927" s="11" t="s">
        <v>272</v>
      </c>
      <c r="AC927" s="11"/>
      <c r="AD927" s="11"/>
      <c r="AE927" s="11"/>
      <c r="AF927" s="11"/>
      <c r="AG927" s="11"/>
      <c r="AH927" s="11"/>
      <c r="AI927" s="11"/>
      <c r="AJ927" s="11"/>
      <c r="AK927" s="11"/>
      <c r="AL927" s="11"/>
      <c r="AM927" s="11"/>
      <c r="AN927" s="11"/>
      <c r="AO927" s="11"/>
      <c r="AP927" s="11"/>
      <c r="AQ927" s="11"/>
      <c r="AR927" s="11"/>
      <c r="AS927" s="11"/>
      <c r="AT927" s="11"/>
      <c r="AU927" s="11"/>
      <c r="AV927" s="11"/>
      <c r="AW927" s="11"/>
      <c r="AX927" s="11"/>
      <c r="AY927" s="11"/>
      <c r="AZ927" s="11"/>
      <c r="BA927" s="12"/>
      <c r="BB927" s="63" t="s">
        <v>276</v>
      </c>
      <c r="BC927" s="63"/>
      <c r="BD927" s="63"/>
      <c r="BE927" s="63" cm="1">
        <f t="array" ref="BE927">INDEX(BN795:BN805,MATCH(C816,BM795:BM805,0),0)*8*2</f>
        <v>48</v>
      </c>
      <c r="BF927" s="63"/>
      <c r="BG927" s="63"/>
      <c r="BH927" s="62" t="s">
        <v>276</v>
      </c>
      <c r="BI927" s="62"/>
      <c r="BJ927" s="62"/>
      <c r="BK927" s="62" t="s">
        <v>276</v>
      </c>
      <c r="BL927" s="62"/>
      <c r="BM927" s="62"/>
      <c r="BN927" s="83">
        <f t="shared" si="68"/>
        <v>12.057599999999999</v>
      </c>
      <c r="BO927" s="83"/>
      <c r="BP927" s="83"/>
      <c r="BQ927" s="83"/>
      <c r="BR927" s="84">
        <v>28</v>
      </c>
      <c r="BS927" s="84"/>
      <c r="BT927" s="84"/>
      <c r="BU927" s="84"/>
      <c r="BV927" s="84"/>
      <c r="BW927" s="84"/>
      <c r="BX927" s="85">
        <f t="shared" si="69"/>
        <v>337.61279999999999</v>
      </c>
      <c r="BY927" s="85"/>
      <c r="BZ927" s="85"/>
      <c r="CA927" s="85"/>
      <c r="CB927" s="86"/>
    </row>
    <row r="928" spans="2:80" x14ac:dyDescent="0.2">
      <c r="B928" s="71" t="s">
        <v>476</v>
      </c>
      <c r="C928" s="72"/>
      <c r="D928" s="72"/>
      <c r="E928" s="72"/>
      <c r="F928" s="72"/>
      <c r="G928" s="72"/>
      <c r="H928" s="72"/>
      <c r="I928" s="72"/>
      <c r="J928" s="72"/>
      <c r="K928" s="72"/>
      <c r="L928" s="72"/>
      <c r="M928" s="72"/>
      <c r="N928" s="72"/>
      <c r="O928" s="13" t="s">
        <v>271</v>
      </c>
      <c r="P928" s="73">
        <v>80</v>
      </c>
      <c r="Q928" s="73"/>
      <c r="R928" s="11" t="s">
        <v>272</v>
      </c>
      <c r="S928" s="11"/>
      <c r="T928" s="11" t="s">
        <v>273</v>
      </c>
      <c r="U928" s="73">
        <v>80</v>
      </c>
      <c r="V928" s="73"/>
      <c r="W928" s="11" t="s">
        <v>272</v>
      </c>
      <c r="X928" s="11"/>
      <c r="Y928" s="11" t="s">
        <v>274</v>
      </c>
      <c r="Z928" s="73">
        <v>5</v>
      </c>
      <c r="AA928" s="73"/>
      <c r="AB928" s="11" t="s">
        <v>272</v>
      </c>
      <c r="AC928" s="11"/>
      <c r="AD928" s="11"/>
      <c r="AE928" s="11"/>
      <c r="AF928" s="11"/>
      <c r="AG928" s="11"/>
      <c r="AH928" s="11"/>
      <c r="AI928" s="11"/>
      <c r="AJ928" s="11"/>
      <c r="AK928" s="11"/>
      <c r="AL928" s="11"/>
      <c r="AM928" s="11"/>
      <c r="AN928" s="11"/>
      <c r="AO928" s="11"/>
      <c r="AP928" s="11"/>
      <c r="AQ928" s="11"/>
      <c r="AR928" s="11"/>
      <c r="AS928" s="11"/>
      <c r="AT928" s="11"/>
      <c r="AU928" s="11"/>
      <c r="AV928" s="11"/>
      <c r="AW928" s="11"/>
      <c r="AX928" s="11"/>
      <c r="AY928" s="11"/>
      <c r="AZ928" s="11"/>
      <c r="BA928" s="12"/>
      <c r="BB928" s="63" t="s">
        <v>276</v>
      </c>
      <c r="BC928" s="63"/>
      <c r="BD928" s="63"/>
      <c r="BE928" s="63" cm="1">
        <f t="array" ref="BE928">INDEX(BO795:BO805,MATCH(C816,BM795:BM805,0),0)*2*3*2</f>
        <v>48</v>
      </c>
      <c r="BF928" s="63"/>
      <c r="BG928" s="63"/>
      <c r="BH928" s="62" t="s">
        <v>276</v>
      </c>
      <c r="BI928" s="62"/>
      <c r="BJ928" s="62"/>
      <c r="BK928" s="62" t="s">
        <v>276</v>
      </c>
      <c r="BL928" s="62"/>
      <c r="BM928" s="62"/>
      <c r="BN928" s="83">
        <f t="shared" si="68"/>
        <v>12.057599999999999</v>
      </c>
      <c r="BO928" s="83"/>
      <c r="BP928" s="83"/>
      <c r="BQ928" s="83"/>
      <c r="BR928" s="84">
        <v>28</v>
      </c>
      <c r="BS928" s="84"/>
      <c r="BT928" s="84"/>
      <c r="BU928" s="84"/>
      <c r="BV928" s="84"/>
      <c r="BW928" s="84"/>
      <c r="BX928" s="85">
        <f t="shared" si="69"/>
        <v>337.61279999999999</v>
      </c>
      <c r="BY928" s="85"/>
      <c r="BZ928" s="85"/>
      <c r="CA928" s="85"/>
      <c r="CB928" s="86"/>
    </row>
    <row r="929" spans="2:80" x14ac:dyDescent="0.2">
      <c r="B929" s="71" t="s">
        <v>477</v>
      </c>
      <c r="C929" s="72"/>
      <c r="D929" s="72"/>
      <c r="E929" s="72"/>
      <c r="F929" s="72"/>
      <c r="G929" s="72"/>
      <c r="H929" s="72"/>
      <c r="I929" s="72"/>
      <c r="J929" s="72"/>
      <c r="K929" s="72"/>
      <c r="L929" s="72"/>
      <c r="M929" s="72"/>
      <c r="N929" s="72"/>
      <c r="O929" s="13" t="s">
        <v>271</v>
      </c>
      <c r="P929" s="73">
        <v>80</v>
      </c>
      <c r="Q929" s="73"/>
      <c r="R929" s="11" t="s">
        <v>272</v>
      </c>
      <c r="S929" s="11"/>
      <c r="T929" s="11" t="s">
        <v>273</v>
      </c>
      <c r="U929" s="73">
        <v>80</v>
      </c>
      <c r="V929" s="73"/>
      <c r="W929" s="11" t="s">
        <v>272</v>
      </c>
      <c r="X929" s="11"/>
      <c r="Y929" s="11" t="s">
        <v>274</v>
      </c>
      <c r="Z929" s="73">
        <v>5</v>
      </c>
      <c r="AA929" s="73"/>
      <c r="AB929" s="11" t="s">
        <v>272</v>
      </c>
      <c r="AC929" s="11"/>
      <c r="AD929" s="11"/>
      <c r="AE929" s="11"/>
      <c r="AF929" s="11"/>
      <c r="AG929" s="11"/>
      <c r="AH929" s="11"/>
      <c r="AI929" s="11"/>
      <c r="AJ929" s="11"/>
      <c r="AK929" s="11"/>
      <c r="AL929" s="11"/>
      <c r="AM929" s="11"/>
      <c r="AN929" s="11"/>
      <c r="AO929" s="11"/>
      <c r="AP929" s="11"/>
      <c r="AQ929" s="11"/>
      <c r="AR929" s="11"/>
      <c r="AS929" s="11"/>
      <c r="AT929" s="11"/>
      <c r="AU929" s="11"/>
      <c r="AV929" s="11"/>
      <c r="AW929" s="11"/>
      <c r="AX929" s="11"/>
      <c r="AY929" s="11"/>
      <c r="AZ929" s="11"/>
      <c r="BA929" s="12"/>
      <c r="BB929" s="63" t="s">
        <v>276</v>
      </c>
      <c r="BC929" s="63"/>
      <c r="BD929" s="63"/>
      <c r="BE929" s="63">
        <f>24*2+4*2</f>
        <v>56</v>
      </c>
      <c r="BF929" s="63"/>
      <c r="BG929" s="63"/>
      <c r="BH929" s="62" t="s">
        <v>276</v>
      </c>
      <c r="BI929" s="62"/>
      <c r="BJ929" s="62"/>
      <c r="BK929" s="62" t="s">
        <v>276</v>
      </c>
      <c r="BL929" s="62"/>
      <c r="BM929" s="62"/>
      <c r="BN929" s="83">
        <f t="shared" si="68"/>
        <v>14.0672</v>
      </c>
      <c r="BO929" s="83"/>
      <c r="BP929" s="83"/>
      <c r="BQ929" s="83"/>
      <c r="BR929" s="84">
        <v>28</v>
      </c>
      <c r="BS929" s="84"/>
      <c r="BT929" s="84"/>
      <c r="BU929" s="84"/>
      <c r="BV929" s="84"/>
      <c r="BW929" s="84"/>
      <c r="BX929" s="85">
        <f t="shared" si="69"/>
        <v>393.88159999999999</v>
      </c>
      <c r="BY929" s="85"/>
      <c r="BZ929" s="85"/>
      <c r="CA929" s="85"/>
      <c r="CB929" s="86"/>
    </row>
    <row r="930" spans="2:80" x14ac:dyDescent="0.2">
      <c r="B930" s="71" t="s">
        <v>560</v>
      </c>
      <c r="C930" s="72"/>
      <c r="D930" s="72"/>
      <c r="E930" s="72"/>
      <c r="F930" s="72"/>
      <c r="G930" s="72"/>
      <c r="H930" s="72"/>
      <c r="I930" s="72"/>
      <c r="J930" s="72"/>
      <c r="K930" s="72"/>
      <c r="L930" s="72"/>
      <c r="M930" s="72"/>
      <c r="N930" s="72"/>
      <c r="O930" s="13" t="s">
        <v>271</v>
      </c>
      <c r="P930" s="73">
        <v>800</v>
      </c>
      <c r="Q930" s="73"/>
      <c r="R930" s="11" t="s">
        <v>272</v>
      </c>
      <c r="S930" s="11"/>
      <c r="T930" s="11" t="s">
        <v>273</v>
      </c>
      <c r="U930" s="73">
        <v>250</v>
      </c>
      <c r="V930" s="73"/>
      <c r="W930" s="11" t="s">
        <v>272</v>
      </c>
      <c r="X930" s="11"/>
      <c r="Y930" s="11" t="s">
        <v>274</v>
      </c>
      <c r="Z930" s="73">
        <v>15</v>
      </c>
      <c r="AA930" s="73"/>
      <c r="AB930" s="11" t="s">
        <v>272</v>
      </c>
      <c r="AC930" s="11"/>
      <c r="AD930" s="11"/>
      <c r="AE930" s="11"/>
      <c r="AF930" s="11"/>
      <c r="AG930" s="11" t="s">
        <v>282</v>
      </c>
      <c r="AH930" s="11"/>
      <c r="AI930" s="11"/>
      <c r="AJ930" s="11"/>
      <c r="AK930" s="11"/>
      <c r="AL930" s="11"/>
      <c r="AM930" s="73">
        <v>2</v>
      </c>
      <c r="AN930" s="73"/>
      <c r="AO930" s="11" t="s">
        <v>433</v>
      </c>
      <c r="AP930" s="11"/>
      <c r="AQ930" s="11"/>
      <c r="AR930" s="11"/>
      <c r="AS930" s="11"/>
      <c r="AT930" s="11"/>
      <c r="AU930" s="11"/>
      <c r="AV930" s="11"/>
      <c r="AW930" s="11"/>
      <c r="AX930" s="11"/>
      <c r="AY930" s="11"/>
      <c r="AZ930" s="11"/>
      <c r="BA930" s="12"/>
      <c r="BB930" s="63" t="s">
        <v>276</v>
      </c>
      <c r="BC930" s="63"/>
      <c r="BD930" s="63"/>
      <c r="BE930" s="63">
        <f>(BE919+BE920)*AM930</f>
        <v>56</v>
      </c>
      <c r="BF930" s="63"/>
      <c r="BG930" s="63"/>
      <c r="BH930" s="62" t="s">
        <v>276</v>
      </c>
      <c r="BI930" s="62"/>
      <c r="BJ930" s="62"/>
      <c r="BK930" s="62" t="s">
        <v>276</v>
      </c>
      <c r="BL930" s="62"/>
      <c r="BM930" s="62"/>
      <c r="BN930" s="83">
        <f t="shared" si="68"/>
        <v>1318.8</v>
      </c>
      <c r="BO930" s="83"/>
      <c r="BP930" s="83"/>
      <c r="BQ930" s="83"/>
      <c r="BR930" s="84">
        <v>28</v>
      </c>
      <c r="BS930" s="84"/>
      <c r="BT930" s="84"/>
      <c r="BU930" s="84"/>
      <c r="BV930" s="84"/>
      <c r="BW930" s="84"/>
      <c r="BX930" s="85">
        <f t="shared" si="69"/>
        <v>36926.400000000001</v>
      </c>
      <c r="BY930" s="85"/>
      <c r="BZ930" s="85"/>
      <c r="CA930" s="85"/>
      <c r="CB930" s="86"/>
    </row>
    <row r="931" spans="2:80" x14ac:dyDescent="0.2">
      <c r="B931" s="71" t="s">
        <v>441</v>
      </c>
      <c r="C931" s="72"/>
      <c r="D931" s="72"/>
      <c r="E931" s="72"/>
      <c r="F931" s="72"/>
      <c r="G931" s="72"/>
      <c r="H931" s="72"/>
      <c r="I931" s="72"/>
      <c r="J931" s="72"/>
      <c r="K931" s="72"/>
      <c r="L931" s="72"/>
      <c r="M931" s="72"/>
      <c r="N931" s="72"/>
      <c r="O931" s="13" t="s">
        <v>278</v>
      </c>
      <c r="P931" s="73">
        <v>16</v>
      </c>
      <c r="Q931" s="73"/>
      <c r="R931" s="11"/>
      <c r="S931" s="11" t="s">
        <v>282</v>
      </c>
      <c r="T931" s="11"/>
      <c r="U931" s="11"/>
      <c r="V931" s="11"/>
      <c r="W931" s="11"/>
      <c r="X931" s="11"/>
      <c r="Y931" s="73">
        <v>3</v>
      </c>
      <c r="Z931" s="73"/>
      <c r="AA931" s="11" t="s">
        <v>433</v>
      </c>
      <c r="AB931" s="11"/>
      <c r="AC931" s="11"/>
      <c r="AD931" s="11"/>
      <c r="AE931" s="11"/>
      <c r="AF931" s="11"/>
      <c r="AG931" s="11"/>
      <c r="AH931" s="11"/>
      <c r="AI931" s="11"/>
      <c r="AJ931" s="11"/>
      <c r="AK931" s="11"/>
      <c r="AL931" s="11"/>
      <c r="AM931" s="11"/>
      <c r="AN931" s="11"/>
      <c r="AO931" s="11"/>
      <c r="AP931" s="11"/>
      <c r="AQ931" s="11"/>
      <c r="AR931" s="11"/>
      <c r="AS931" s="11"/>
      <c r="AT931" s="11"/>
      <c r="AU931" s="11"/>
      <c r="AV931" s="11"/>
      <c r="AW931" s="11"/>
      <c r="AX931" s="11"/>
      <c r="AY931" s="11"/>
      <c r="AZ931" s="11"/>
      <c r="BA931" s="12"/>
      <c r="BB931" s="63" t="s">
        <v>276</v>
      </c>
      <c r="BC931" s="63"/>
      <c r="BD931" s="63"/>
      <c r="BE931" s="63">
        <f>BK790*2*(C816+1)*Y931</f>
        <v>2256</v>
      </c>
      <c r="BF931" s="63"/>
      <c r="BG931" s="63"/>
      <c r="BH931" s="62" t="s">
        <v>276</v>
      </c>
      <c r="BI931" s="62"/>
      <c r="BJ931" s="62"/>
      <c r="BK931" s="62" t="s">
        <v>276</v>
      </c>
      <c r="BL931" s="62"/>
      <c r="BM931" s="62"/>
      <c r="BN931" s="63" t="s">
        <v>276</v>
      </c>
      <c r="BO931" s="63"/>
      <c r="BP931" s="63"/>
      <c r="BQ931" s="63"/>
      <c r="BR931" s="64">
        <v>105</v>
      </c>
      <c r="BS931" s="64"/>
      <c r="BT931" s="64"/>
      <c r="BU931" s="64"/>
      <c r="BV931" s="64"/>
      <c r="BW931" s="64"/>
      <c r="BX931" s="65">
        <f t="shared" ref="BX931:BX940" si="70">BR931*BE931</f>
        <v>236880</v>
      </c>
      <c r="BY931" s="65"/>
      <c r="BZ931" s="65"/>
      <c r="CA931" s="65"/>
      <c r="CB931" s="66"/>
    </row>
    <row r="932" spans="2:80" x14ac:dyDescent="0.2">
      <c r="B932" s="71" t="s">
        <v>481</v>
      </c>
      <c r="C932" s="72"/>
      <c r="D932" s="72"/>
      <c r="E932" s="72"/>
      <c r="F932" s="72"/>
      <c r="G932" s="72"/>
      <c r="H932" s="72"/>
      <c r="I932" s="72"/>
      <c r="J932" s="72"/>
      <c r="K932" s="72"/>
      <c r="L932" s="72"/>
      <c r="M932" s="72"/>
      <c r="N932" s="72"/>
      <c r="O932" s="13" t="s">
        <v>278</v>
      </c>
      <c r="P932" s="73">
        <v>16</v>
      </c>
      <c r="Q932" s="73"/>
      <c r="R932" s="11"/>
      <c r="S932" s="11" t="s">
        <v>282</v>
      </c>
      <c r="T932" s="11"/>
      <c r="U932" s="11"/>
      <c r="V932" s="11"/>
      <c r="W932" s="11"/>
      <c r="X932" s="11"/>
      <c r="Y932" s="73">
        <v>2</v>
      </c>
      <c r="Z932" s="73"/>
      <c r="AA932" s="11" t="s">
        <v>433</v>
      </c>
      <c r="AB932" s="11"/>
      <c r="AC932" s="11"/>
      <c r="AD932" s="11"/>
      <c r="AE932" s="11"/>
      <c r="AF932" s="11"/>
      <c r="AG932" s="11"/>
      <c r="AH932" s="11"/>
      <c r="AI932" s="11"/>
      <c r="AJ932" s="11"/>
      <c r="AK932" s="11"/>
      <c r="AL932" s="11"/>
      <c r="AM932" s="11"/>
      <c r="AN932" s="11"/>
      <c r="AO932" s="11"/>
      <c r="AP932" s="11"/>
      <c r="AQ932" s="11"/>
      <c r="AR932" s="11"/>
      <c r="AS932" s="11"/>
      <c r="AT932" s="11"/>
      <c r="AU932" s="11"/>
      <c r="AV932" s="11"/>
      <c r="AW932" s="11"/>
      <c r="AX932" s="11"/>
      <c r="AY932" s="11"/>
      <c r="AZ932" s="11"/>
      <c r="BA932" s="12"/>
      <c r="BB932" s="63" t="s">
        <v>276</v>
      </c>
      <c r="BC932" s="63"/>
      <c r="BD932" s="63"/>
      <c r="BE932" s="63" cm="1">
        <f t="array" ref="BE932">((C816)*4+INDEX(BN795:BN805,MATCH(C816,BM795:BM805,0),0)*4)*2*Y932</f>
        <v>160</v>
      </c>
      <c r="BF932" s="63"/>
      <c r="BG932" s="63"/>
      <c r="BH932" s="62" t="s">
        <v>276</v>
      </c>
      <c r="BI932" s="62"/>
      <c r="BJ932" s="62"/>
      <c r="BK932" s="62" t="s">
        <v>276</v>
      </c>
      <c r="BL932" s="62"/>
      <c r="BM932" s="62"/>
      <c r="BN932" s="63" t="s">
        <v>276</v>
      </c>
      <c r="BO932" s="63"/>
      <c r="BP932" s="63"/>
      <c r="BQ932" s="63"/>
      <c r="BR932" s="64">
        <v>105</v>
      </c>
      <c r="BS932" s="64"/>
      <c r="BT932" s="64"/>
      <c r="BU932" s="64"/>
      <c r="BV932" s="64"/>
      <c r="BW932" s="64"/>
      <c r="BX932" s="65">
        <f t="shared" si="70"/>
        <v>16800</v>
      </c>
      <c r="BY932" s="65"/>
      <c r="BZ932" s="65"/>
      <c r="CA932" s="65"/>
      <c r="CB932" s="66"/>
    </row>
    <row r="933" spans="2:80" x14ac:dyDescent="0.2">
      <c r="B933" s="71" t="s">
        <v>474</v>
      </c>
      <c r="C933" s="72"/>
      <c r="D933" s="72"/>
      <c r="E933" s="72"/>
      <c r="F933" s="72"/>
      <c r="G933" s="72"/>
      <c r="H933" s="72"/>
      <c r="I933" s="72"/>
      <c r="J933" s="72"/>
      <c r="K933" s="72"/>
      <c r="L933" s="72"/>
      <c r="M933" s="72"/>
      <c r="N933" s="72"/>
      <c r="O933" s="13" t="s">
        <v>278</v>
      </c>
      <c r="P933" s="73">
        <v>12</v>
      </c>
      <c r="Q933" s="73"/>
      <c r="R933" s="11"/>
      <c r="S933" s="11" t="s">
        <v>282</v>
      </c>
      <c r="T933" s="11"/>
      <c r="U933" s="11"/>
      <c r="V933" s="11"/>
      <c r="W933" s="11"/>
      <c r="X933" s="11"/>
      <c r="Y933" s="73">
        <v>2</v>
      </c>
      <c r="Z933" s="73"/>
      <c r="AA933" s="11" t="s">
        <v>433</v>
      </c>
      <c r="AB933" s="11"/>
      <c r="AC933" s="11"/>
      <c r="AD933" s="11"/>
      <c r="AE933" s="11"/>
      <c r="AF933" s="11"/>
      <c r="AG933" s="11"/>
      <c r="AH933" s="11"/>
      <c r="AI933" s="11"/>
      <c r="AJ933" s="11"/>
      <c r="AK933" s="11"/>
      <c r="AL933" s="11"/>
      <c r="AM933" s="11"/>
      <c r="AN933" s="11"/>
      <c r="AO933" s="11"/>
      <c r="AP933" s="11"/>
      <c r="AQ933" s="11"/>
      <c r="AR933" s="11"/>
      <c r="AS933" s="11"/>
      <c r="AT933" s="11"/>
      <c r="AU933" s="11"/>
      <c r="AV933" s="11"/>
      <c r="AW933" s="11"/>
      <c r="AX933" s="11"/>
      <c r="AY933" s="11"/>
      <c r="AZ933" s="11"/>
      <c r="BA933" s="12"/>
      <c r="BB933" s="63" t="s">
        <v>276</v>
      </c>
      <c r="BC933" s="63"/>
      <c r="BD933" s="63"/>
      <c r="BE933" s="63">
        <f>(C816+1)*AL798*Y933</f>
        <v>224</v>
      </c>
      <c r="BF933" s="63"/>
      <c r="BG933" s="63"/>
      <c r="BH933" s="62" t="s">
        <v>276</v>
      </c>
      <c r="BI933" s="62"/>
      <c r="BJ933" s="62"/>
      <c r="BK933" s="62" t="s">
        <v>276</v>
      </c>
      <c r="BL933" s="62"/>
      <c r="BM933" s="62"/>
      <c r="BN933" s="63" t="s">
        <v>276</v>
      </c>
      <c r="BO933" s="63"/>
      <c r="BP933" s="63"/>
      <c r="BQ933" s="63"/>
      <c r="BR933" s="64">
        <v>105</v>
      </c>
      <c r="BS933" s="64"/>
      <c r="BT933" s="64"/>
      <c r="BU933" s="64"/>
      <c r="BV933" s="64"/>
      <c r="BW933" s="64"/>
      <c r="BX933" s="65">
        <f t="shared" si="70"/>
        <v>23520</v>
      </c>
      <c r="BY933" s="65"/>
      <c r="BZ933" s="65"/>
      <c r="CA933" s="65"/>
      <c r="CB933" s="66"/>
    </row>
    <row r="934" spans="2:80" x14ac:dyDescent="0.2">
      <c r="B934" s="71" t="s">
        <v>568</v>
      </c>
      <c r="C934" s="72"/>
      <c r="D934" s="72"/>
      <c r="E934" s="72"/>
      <c r="F934" s="72"/>
      <c r="G934" s="72"/>
      <c r="H934" s="72"/>
      <c r="I934" s="72"/>
      <c r="J934" s="72"/>
      <c r="K934" s="72"/>
      <c r="L934" s="72"/>
      <c r="M934" s="72"/>
      <c r="N934" s="72"/>
      <c r="O934" s="13" t="s">
        <v>278</v>
      </c>
      <c r="P934" s="73">
        <v>16</v>
      </c>
      <c r="Q934" s="73"/>
      <c r="R934" s="11"/>
      <c r="S934" s="11" t="s">
        <v>282</v>
      </c>
      <c r="T934" s="11"/>
      <c r="U934" s="11"/>
      <c r="V934" s="11"/>
      <c r="W934" s="11"/>
      <c r="X934" s="11"/>
      <c r="Y934" s="73">
        <v>4</v>
      </c>
      <c r="Z934" s="73"/>
      <c r="AA934" s="11" t="s">
        <v>433</v>
      </c>
      <c r="AB934" s="11"/>
      <c r="AC934" s="11"/>
      <c r="AD934" s="11"/>
      <c r="AE934" s="11"/>
      <c r="AF934" s="11"/>
      <c r="AG934" s="11"/>
      <c r="AH934" s="11"/>
      <c r="AI934" s="11"/>
      <c r="AJ934" s="11"/>
      <c r="AK934" s="11"/>
      <c r="AL934" s="11"/>
      <c r="AM934" s="11"/>
      <c r="AN934" s="11"/>
      <c r="AO934" s="11"/>
      <c r="AP934" s="11"/>
      <c r="AQ934" s="11"/>
      <c r="AR934" s="11"/>
      <c r="AS934" s="11"/>
      <c r="AT934" s="11"/>
      <c r="AU934" s="11"/>
      <c r="AV934" s="11"/>
      <c r="AW934" s="11"/>
      <c r="AX934" s="11"/>
      <c r="AY934" s="11"/>
      <c r="AZ934" s="11"/>
      <c r="BA934" s="12"/>
      <c r="BB934" s="63" t="s">
        <v>276</v>
      </c>
      <c r="BC934" s="63"/>
      <c r="BD934" s="63"/>
      <c r="BE934" s="63" cm="1">
        <f t="array" ref="BE934">INDEX(BN795:BN805,MATCH(C816,BM795:BM805,0),0)*4*3*2*Y934</f>
        <v>288</v>
      </c>
      <c r="BF934" s="63"/>
      <c r="BG934" s="63"/>
      <c r="BH934" s="62" t="s">
        <v>276</v>
      </c>
      <c r="BI934" s="62"/>
      <c r="BJ934" s="62"/>
      <c r="BK934" s="62" t="s">
        <v>276</v>
      </c>
      <c r="BL934" s="62"/>
      <c r="BM934" s="62"/>
      <c r="BN934" s="63" t="s">
        <v>276</v>
      </c>
      <c r="BO934" s="63"/>
      <c r="BP934" s="63"/>
      <c r="BQ934" s="63"/>
      <c r="BR934" s="64">
        <v>105</v>
      </c>
      <c r="BS934" s="64"/>
      <c r="BT934" s="64"/>
      <c r="BU934" s="64"/>
      <c r="BV934" s="64"/>
      <c r="BW934" s="64"/>
      <c r="BX934" s="65">
        <f t="shared" si="70"/>
        <v>30240</v>
      </c>
      <c r="BY934" s="65"/>
      <c r="BZ934" s="65"/>
      <c r="CA934" s="65"/>
      <c r="CB934" s="66"/>
    </row>
    <row r="935" spans="2:80" x14ac:dyDescent="0.2">
      <c r="B935" s="71" t="s">
        <v>569</v>
      </c>
      <c r="C935" s="72"/>
      <c r="D935" s="72"/>
      <c r="E935" s="72"/>
      <c r="F935" s="72"/>
      <c r="G935" s="72"/>
      <c r="H935" s="72"/>
      <c r="I935" s="72"/>
      <c r="J935" s="72"/>
      <c r="K935" s="72"/>
      <c r="L935" s="72"/>
      <c r="M935" s="72"/>
      <c r="N935" s="72"/>
      <c r="O935" s="13" t="s">
        <v>278</v>
      </c>
      <c r="P935" s="73">
        <v>16</v>
      </c>
      <c r="Q935" s="73"/>
      <c r="R935" s="11"/>
      <c r="S935" s="11" t="s">
        <v>282</v>
      </c>
      <c r="T935" s="11"/>
      <c r="U935" s="11"/>
      <c r="V935" s="11"/>
      <c r="W935" s="11"/>
      <c r="X935" s="11"/>
      <c r="Y935" s="73">
        <v>4</v>
      </c>
      <c r="Z935" s="73"/>
      <c r="AA935" s="11" t="s">
        <v>433</v>
      </c>
      <c r="AB935" s="11"/>
      <c r="AC935" s="11"/>
      <c r="AD935" s="11"/>
      <c r="AE935" s="11"/>
      <c r="AF935" s="11"/>
      <c r="AG935" s="11"/>
      <c r="AH935" s="11"/>
      <c r="AI935" s="11"/>
      <c r="AJ935" s="11"/>
      <c r="AK935" s="11"/>
      <c r="AL935" s="11"/>
      <c r="AM935" s="11"/>
      <c r="AN935" s="11"/>
      <c r="AO935" s="11"/>
      <c r="AP935" s="11"/>
      <c r="AQ935" s="11"/>
      <c r="AR935" s="11"/>
      <c r="AS935" s="11"/>
      <c r="AT935" s="11"/>
      <c r="AU935" s="11"/>
      <c r="AV935" s="11"/>
      <c r="AW935" s="11"/>
      <c r="AX935" s="11"/>
      <c r="AY935" s="11"/>
      <c r="AZ935" s="11"/>
      <c r="BA935" s="12"/>
      <c r="BB935" s="63" t="s">
        <v>276</v>
      </c>
      <c r="BC935" s="63"/>
      <c r="BD935" s="63"/>
      <c r="BE935" s="63" cm="1">
        <f t="array" ref="BE935">INDEX(BN795:BN805,MATCH(C816,BM795:BM805,0),0)*2*3*2*Y935</f>
        <v>144</v>
      </c>
      <c r="BF935" s="63"/>
      <c r="BG935" s="63"/>
      <c r="BH935" s="62" t="s">
        <v>276</v>
      </c>
      <c r="BI935" s="62"/>
      <c r="BJ935" s="62"/>
      <c r="BK935" s="62" t="s">
        <v>276</v>
      </c>
      <c r="BL935" s="62"/>
      <c r="BM935" s="62"/>
      <c r="BN935" s="63" t="s">
        <v>276</v>
      </c>
      <c r="BO935" s="63"/>
      <c r="BP935" s="63"/>
      <c r="BQ935" s="63"/>
      <c r="BR935" s="64">
        <v>105</v>
      </c>
      <c r="BS935" s="64"/>
      <c r="BT935" s="64"/>
      <c r="BU935" s="64"/>
      <c r="BV935" s="64"/>
      <c r="BW935" s="64"/>
      <c r="BX935" s="65">
        <f t="shared" si="70"/>
        <v>15120</v>
      </c>
      <c r="BY935" s="65"/>
      <c r="BZ935" s="65"/>
      <c r="CA935" s="65"/>
      <c r="CB935" s="66"/>
    </row>
    <row r="936" spans="2:80" x14ac:dyDescent="0.2">
      <c r="B936" s="71" t="s">
        <v>478</v>
      </c>
      <c r="C936" s="72"/>
      <c r="D936" s="72"/>
      <c r="E936" s="72"/>
      <c r="F936" s="72"/>
      <c r="G936" s="72"/>
      <c r="H936" s="72"/>
      <c r="I936" s="72"/>
      <c r="J936" s="72"/>
      <c r="K936" s="72"/>
      <c r="L936" s="72"/>
      <c r="M936" s="72"/>
      <c r="N936" s="72"/>
      <c r="O936" s="13" t="s">
        <v>278</v>
      </c>
      <c r="P936" s="73">
        <v>12</v>
      </c>
      <c r="Q936" s="73"/>
      <c r="R936" s="11"/>
      <c r="S936" s="11" t="s">
        <v>282</v>
      </c>
      <c r="T936" s="11"/>
      <c r="U936" s="11"/>
      <c r="V936" s="11"/>
      <c r="W936" s="11"/>
      <c r="X936" s="11"/>
      <c r="Y936" s="73">
        <v>4</v>
      </c>
      <c r="Z936" s="73"/>
      <c r="AA936" s="11" t="s">
        <v>433</v>
      </c>
      <c r="AB936" s="11"/>
      <c r="AC936" s="11"/>
      <c r="AD936" s="11"/>
      <c r="AE936" s="11"/>
      <c r="AF936" s="11"/>
      <c r="AG936" s="11"/>
      <c r="AH936" s="11"/>
      <c r="AI936" s="11"/>
      <c r="AJ936" s="11"/>
      <c r="AK936" s="11"/>
      <c r="AL936" s="11"/>
      <c r="AM936" s="11"/>
      <c r="AN936" s="11"/>
      <c r="AO936" s="11"/>
      <c r="AP936" s="11"/>
      <c r="AQ936" s="11"/>
      <c r="AR936" s="11"/>
      <c r="AS936" s="11"/>
      <c r="AT936" s="11"/>
      <c r="AU936" s="11"/>
      <c r="AV936" s="11"/>
      <c r="AW936" s="11"/>
      <c r="AX936" s="11"/>
      <c r="AY936" s="11"/>
      <c r="AZ936" s="11"/>
      <c r="BA936" s="12"/>
      <c r="BB936" s="63" t="s">
        <v>276</v>
      </c>
      <c r="BC936" s="63"/>
      <c r="BD936" s="63"/>
      <c r="BE936" s="63" cm="1">
        <f t="array" ref="BE936">INDEX(BO795:BO805,MATCH(C816,BM795:BM805,0),0)*2*3*2*Y936</f>
        <v>192</v>
      </c>
      <c r="BF936" s="63"/>
      <c r="BG936" s="63"/>
      <c r="BH936" s="62" t="s">
        <v>276</v>
      </c>
      <c r="BI936" s="62"/>
      <c r="BJ936" s="62"/>
      <c r="BK936" s="62" t="s">
        <v>276</v>
      </c>
      <c r="BL936" s="62"/>
      <c r="BM936" s="62"/>
      <c r="BN936" s="63" t="s">
        <v>276</v>
      </c>
      <c r="BO936" s="63"/>
      <c r="BP936" s="63"/>
      <c r="BQ936" s="63"/>
      <c r="BR936" s="64">
        <v>105</v>
      </c>
      <c r="BS936" s="64"/>
      <c r="BT936" s="64"/>
      <c r="BU936" s="64"/>
      <c r="BV936" s="64"/>
      <c r="BW936" s="64"/>
      <c r="BX936" s="65">
        <f t="shared" si="70"/>
        <v>20160</v>
      </c>
      <c r="BY936" s="65"/>
      <c r="BZ936" s="65"/>
      <c r="CA936" s="65"/>
      <c r="CB936" s="66"/>
    </row>
    <row r="937" spans="2:80" x14ac:dyDescent="0.2">
      <c r="B937" s="71" t="s">
        <v>479</v>
      </c>
      <c r="C937" s="72"/>
      <c r="D937" s="72"/>
      <c r="E937" s="72"/>
      <c r="F937" s="72"/>
      <c r="G937" s="72"/>
      <c r="H937" s="72"/>
      <c r="I937" s="72"/>
      <c r="J937" s="72"/>
      <c r="K937" s="72"/>
      <c r="L937" s="72"/>
      <c r="M937" s="72"/>
      <c r="N937" s="72"/>
      <c r="O937" s="13" t="s">
        <v>278</v>
      </c>
      <c r="P937" s="73">
        <v>12</v>
      </c>
      <c r="Q937" s="73"/>
      <c r="R937" s="11"/>
      <c r="S937" s="11" t="s">
        <v>282</v>
      </c>
      <c r="T937" s="11"/>
      <c r="U937" s="11"/>
      <c r="V937" s="11"/>
      <c r="W937" s="11"/>
      <c r="X937" s="11"/>
      <c r="Y937" s="73">
        <v>4</v>
      </c>
      <c r="Z937" s="73"/>
      <c r="AA937" s="11" t="s">
        <v>433</v>
      </c>
      <c r="AB937" s="11"/>
      <c r="AC937" s="11"/>
      <c r="AD937" s="11"/>
      <c r="AE937" s="11"/>
      <c r="AF937" s="11"/>
      <c r="AG937" s="11"/>
      <c r="AH937" s="11"/>
      <c r="AI937" s="11"/>
      <c r="AJ937" s="11"/>
      <c r="AK937" s="11"/>
      <c r="AL937" s="11"/>
      <c r="AM937" s="11"/>
      <c r="AN937" s="11"/>
      <c r="AO937" s="11"/>
      <c r="AP937" s="11"/>
      <c r="AQ937" s="11"/>
      <c r="AR937" s="11"/>
      <c r="AS937" s="11"/>
      <c r="AT937" s="11"/>
      <c r="AU937" s="11"/>
      <c r="AV937" s="11"/>
      <c r="AW937" s="11"/>
      <c r="AX937" s="11"/>
      <c r="AY937" s="11"/>
      <c r="AZ937" s="11"/>
      <c r="BA937" s="12"/>
      <c r="BB937" s="63" t="s">
        <v>276</v>
      </c>
      <c r="BC937" s="63"/>
      <c r="BD937" s="63"/>
      <c r="BE937" s="63">
        <f>(24*2+4*2)*Y937</f>
        <v>224</v>
      </c>
      <c r="BF937" s="63"/>
      <c r="BG937" s="63"/>
      <c r="BH937" s="62" t="s">
        <v>276</v>
      </c>
      <c r="BI937" s="62"/>
      <c r="BJ937" s="62"/>
      <c r="BK937" s="62" t="s">
        <v>276</v>
      </c>
      <c r="BL937" s="62"/>
      <c r="BM937" s="62"/>
      <c r="BN937" s="63" t="s">
        <v>276</v>
      </c>
      <c r="BO937" s="63"/>
      <c r="BP937" s="63"/>
      <c r="BQ937" s="63"/>
      <c r="BR937" s="64">
        <v>105</v>
      </c>
      <c r="BS937" s="64"/>
      <c r="BT937" s="64"/>
      <c r="BU937" s="64"/>
      <c r="BV937" s="64"/>
      <c r="BW937" s="64"/>
      <c r="BX937" s="65">
        <f t="shared" si="70"/>
        <v>23520</v>
      </c>
      <c r="BY937" s="65"/>
      <c r="BZ937" s="65"/>
      <c r="CA937" s="65"/>
      <c r="CB937" s="66"/>
    </row>
    <row r="938" spans="2:80" x14ac:dyDescent="0.2">
      <c r="B938" s="71" t="s">
        <v>462</v>
      </c>
      <c r="C938" s="72"/>
      <c r="D938" s="72"/>
      <c r="E938" s="72"/>
      <c r="F938" s="72"/>
      <c r="G938" s="72"/>
      <c r="H938" s="72"/>
      <c r="I938" s="72"/>
      <c r="J938" s="72"/>
      <c r="K938" s="72"/>
      <c r="L938" s="72"/>
      <c r="M938" s="72"/>
      <c r="N938" s="72"/>
      <c r="O938" s="13" t="s">
        <v>278</v>
      </c>
      <c r="P938" s="73">
        <v>12</v>
      </c>
      <c r="Q938" s="73"/>
      <c r="R938" s="11"/>
      <c r="S938" s="11" t="s">
        <v>282</v>
      </c>
      <c r="T938" s="11"/>
      <c r="U938" s="11"/>
      <c r="V938" s="11"/>
      <c r="W938" s="11"/>
      <c r="X938" s="11"/>
      <c r="Y938" s="73">
        <v>2</v>
      </c>
      <c r="Z938" s="73"/>
      <c r="AA938" s="11" t="s">
        <v>433</v>
      </c>
      <c r="AB938" s="11"/>
      <c r="AC938" s="11"/>
      <c r="AD938" s="11"/>
      <c r="AE938" s="11"/>
      <c r="AF938" s="11"/>
      <c r="AG938" s="11"/>
      <c r="AH938" s="11"/>
      <c r="AI938" s="11"/>
      <c r="AJ938" s="11"/>
      <c r="AK938" s="11"/>
      <c r="AL938" s="11"/>
      <c r="AM938" s="11"/>
      <c r="AN938" s="11"/>
      <c r="AO938" s="11"/>
      <c r="AP938" s="11"/>
      <c r="AQ938" s="11"/>
      <c r="AR938" s="11"/>
      <c r="AS938" s="11"/>
      <c r="AT938" s="11"/>
      <c r="AU938" s="11"/>
      <c r="AV938" s="11"/>
      <c r="AW938" s="11"/>
      <c r="AX938" s="11"/>
      <c r="AY938" s="11"/>
      <c r="AZ938" s="11"/>
      <c r="BA938" s="12"/>
      <c r="BB938" s="63" t="s">
        <v>276</v>
      </c>
      <c r="BC938" s="63"/>
      <c r="BD938" s="63"/>
      <c r="BE938" s="63">
        <f>(29*2*2+7*2*2)*Y938</f>
        <v>288</v>
      </c>
      <c r="BF938" s="63"/>
      <c r="BG938" s="63"/>
      <c r="BH938" s="62" t="s">
        <v>276</v>
      </c>
      <c r="BI938" s="62"/>
      <c r="BJ938" s="62"/>
      <c r="BK938" s="62" t="s">
        <v>276</v>
      </c>
      <c r="BL938" s="62"/>
      <c r="BM938" s="62"/>
      <c r="BN938" s="63" t="s">
        <v>276</v>
      </c>
      <c r="BO938" s="63"/>
      <c r="BP938" s="63"/>
      <c r="BQ938" s="63"/>
      <c r="BR938" s="64">
        <v>105</v>
      </c>
      <c r="BS938" s="64"/>
      <c r="BT938" s="64"/>
      <c r="BU938" s="64"/>
      <c r="BV938" s="64"/>
      <c r="BW938" s="64"/>
      <c r="BX938" s="65">
        <f t="shared" si="70"/>
        <v>30240</v>
      </c>
      <c r="BY938" s="65"/>
      <c r="BZ938" s="65"/>
      <c r="CA938" s="65"/>
      <c r="CB938" s="66"/>
    </row>
    <row r="939" spans="2:80" x14ac:dyDescent="0.2">
      <c r="B939" s="71" t="s">
        <v>299</v>
      </c>
      <c r="C939" s="72"/>
      <c r="D939" s="72"/>
      <c r="E939" s="72"/>
      <c r="F939" s="72"/>
      <c r="G939" s="72"/>
      <c r="H939" s="72"/>
      <c r="I939" s="72"/>
      <c r="J939" s="72"/>
      <c r="K939" s="72"/>
      <c r="L939" s="72"/>
      <c r="M939" s="72"/>
      <c r="N939" s="72"/>
      <c r="O939" s="111">
        <v>22</v>
      </c>
      <c r="P939" s="112"/>
      <c r="Q939" s="11" t="s">
        <v>272</v>
      </c>
      <c r="R939" s="11"/>
      <c r="S939" s="11" t="s">
        <v>282</v>
      </c>
      <c r="T939" s="11"/>
      <c r="U939" s="11"/>
      <c r="V939" s="11"/>
      <c r="W939" s="11"/>
      <c r="X939" s="11"/>
      <c r="Y939" s="73">
        <v>8</v>
      </c>
      <c r="Z939" s="73"/>
      <c r="AA939" s="11" t="s">
        <v>433</v>
      </c>
      <c r="AB939" s="11"/>
      <c r="AC939" s="11"/>
      <c r="AD939" s="11"/>
      <c r="AE939" s="11"/>
      <c r="AF939" s="11"/>
      <c r="AG939" s="11"/>
      <c r="AH939" s="11"/>
      <c r="AI939" s="11"/>
      <c r="AJ939" s="11"/>
      <c r="AK939" s="11"/>
      <c r="AL939" s="11"/>
      <c r="AM939" s="11"/>
      <c r="AN939" s="11"/>
      <c r="AO939" s="11"/>
      <c r="AP939" s="11"/>
      <c r="AQ939" s="11"/>
      <c r="AR939" s="11"/>
      <c r="AS939" s="11"/>
      <c r="AT939" s="11"/>
      <c r="AU939" s="11"/>
      <c r="AV939" s="11"/>
      <c r="AW939" s="11"/>
      <c r="AX939" s="11"/>
      <c r="AY939" s="11"/>
      <c r="AZ939" s="11"/>
      <c r="BA939" s="12"/>
      <c r="BB939" s="63" t="s">
        <v>276</v>
      </c>
      <c r="BC939" s="63"/>
      <c r="BD939" s="63"/>
      <c r="BE939" s="63">
        <f>+BE902*Y939</f>
        <v>128</v>
      </c>
      <c r="BF939" s="63"/>
      <c r="BG939" s="63"/>
      <c r="BH939" s="62" t="s">
        <v>276</v>
      </c>
      <c r="BI939" s="62"/>
      <c r="BJ939" s="62"/>
      <c r="BK939" s="62" t="s">
        <v>276</v>
      </c>
      <c r="BL939" s="62"/>
      <c r="BM939" s="62"/>
      <c r="BN939" s="63" t="s">
        <v>276</v>
      </c>
      <c r="BO939" s="63"/>
      <c r="BP939" s="63"/>
      <c r="BQ939" s="63"/>
      <c r="BR939" s="64">
        <v>1800</v>
      </c>
      <c r="BS939" s="64"/>
      <c r="BT939" s="64"/>
      <c r="BU939" s="64"/>
      <c r="BV939" s="64"/>
      <c r="BW939" s="64"/>
      <c r="BX939" s="65">
        <f t="shared" si="70"/>
        <v>230400</v>
      </c>
      <c r="BY939" s="65"/>
      <c r="BZ939" s="65"/>
      <c r="CA939" s="65"/>
      <c r="CB939" s="66"/>
    </row>
    <row r="940" spans="2:80" x14ac:dyDescent="0.2">
      <c r="B940" s="71" t="s">
        <v>443</v>
      </c>
      <c r="C940" s="72"/>
      <c r="D940" s="72"/>
      <c r="E940" s="72"/>
      <c r="F940" s="72"/>
      <c r="G940" s="72"/>
      <c r="H940" s="72"/>
      <c r="I940" s="72"/>
      <c r="J940" s="72"/>
      <c r="K940" s="72"/>
      <c r="L940" s="72"/>
      <c r="M940" s="72"/>
      <c r="N940" s="72"/>
      <c r="O940" s="111">
        <v>20</v>
      </c>
      <c r="P940" s="112"/>
      <c r="Q940" s="11" t="s">
        <v>272</v>
      </c>
      <c r="R940" s="11"/>
      <c r="S940" s="11" t="s">
        <v>282</v>
      </c>
      <c r="T940" s="11"/>
      <c r="U940" s="11"/>
      <c r="V940" s="11"/>
      <c r="W940" s="11"/>
      <c r="X940" s="11"/>
      <c r="Y940" s="73">
        <v>2</v>
      </c>
      <c r="Z940" s="73"/>
      <c r="AA940" s="11" t="s">
        <v>433</v>
      </c>
      <c r="AB940" s="11"/>
      <c r="AC940" s="11"/>
      <c r="AD940" s="11"/>
      <c r="AE940" s="11"/>
      <c r="AF940" s="11"/>
      <c r="AG940" s="11"/>
      <c r="AH940" s="11"/>
      <c r="AI940" s="11"/>
      <c r="AJ940" s="11"/>
      <c r="AK940" s="11"/>
      <c r="AL940" s="11"/>
      <c r="AM940" s="11"/>
      <c r="AN940" s="11"/>
      <c r="AO940" s="11"/>
      <c r="AP940" s="11"/>
      <c r="AQ940" s="11"/>
      <c r="AR940" s="11"/>
      <c r="AS940" s="11"/>
      <c r="AT940" s="11"/>
      <c r="AU940" s="11"/>
      <c r="AV940" s="11"/>
      <c r="AW940" s="11"/>
      <c r="AX940" s="11"/>
      <c r="AY940" s="11"/>
      <c r="AZ940" s="11"/>
      <c r="BA940" s="12"/>
      <c r="BB940" s="63" t="s">
        <v>276</v>
      </c>
      <c r="BC940" s="63"/>
      <c r="BD940" s="63"/>
      <c r="BE940" s="63">
        <f>12*Y940</f>
        <v>24</v>
      </c>
      <c r="BF940" s="63"/>
      <c r="BG940" s="63"/>
      <c r="BH940" s="62" t="s">
        <v>276</v>
      </c>
      <c r="BI940" s="62"/>
      <c r="BJ940" s="62"/>
      <c r="BK940" s="62" t="s">
        <v>276</v>
      </c>
      <c r="BL940" s="62"/>
      <c r="BM940" s="62"/>
      <c r="BN940" s="63" t="s">
        <v>276</v>
      </c>
      <c r="BO940" s="63"/>
      <c r="BP940" s="63"/>
      <c r="BQ940" s="63"/>
      <c r="BR940" s="64">
        <v>1500</v>
      </c>
      <c r="BS940" s="64"/>
      <c r="BT940" s="64"/>
      <c r="BU940" s="64"/>
      <c r="BV940" s="64"/>
      <c r="BW940" s="64"/>
      <c r="BX940" s="65">
        <f t="shared" si="70"/>
        <v>36000</v>
      </c>
      <c r="BY940" s="65"/>
      <c r="BZ940" s="65"/>
      <c r="CA940" s="65"/>
      <c r="CB940" s="66"/>
    </row>
    <row r="941" spans="2:80" x14ac:dyDescent="0.2">
      <c r="B941" s="71" t="s">
        <v>292</v>
      </c>
      <c r="C941" s="72"/>
      <c r="D941" s="72"/>
      <c r="E941" s="72"/>
      <c r="F941" s="72"/>
      <c r="G941" s="72"/>
      <c r="H941" s="72"/>
      <c r="I941" s="72"/>
      <c r="J941" s="72"/>
      <c r="K941" s="72"/>
      <c r="L941" s="72"/>
      <c r="M941" s="72"/>
      <c r="N941" s="72"/>
      <c r="O941" s="144" t="s">
        <v>464</v>
      </c>
      <c r="P941" s="145"/>
      <c r="Q941" s="145"/>
      <c r="R941" s="145"/>
      <c r="S941" s="145"/>
      <c r="T941" s="145"/>
      <c r="U941" s="11" t="s">
        <v>295</v>
      </c>
      <c r="V941" s="19"/>
      <c r="W941" s="61">
        <f>Z770*C806*2</f>
        <v>1013.0274626089857</v>
      </c>
      <c r="X941" s="61"/>
      <c r="Y941" s="61"/>
      <c r="Z941" s="11" t="s">
        <v>294</v>
      </c>
      <c r="AA941" s="11"/>
      <c r="AB941" s="11"/>
      <c r="AC941" s="11"/>
      <c r="AD941" s="11"/>
      <c r="AE941" s="11"/>
      <c r="AF941" s="11"/>
      <c r="AG941" s="11"/>
      <c r="AH941" s="11"/>
      <c r="AI941" s="11"/>
      <c r="AJ941" s="11"/>
      <c r="AK941" s="11"/>
      <c r="AL941" s="11"/>
      <c r="AM941" s="11"/>
      <c r="AN941" s="11"/>
      <c r="AO941" s="11"/>
      <c r="AP941" s="11"/>
      <c r="AQ941" s="11"/>
      <c r="AR941" s="11"/>
      <c r="AS941" s="11"/>
      <c r="AT941" s="11"/>
      <c r="AU941" s="11"/>
      <c r="AV941" s="11"/>
      <c r="AW941" s="11"/>
      <c r="AX941" s="11"/>
      <c r="AY941" s="11"/>
      <c r="AZ941" s="11"/>
      <c r="BA941" s="12"/>
      <c r="BB941" s="63" t="s">
        <v>276</v>
      </c>
      <c r="BC941" s="63"/>
      <c r="BD941" s="63"/>
      <c r="BE941" s="63">
        <v>1</v>
      </c>
      <c r="BF941" s="63"/>
      <c r="BG941" s="63"/>
      <c r="BH941" s="62" t="s">
        <v>276</v>
      </c>
      <c r="BI941" s="62"/>
      <c r="BJ941" s="62"/>
      <c r="BK941" s="62" t="s">
        <v>276</v>
      </c>
      <c r="BL941" s="62"/>
      <c r="BM941" s="62"/>
      <c r="BN941" s="63" t="s">
        <v>276</v>
      </c>
      <c r="BO941" s="63"/>
      <c r="BP941" s="63"/>
      <c r="BQ941" s="63"/>
      <c r="BR941" s="87">
        <v>200</v>
      </c>
      <c r="BS941" s="87"/>
      <c r="BT941" s="87"/>
      <c r="BU941" s="87"/>
      <c r="BV941" s="87"/>
      <c r="BW941" s="87"/>
      <c r="BX941" s="65">
        <f>W941*BR941*BE941</f>
        <v>202605.49252179713</v>
      </c>
      <c r="BY941" s="65"/>
      <c r="BZ941" s="65"/>
      <c r="CA941" s="65"/>
      <c r="CB941" s="66"/>
    </row>
    <row r="942" spans="2:80" x14ac:dyDescent="0.2">
      <c r="B942" s="71" t="s">
        <v>293</v>
      </c>
      <c r="C942" s="72"/>
      <c r="D942" s="72"/>
      <c r="E942" s="72"/>
      <c r="F942" s="72"/>
      <c r="G942" s="72"/>
      <c r="H942" s="72"/>
      <c r="I942" s="72"/>
      <c r="J942" s="72"/>
      <c r="K942" s="72"/>
      <c r="L942" s="72"/>
      <c r="M942" s="72"/>
      <c r="N942" s="72"/>
      <c r="O942" s="144" t="s">
        <v>465</v>
      </c>
      <c r="P942" s="145"/>
      <c r="Q942" s="145"/>
      <c r="R942" s="145"/>
      <c r="S942" s="145"/>
      <c r="T942" s="145"/>
      <c r="U942" s="11" t="s">
        <v>295</v>
      </c>
      <c r="V942" s="19"/>
      <c r="W942" s="61">
        <f>C806*E778*2+2*(E778*S786+S786*E772/2)-2*S846*AH841</f>
        <v>1044.8</v>
      </c>
      <c r="X942" s="61"/>
      <c r="Y942" s="61"/>
      <c r="Z942" s="11" t="s">
        <v>294</v>
      </c>
      <c r="AA942" s="11"/>
      <c r="AB942" s="11"/>
      <c r="AC942" s="11"/>
      <c r="AD942" s="11"/>
      <c r="AE942" s="11"/>
      <c r="AF942" s="11"/>
      <c r="AG942" s="11"/>
      <c r="AH942" s="11"/>
      <c r="AI942" s="11"/>
      <c r="AJ942" s="11"/>
      <c r="AK942" s="11"/>
      <c r="AL942" s="11"/>
      <c r="AM942" s="11"/>
      <c r="AN942" s="11"/>
      <c r="AO942" s="11"/>
      <c r="AP942" s="11"/>
      <c r="AQ942" s="11"/>
      <c r="AR942" s="11"/>
      <c r="AS942" s="11"/>
      <c r="AT942" s="11"/>
      <c r="AU942" s="11"/>
      <c r="AV942" s="11"/>
      <c r="AW942" s="11"/>
      <c r="AX942" s="11"/>
      <c r="AY942" s="11"/>
      <c r="AZ942" s="11"/>
      <c r="BA942" s="12"/>
      <c r="BB942" s="63" t="s">
        <v>276</v>
      </c>
      <c r="BC942" s="63"/>
      <c r="BD942" s="63"/>
      <c r="BE942" s="63">
        <v>1</v>
      </c>
      <c r="BF942" s="63"/>
      <c r="BG942" s="63"/>
      <c r="BH942" s="62" t="s">
        <v>276</v>
      </c>
      <c r="BI942" s="62"/>
      <c r="BJ942" s="62"/>
      <c r="BK942" s="62" t="s">
        <v>276</v>
      </c>
      <c r="BL942" s="62"/>
      <c r="BM942" s="62"/>
      <c r="BN942" s="63" t="s">
        <v>276</v>
      </c>
      <c r="BO942" s="63"/>
      <c r="BP942" s="63"/>
      <c r="BQ942" s="63"/>
      <c r="BR942" s="87">
        <v>1000</v>
      </c>
      <c r="BS942" s="87"/>
      <c r="BT942" s="87"/>
      <c r="BU942" s="87"/>
      <c r="BV942" s="87"/>
      <c r="BW942" s="87"/>
      <c r="BX942" s="65">
        <f>W942*BR942*BE942</f>
        <v>1044800</v>
      </c>
      <c r="BY942" s="65"/>
      <c r="BZ942" s="65"/>
      <c r="CA942" s="65"/>
      <c r="CB942" s="66"/>
    </row>
    <row r="943" spans="2:80" x14ac:dyDescent="0.2">
      <c r="B943" s="71" t="s">
        <v>296</v>
      </c>
      <c r="C943" s="72"/>
      <c r="D943" s="72"/>
      <c r="E943" s="72"/>
      <c r="F943" s="72"/>
      <c r="G943" s="72"/>
      <c r="H943" s="72"/>
      <c r="I943" s="72"/>
      <c r="J943" s="72"/>
      <c r="K943" s="72"/>
      <c r="L943" s="72"/>
      <c r="M943" s="72"/>
      <c r="N943" s="72"/>
      <c r="O943" s="120" t="s">
        <v>297</v>
      </c>
      <c r="P943" s="73"/>
      <c r="Q943" s="73"/>
      <c r="R943" s="11" t="s">
        <v>295</v>
      </c>
      <c r="S943" s="19"/>
      <c r="T943" s="61">
        <f>S846*AH841</f>
        <v>20</v>
      </c>
      <c r="U943" s="61"/>
      <c r="V943" s="61"/>
      <c r="W943" s="11" t="s">
        <v>294</v>
      </c>
      <c r="X943" s="11"/>
      <c r="Y943" s="11" t="s">
        <v>274</v>
      </c>
      <c r="Z943" s="73">
        <v>2</v>
      </c>
      <c r="AA943" s="73"/>
      <c r="AB943" s="11" t="s">
        <v>272</v>
      </c>
      <c r="AC943" s="11"/>
      <c r="AD943" s="11"/>
      <c r="AE943" s="11"/>
      <c r="AF943" s="11"/>
      <c r="AG943" s="11"/>
      <c r="AH943" s="11"/>
      <c r="AI943" s="11"/>
      <c r="AJ943" s="11"/>
      <c r="AK943" s="11"/>
      <c r="AL943" s="11"/>
      <c r="AM943" s="11"/>
      <c r="AN943" s="11"/>
      <c r="AO943" s="11"/>
      <c r="AP943" s="11"/>
      <c r="AQ943" s="11"/>
      <c r="AR943" s="11"/>
      <c r="AS943" s="11"/>
      <c r="AT943" s="11"/>
      <c r="AU943" s="11"/>
      <c r="AV943" s="11"/>
      <c r="AW943" s="11"/>
      <c r="AX943" s="11"/>
      <c r="AY943" s="11"/>
      <c r="AZ943" s="11"/>
      <c r="BA943" s="12"/>
      <c r="BB943" s="63" t="s">
        <v>276</v>
      </c>
      <c r="BC943" s="63"/>
      <c r="BD943" s="63"/>
      <c r="BE943" s="63">
        <v>2</v>
      </c>
      <c r="BF943" s="63"/>
      <c r="BG943" s="63"/>
      <c r="BH943" s="62" t="s">
        <v>276</v>
      </c>
      <c r="BI943" s="62"/>
      <c r="BJ943" s="62"/>
      <c r="BK943" s="62" t="s">
        <v>276</v>
      </c>
      <c r="BL943" s="62"/>
      <c r="BM943" s="62"/>
      <c r="BN943" s="83">
        <f>7850*T943*Z943/1000*BE943</f>
        <v>628</v>
      </c>
      <c r="BO943" s="83"/>
      <c r="BP943" s="83"/>
      <c r="BQ943" s="83"/>
      <c r="BR943" s="84">
        <v>28</v>
      </c>
      <c r="BS943" s="84"/>
      <c r="BT943" s="84"/>
      <c r="BU943" s="84"/>
      <c r="BV943" s="84"/>
      <c r="BW943" s="84"/>
      <c r="BX943" s="65">
        <f>BN943*BR943</f>
        <v>17584</v>
      </c>
      <c r="BY943" s="65"/>
      <c r="BZ943" s="65"/>
      <c r="CA943" s="65"/>
      <c r="CB943" s="66"/>
    </row>
    <row r="944" spans="2:80" x14ac:dyDescent="0.2">
      <c r="B944" s="14"/>
      <c r="BG944" s="206" t="s">
        <v>301</v>
      </c>
      <c r="BH944" s="206"/>
      <c r="BI944" s="206"/>
      <c r="BJ944" s="206"/>
      <c r="BK944" s="206"/>
      <c r="BL944" s="206"/>
      <c r="BM944" s="206"/>
      <c r="BN944" s="207">
        <f>SUM(BN896:BQ943)</f>
        <v>52393.650975787677</v>
      </c>
      <c r="BO944" s="206"/>
      <c r="BP944" s="206"/>
      <c r="BQ944" s="206"/>
      <c r="BS944" s="206" t="s">
        <v>484</v>
      </c>
      <c r="BT944" s="206"/>
      <c r="BU944" s="206"/>
      <c r="BV944" s="206"/>
      <c r="BW944" s="206"/>
      <c r="BX944" s="203">
        <f>SUM(BX896:CB943)</f>
        <v>3376665.8145631123</v>
      </c>
      <c r="BY944" s="203"/>
      <c r="BZ944" s="203"/>
      <c r="CA944" s="203"/>
      <c r="CB944" s="204"/>
    </row>
    <row r="945" spans="2:80" x14ac:dyDescent="0.2">
      <c r="B945" s="14"/>
      <c r="O945" s="44" t="s">
        <v>567</v>
      </c>
      <c r="BG945" s="133" t="s">
        <v>302</v>
      </c>
      <c r="BH945" s="133"/>
      <c r="BI945" s="133"/>
      <c r="BJ945" s="133"/>
      <c r="BK945" s="133"/>
      <c r="BL945" s="133"/>
      <c r="BM945" s="133"/>
      <c r="BN945" s="132">
        <f>+BN944/1000</f>
        <v>52.393650975787679</v>
      </c>
      <c r="BO945" s="133"/>
      <c r="BP945" s="133"/>
      <c r="BQ945" s="133"/>
      <c r="BS945" s="133" t="s">
        <v>485</v>
      </c>
      <c r="BT945" s="133"/>
      <c r="BU945" s="133"/>
      <c r="BV945" s="133"/>
      <c r="BW945" s="133"/>
      <c r="BX945" s="138">
        <f>BX944*0.18</f>
        <v>607799.84662136016</v>
      </c>
      <c r="BY945" s="138"/>
      <c r="BZ945" s="138"/>
      <c r="CA945" s="138"/>
      <c r="CB945" s="139"/>
    </row>
    <row r="946" spans="2:80" x14ac:dyDescent="0.2">
      <c r="B946" s="14"/>
      <c r="BG946" s="133" t="s">
        <v>411</v>
      </c>
      <c r="BH946" s="133"/>
      <c r="BI946" s="133"/>
      <c r="BJ946" s="133"/>
      <c r="BK946" s="133"/>
      <c r="BL946" s="133"/>
      <c r="BM946" s="133"/>
      <c r="BN946" s="186">
        <f>C806*S786</f>
        <v>1008</v>
      </c>
      <c r="BO946" s="186"/>
      <c r="BP946" s="186"/>
      <c r="BQ946" s="186"/>
      <c r="BS946" s="133" t="s">
        <v>486</v>
      </c>
      <c r="BT946" s="133"/>
      <c r="BU946" s="133"/>
      <c r="BV946" s="133"/>
      <c r="BW946" s="133"/>
      <c r="BX946" s="140">
        <f>+BX945+BX944</f>
        <v>3984465.6611844725</v>
      </c>
      <c r="BY946" s="140"/>
      <c r="BZ946" s="140"/>
      <c r="CA946" s="140"/>
      <c r="CB946" s="141"/>
    </row>
    <row r="947" spans="2:80" x14ac:dyDescent="0.2">
      <c r="B947" s="53" t="s">
        <v>545</v>
      </c>
      <c r="BG947" s="133" t="s">
        <v>543</v>
      </c>
      <c r="BH947" s="133"/>
      <c r="BI947" s="133"/>
      <c r="BJ947" s="133"/>
      <c r="BK947" s="133"/>
      <c r="BL947" s="133"/>
      <c r="BM947" s="133"/>
      <c r="BN947" s="137">
        <f>+BN944/BN946</f>
        <v>51.977828348995715</v>
      </c>
      <c r="BO947" s="137"/>
      <c r="BP947" s="137"/>
      <c r="BQ947" s="137"/>
      <c r="CB947" s="15"/>
    </row>
    <row r="948" spans="2:80" x14ac:dyDescent="0.2">
      <c r="B948" s="71" t="s">
        <v>490</v>
      </c>
      <c r="C948" s="72"/>
      <c r="D948" s="72"/>
      <c r="E948" s="72"/>
      <c r="F948" s="72"/>
      <c r="G948" s="72"/>
      <c r="H948" s="72"/>
      <c r="I948" s="72"/>
      <c r="J948" s="72"/>
      <c r="K948" s="72"/>
      <c r="L948" s="72"/>
      <c r="M948" s="72"/>
      <c r="N948" s="72"/>
      <c r="O948" s="69">
        <f>+K888</f>
        <v>0.9</v>
      </c>
      <c r="P948" s="61"/>
      <c r="Q948" s="11" t="s">
        <v>0</v>
      </c>
      <c r="R948" s="19" t="s">
        <v>491</v>
      </c>
      <c r="S948" s="61">
        <f>+C878</f>
        <v>0.9</v>
      </c>
      <c r="T948" s="61"/>
      <c r="U948" s="11" t="s">
        <v>0</v>
      </c>
      <c r="V948" s="19" t="s">
        <v>491</v>
      </c>
      <c r="W948" s="61">
        <f>+Q856</f>
        <v>0.8</v>
      </c>
      <c r="X948" s="61"/>
      <c r="Y948" s="11" t="s">
        <v>0</v>
      </c>
      <c r="Z948" s="19" t="s">
        <v>491</v>
      </c>
      <c r="AA948" s="61">
        <f>(C816+1)*2+6*2</f>
        <v>28</v>
      </c>
      <c r="AB948" s="61"/>
      <c r="AC948" s="11" t="s">
        <v>433</v>
      </c>
      <c r="AD948" s="11"/>
      <c r="AE948" s="19" t="s">
        <v>2</v>
      </c>
      <c r="AF948" s="61">
        <f>O948*S948*W948*AA948</f>
        <v>18.144000000000005</v>
      </c>
      <c r="AG948" s="61"/>
      <c r="AH948" s="61"/>
      <c r="AI948" s="11" t="s">
        <v>492</v>
      </c>
      <c r="AJ948" s="11"/>
      <c r="AK948" s="11"/>
      <c r="AL948" s="11"/>
      <c r="AM948" s="11"/>
      <c r="AN948" s="11"/>
      <c r="AO948" s="11"/>
      <c r="AP948" s="11"/>
      <c r="AQ948" s="11"/>
      <c r="AR948" s="11"/>
      <c r="AS948" s="11"/>
      <c r="AT948" s="11"/>
      <c r="AU948" s="11"/>
      <c r="AV948" s="11"/>
      <c r="AW948" s="11"/>
      <c r="AX948" s="11"/>
      <c r="AY948" s="11"/>
      <c r="AZ948" s="11"/>
      <c r="BA948" s="12"/>
      <c r="BB948" s="63" t="s">
        <v>276</v>
      </c>
      <c r="BC948" s="63"/>
      <c r="BD948" s="63"/>
      <c r="BE948" s="63" t="s">
        <v>276</v>
      </c>
      <c r="BF948" s="63"/>
      <c r="BG948" s="63"/>
      <c r="BH948" s="62" t="s">
        <v>276</v>
      </c>
      <c r="BI948" s="62"/>
      <c r="BJ948" s="62"/>
      <c r="BK948" s="62" t="s">
        <v>276</v>
      </c>
      <c r="BL948" s="62"/>
      <c r="BM948" s="62"/>
      <c r="BN948" s="63" t="s">
        <v>276</v>
      </c>
      <c r="BO948" s="63"/>
      <c r="BP948" s="63"/>
      <c r="BQ948" s="63"/>
      <c r="BR948" s="142">
        <v>2600</v>
      </c>
      <c r="BS948" s="142"/>
      <c r="BT948" s="142"/>
      <c r="BU948" s="142"/>
      <c r="BV948" s="142"/>
      <c r="BW948" s="142"/>
      <c r="BX948" s="65">
        <f>AF948*BR948</f>
        <v>47174.400000000016</v>
      </c>
      <c r="BY948" s="65"/>
      <c r="BZ948" s="65"/>
      <c r="CA948" s="65"/>
      <c r="CB948" s="66"/>
    </row>
    <row r="949" spans="2:80" x14ac:dyDescent="0.2">
      <c r="B949" s="71" t="s">
        <v>493</v>
      </c>
      <c r="C949" s="72"/>
      <c r="D949" s="72"/>
      <c r="E949" s="72"/>
      <c r="F949" s="72"/>
      <c r="G949" s="72"/>
      <c r="H949" s="72"/>
      <c r="I949" s="72"/>
      <c r="J949" s="72"/>
      <c r="K949" s="72"/>
      <c r="L949" s="72"/>
      <c r="M949" s="72"/>
      <c r="N949" s="72"/>
      <c r="O949" s="69">
        <f>+R878</f>
        <v>2</v>
      </c>
      <c r="P949" s="61"/>
      <c r="Q949" s="11" t="s">
        <v>0</v>
      </c>
      <c r="R949" s="19" t="s">
        <v>491</v>
      </c>
      <c r="S949" s="61">
        <f>+K863</f>
        <v>2</v>
      </c>
      <c r="T949" s="61"/>
      <c r="U949" s="11" t="s">
        <v>0</v>
      </c>
      <c r="V949" s="19" t="s">
        <v>491</v>
      </c>
      <c r="W949" s="61">
        <f>+Q860</f>
        <v>0.4</v>
      </c>
      <c r="X949" s="61"/>
      <c r="Y949" s="11" t="s">
        <v>0</v>
      </c>
      <c r="Z949" s="19" t="s">
        <v>491</v>
      </c>
      <c r="AA949" s="61">
        <f>+AA948</f>
        <v>28</v>
      </c>
      <c r="AB949" s="61"/>
      <c r="AC949" s="11" t="s">
        <v>433</v>
      </c>
      <c r="AD949" s="11"/>
      <c r="AE949" s="19" t="s">
        <v>2</v>
      </c>
      <c r="AF949" s="61">
        <f>O949*S949*W949*AA949</f>
        <v>44.800000000000004</v>
      </c>
      <c r="AG949" s="61"/>
      <c r="AH949" s="61"/>
      <c r="AI949" s="11" t="s">
        <v>492</v>
      </c>
      <c r="AJ949" s="11"/>
      <c r="AK949" s="11"/>
      <c r="AL949" s="11"/>
      <c r="AM949" s="11"/>
      <c r="AN949" s="11"/>
      <c r="AO949" s="11"/>
      <c r="AP949" s="11"/>
      <c r="AQ949" s="11"/>
      <c r="AR949" s="11"/>
      <c r="AS949" s="11"/>
      <c r="AT949" s="11"/>
      <c r="AU949" s="11"/>
      <c r="AV949" s="11"/>
      <c r="AW949" s="11"/>
      <c r="AX949" s="11"/>
      <c r="AY949" s="11"/>
      <c r="AZ949" s="11"/>
      <c r="BA949" s="12"/>
      <c r="BB949" s="63" t="s">
        <v>276</v>
      </c>
      <c r="BC949" s="63"/>
      <c r="BD949" s="63"/>
      <c r="BE949" s="63" t="s">
        <v>276</v>
      </c>
      <c r="BF949" s="63"/>
      <c r="BG949" s="63"/>
      <c r="BH949" s="62" t="s">
        <v>276</v>
      </c>
      <c r="BI949" s="62"/>
      <c r="BJ949" s="62"/>
      <c r="BK949" s="62" t="s">
        <v>276</v>
      </c>
      <c r="BL949" s="62"/>
      <c r="BM949" s="62"/>
      <c r="BN949" s="63" t="s">
        <v>276</v>
      </c>
      <c r="BO949" s="63"/>
      <c r="BP949" s="63"/>
      <c r="BQ949" s="63"/>
      <c r="BR949" s="190">
        <v>2600</v>
      </c>
      <c r="BS949" s="190"/>
      <c r="BT949" s="190"/>
      <c r="BU949" s="190"/>
      <c r="BV949" s="190"/>
      <c r="BW949" s="190"/>
      <c r="BX949" s="65">
        <f>AF949*BR949</f>
        <v>116480.00000000001</v>
      </c>
      <c r="BY949" s="65"/>
      <c r="BZ949" s="65"/>
      <c r="CA949" s="65"/>
      <c r="CB949" s="66"/>
    </row>
    <row r="950" spans="2:80" x14ac:dyDescent="0.2">
      <c r="B950" s="71" t="s">
        <v>494</v>
      </c>
      <c r="C950" s="72"/>
      <c r="D950" s="72"/>
      <c r="E950" s="72"/>
      <c r="F950" s="72"/>
      <c r="G950" s="72"/>
      <c r="H950" s="72"/>
      <c r="I950" s="72"/>
      <c r="J950" s="72"/>
      <c r="K950" s="72"/>
      <c r="L950" s="72"/>
      <c r="M950" s="72"/>
      <c r="N950" s="72"/>
      <c r="O950" s="69">
        <f>+K886</f>
        <v>0.15</v>
      </c>
      <c r="P950" s="61"/>
      <c r="Q950" s="11" t="s">
        <v>0</v>
      </c>
      <c r="R950" s="19" t="s">
        <v>491</v>
      </c>
      <c r="S950" s="61">
        <f>+Q860+Q856</f>
        <v>1.2000000000000002</v>
      </c>
      <c r="T950" s="61"/>
      <c r="U950" s="11" t="s">
        <v>0</v>
      </c>
      <c r="V950" s="19" t="s">
        <v>491</v>
      </c>
      <c r="W950" s="61">
        <f>2*C806-2*C816*C878+2*S789-2*7*K888</f>
        <v>106.80000000000001</v>
      </c>
      <c r="X950" s="61"/>
      <c r="Y950" s="61"/>
      <c r="Z950" s="11" t="s">
        <v>0</v>
      </c>
      <c r="AA950" s="19" t="s">
        <v>276</v>
      </c>
      <c r="AB950" s="61">
        <f>+Q860</f>
        <v>0.4</v>
      </c>
      <c r="AC950" s="61"/>
      <c r="AD950" s="11" t="s">
        <v>0</v>
      </c>
      <c r="AE950" s="19" t="s">
        <v>491</v>
      </c>
      <c r="AF950" s="61">
        <f>(K863-K888)/2</f>
        <v>0.55000000000000004</v>
      </c>
      <c r="AG950" s="61"/>
      <c r="AH950" s="11" t="s">
        <v>0</v>
      </c>
      <c r="AI950" s="19" t="s">
        <v>491</v>
      </c>
      <c r="AJ950" s="61">
        <f>+O950</f>
        <v>0.15</v>
      </c>
      <c r="AK950" s="61"/>
      <c r="AL950" s="11" t="s">
        <v>0</v>
      </c>
      <c r="AM950" s="19" t="s">
        <v>491</v>
      </c>
      <c r="AN950" s="61">
        <f>2*C816*2+14*2</f>
        <v>56</v>
      </c>
      <c r="AO950" s="61"/>
      <c r="AP950" s="11" t="s">
        <v>433</v>
      </c>
      <c r="AQ950" s="11"/>
      <c r="AR950" s="19" t="s">
        <v>2</v>
      </c>
      <c r="AS950" s="61">
        <f>O950*S950*W950-AB950*AF950*AJ950*AN950</f>
        <v>17.376000000000005</v>
      </c>
      <c r="AT950" s="61"/>
      <c r="AU950" s="61"/>
      <c r="AV950" s="11" t="s">
        <v>492</v>
      </c>
      <c r="AW950" s="11"/>
      <c r="AX950" s="11"/>
      <c r="AY950" s="11"/>
      <c r="AZ950" s="11"/>
      <c r="BA950" s="12"/>
      <c r="BB950" s="63" t="s">
        <v>276</v>
      </c>
      <c r="BC950" s="63"/>
      <c r="BD950" s="63"/>
      <c r="BE950" s="63" t="s">
        <v>276</v>
      </c>
      <c r="BF950" s="63"/>
      <c r="BG950" s="63"/>
      <c r="BH950" s="62" t="s">
        <v>276</v>
      </c>
      <c r="BI950" s="62"/>
      <c r="BJ950" s="62"/>
      <c r="BK950" s="62" t="s">
        <v>276</v>
      </c>
      <c r="BL950" s="62"/>
      <c r="BM950" s="62"/>
      <c r="BN950" s="63" t="s">
        <v>276</v>
      </c>
      <c r="BO950" s="63"/>
      <c r="BP950" s="63"/>
      <c r="BQ950" s="63"/>
      <c r="BR950" s="190">
        <v>2600</v>
      </c>
      <c r="BS950" s="190"/>
      <c r="BT950" s="190"/>
      <c r="BU950" s="190"/>
      <c r="BV950" s="190"/>
      <c r="BW950" s="190"/>
      <c r="BX950" s="65">
        <f>AS950*BR950</f>
        <v>45177.600000000013</v>
      </c>
      <c r="BY950" s="65"/>
      <c r="BZ950" s="65"/>
      <c r="CA950" s="65"/>
      <c r="CB950" s="66"/>
    </row>
    <row r="951" spans="2:80" x14ac:dyDescent="0.2">
      <c r="B951" s="71" t="s">
        <v>495</v>
      </c>
      <c r="C951" s="72"/>
      <c r="D951" s="72"/>
      <c r="E951" s="72"/>
      <c r="F951" s="72"/>
      <c r="G951" s="72"/>
      <c r="H951" s="72"/>
      <c r="I951" s="72"/>
      <c r="J951" s="72"/>
      <c r="K951" s="72"/>
      <c r="L951" s="72"/>
      <c r="M951" s="72"/>
      <c r="N951" s="72"/>
      <c r="O951" s="114">
        <f>+C806</f>
        <v>42</v>
      </c>
      <c r="P951" s="115"/>
      <c r="Q951" s="46" t="s">
        <v>0</v>
      </c>
      <c r="R951" s="45" t="s">
        <v>491</v>
      </c>
      <c r="S951" s="115">
        <f>+S789</f>
        <v>24</v>
      </c>
      <c r="T951" s="115"/>
      <c r="U951" s="46" t="s">
        <v>0</v>
      </c>
      <c r="V951" s="45" t="s">
        <v>491</v>
      </c>
      <c r="W951" s="115">
        <f>+D853</f>
        <v>0.15</v>
      </c>
      <c r="X951" s="115"/>
      <c r="Y951" s="46" t="s">
        <v>0</v>
      </c>
      <c r="Z951" s="45" t="s">
        <v>2</v>
      </c>
      <c r="AA951" s="115">
        <f>O951*S951*W951</f>
        <v>151.19999999999999</v>
      </c>
      <c r="AB951" s="115"/>
      <c r="AC951" s="115"/>
      <c r="AD951" s="46" t="s">
        <v>492</v>
      </c>
      <c r="AJ951" s="46"/>
      <c r="AK951" s="46"/>
      <c r="AL951" s="46"/>
      <c r="AM951" s="46"/>
      <c r="AN951" s="46"/>
      <c r="AO951" s="46"/>
      <c r="AP951" s="46"/>
      <c r="AQ951" s="46"/>
      <c r="AR951" s="46"/>
      <c r="AS951" s="46"/>
      <c r="AT951" s="46"/>
      <c r="AU951" s="46"/>
      <c r="AV951" s="46"/>
      <c r="AW951" s="46"/>
      <c r="AX951" s="46"/>
      <c r="AY951" s="46"/>
      <c r="AZ951" s="46"/>
      <c r="BA951" s="47"/>
      <c r="BB951" s="209" t="s">
        <v>276</v>
      </c>
      <c r="BC951" s="209"/>
      <c r="BD951" s="209"/>
      <c r="BE951" s="209" t="s">
        <v>276</v>
      </c>
      <c r="BF951" s="209"/>
      <c r="BG951" s="209"/>
      <c r="BH951" s="210" t="s">
        <v>276</v>
      </c>
      <c r="BI951" s="210"/>
      <c r="BJ951" s="210"/>
      <c r="BK951" s="210" t="s">
        <v>276</v>
      </c>
      <c r="BL951" s="210"/>
      <c r="BM951" s="210"/>
      <c r="BN951" s="209" t="s">
        <v>276</v>
      </c>
      <c r="BO951" s="209"/>
      <c r="BP951" s="209"/>
      <c r="BQ951" s="209"/>
      <c r="BR951" s="211">
        <v>2600</v>
      </c>
      <c r="BS951" s="211"/>
      <c r="BT951" s="211"/>
      <c r="BU951" s="211"/>
      <c r="BV951" s="211"/>
      <c r="BW951" s="211"/>
      <c r="BX951" s="212">
        <f>AA951*BR951</f>
        <v>393119.99999999994</v>
      </c>
      <c r="BY951" s="212"/>
      <c r="BZ951" s="212"/>
      <c r="CA951" s="212"/>
      <c r="CB951" s="213"/>
    </row>
    <row r="952" spans="2:80" x14ac:dyDescent="0.2">
      <c r="B952" s="71" t="s">
        <v>496</v>
      </c>
      <c r="C952" s="72"/>
      <c r="D952" s="72"/>
      <c r="E952" s="72"/>
      <c r="F952" s="72"/>
      <c r="G952" s="72"/>
      <c r="H952" s="72"/>
      <c r="I952" s="72"/>
      <c r="J952" s="72"/>
      <c r="K952" s="72"/>
      <c r="L952" s="72"/>
      <c r="M952" s="72"/>
      <c r="N952" s="72"/>
      <c r="O952" s="196">
        <f>+F867</f>
        <v>16</v>
      </c>
      <c r="P952" s="197"/>
      <c r="Q952" s="202">
        <f>+H867</f>
        <v>26</v>
      </c>
      <c r="R952" s="202"/>
      <c r="S952" s="11" t="s">
        <v>272</v>
      </c>
      <c r="T952" s="11"/>
      <c r="U952" s="11"/>
      <c r="V952" s="11" t="s">
        <v>498</v>
      </c>
      <c r="W952" s="61">
        <f>+G868</f>
        <v>1.3</v>
      </c>
      <c r="X952" s="61"/>
      <c r="Y952" s="11" t="s">
        <v>0</v>
      </c>
      <c r="Z952" s="11"/>
      <c r="AA952" s="11"/>
      <c r="AB952" s="61">
        <f>(C816+1)*2+12</f>
        <v>28</v>
      </c>
      <c r="AC952" s="61"/>
      <c r="AD952" s="11" t="s">
        <v>499</v>
      </c>
      <c r="AE952" s="11"/>
      <c r="AF952" s="11"/>
      <c r="AG952" s="11"/>
      <c r="AH952" s="11"/>
      <c r="AI952" s="11"/>
      <c r="AJ952" s="11"/>
      <c r="AK952" s="11"/>
      <c r="AL952" s="11"/>
      <c r="AM952" s="11"/>
      <c r="AN952" s="11"/>
      <c r="AO952" s="11"/>
      <c r="AP952" s="11"/>
      <c r="AQ952" s="11"/>
      <c r="AR952" s="11"/>
      <c r="AS952" s="11"/>
      <c r="AT952" s="11"/>
      <c r="AU952" s="11"/>
      <c r="AV952" s="11"/>
      <c r="AW952" s="11"/>
      <c r="AX952" s="11"/>
      <c r="AY952" s="11"/>
      <c r="AZ952" s="11"/>
      <c r="BA952" s="12"/>
      <c r="BB952" s="62">
        <f>ROUND(PI()*Q952^2/4*7.85/1000,3)</f>
        <v>4.1680000000000001</v>
      </c>
      <c r="BC952" s="62"/>
      <c r="BD952" s="62"/>
      <c r="BE952" s="63">
        <f>O952*AB952</f>
        <v>448</v>
      </c>
      <c r="BF952" s="63"/>
      <c r="BG952" s="63"/>
      <c r="BH952" s="83">
        <f>+W952</f>
        <v>1.3</v>
      </c>
      <c r="BI952" s="83"/>
      <c r="BJ952" s="83"/>
      <c r="BK952" s="134">
        <f t="shared" ref="BK952" si="71">+BE952*BH952</f>
        <v>582.4</v>
      </c>
      <c r="BL952" s="135"/>
      <c r="BM952" s="136"/>
      <c r="BN952" s="83">
        <f t="shared" ref="BN952" si="72">BB952*(BE952*BH952)</f>
        <v>2427.4432000000002</v>
      </c>
      <c r="BO952" s="83"/>
      <c r="BP952" s="83"/>
      <c r="BQ952" s="83"/>
      <c r="BR952" s="96">
        <v>25</v>
      </c>
      <c r="BS952" s="96"/>
      <c r="BT952" s="96"/>
      <c r="BU952" s="96"/>
      <c r="BV952" s="96"/>
      <c r="BW952" s="96"/>
      <c r="BX952" s="65">
        <f t="shared" ref="BX952" si="73">BR952*BN952</f>
        <v>60686.080000000002</v>
      </c>
      <c r="BY952" s="65"/>
      <c r="BZ952" s="65"/>
      <c r="CA952" s="65"/>
      <c r="CB952" s="66"/>
    </row>
    <row r="953" spans="2:80" x14ac:dyDescent="0.2">
      <c r="B953" s="71" t="s">
        <v>500</v>
      </c>
      <c r="C953" s="72"/>
      <c r="D953" s="72"/>
      <c r="E953" s="72"/>
      <c r="F953" s="72"/>
      <c r="G953" s="72"/>
      <c r="H953" s="72"/>
      <c r="I953" s="72"/>
      <c r="J953" s="72"/>
      <c r="K953" s="72"/>
      <c r="L953" s="72"/>
      <c r="M953" s="72"/>
      <c r="N953" s="72"/>
      <c r="O953" s="196">
        <f>+Q866</f>
        <v>9</v>
      </c>
      <c r="P953" s="197"/>
      <c r="Q953" s="106">
        <f>+R866</f>
        <v>8</v>
      </c>
      <c r="R953" s="106"/>
      <c r="S953" s="107">
        <f>+T866</f>
        <v>100</v>
      </c>
      <c r="T953" s="107"/>
      <c r="U953" s="11" t="s">
        <v>272</v>
      </c>
      <c r="V953" s="11"/>
      <c r="W953" s="11"/>
      <c r="X953" s="11" t="s">
        <v>498</v>
      </c>
      <c r="Y953" s="61">
        <f>+R867</f>
        <v>3.3</v>
      </c>
      <c r="Z953" s="61"/>
      <c r="AA953" s="11" t="s">
        <v>0</v>
      </c>
      <c r="AB953" s="11"/>
      <c r="AC953" s="11" t="s">
        <v>498</v>
      </c>
      <c r="AD953" s="61">
        <f>+R868</f>
        <v>2.23</v>
      </c>
      <c r="AE953" s="61"/>
      <c r="AF953" s="11" t="s">
        <v>0</v>
      </c>
      <c r="AG953" s="11"/>
      <c r="AH953" s="11"/>
      <c r="AI953" s="11"/>
      <c r="AJ953" s="61">
        <f>+AB952</f>
        <v>28</v>
      </c>
      <c r="AK953" s="61"/>
      <c r="AL953" s="11" t="s">
        <v>499</v>
      </c>
      <c r="AM953" s="11"/>
      <c r="AN953" s="11"/>
      <c r="AO953" s="11"/>
      <c r="AP953" s="11"/>
      <c r="AQ953" s="11"/>
      <c r="AR953" s="11"/>
      <c r="AS953" s="11"/>
      <c r="AT953" s="11"/>
      <c r="AU953" s="11"/>
      <c r="AV953" s="11"/>
      <c r="AW953" s="11"/>
      <c r="AX953" s="11"/>
      <c r="AY953" s="11"/>
      <c r="AZ953" s="11"/>
      <c r="BA953" s="12"/>
      <c r="BB953" s="62">
        <f>ROUND(PI()*Q953^2/4*7.85/1000,3)</f>
        <v>0.39500000000000002</v>
      </c>
      <c r="BC953" s="62"/>
      <c r="BD953" s="62"/>
      <c r="BE953" s="63">
        <f>O953*AJ953</f>
        <v>252</v>
      </c>
      <c r="BF953" s="63"/>
      <c r="BG953" s="63"/>
      <c r="BH953" s="83">
        <f>+Y953+AD953*2</f>
        <v>7.76</v>
      </c>
      <c r="BI953" s="83"/>
      <c r="BJ953" s="83"/>
      <c r="BK953" s="134">
        <f t="shared" ref="BK953" si="74">+BE953*BH953</f>
        <v>1955.52</v>
      </c>
      <c r="BL953" s="135"/>
      <c r="BM953" s="136"/>
      <c r="BN953" s="83">
        <f t="shared" ref="BN953" si="75">BB953*(BE953*BH953)</f>
        <v>772.43040000000008</v>
      </c>
      <c r="BO953" s="83"/>
      <c r="BP953" s="83"/>
      <c r="BQ953" s="83"/>
      <c r="BR953" s="96">
        <v>25</v>
      </c>
      <c r="BS953" s="96"/>
      <c r="BT953" s="96"/>
      <c r="BU953" s="96"/>
      <c r="BV953" s="96"/>
      <c r="BW953" s="96"/>
      <c r="BX953" s="65">
        <f t="shared" ref="BX953" si="76">BR953*BN953</f>
        <v>19310.760000000002</v>
      </c>
      <c r="BY953" s="65"/>
      <c r="BZ953" s="65"/>
      <c r="CA953" s="65"/>
      <c r="CB953" s="66"/>
    </row>
    <row r="954" spans="2:80" x14ac:dyDescent="0.2">
      <c r="B954" s="71" t="s">
        <v>497</v>
      </c>
      <c r="C954" s="72"/>
      <c r="D954" s="72"/>
      <c r="E954" s="72"/>
      <c r="F954" s="72"/>
      <c r="G954" s="72"/>
      <c r="H954" s="72"/>
      <c r="I954" s="72"/>
      <c r="J954" s="72"/>
      <c r="K954" s="72"/>
      <c r="L954" s="72"/>
      <c r="M954" s="72"/>
      <c r="N954" s="72"/>
      <c r="O954" s="196">
        <f>+L870</f>
        <v>18</v>
      </c>
      <c r="P954" s="197"/>
      <c r="Q954" s="205">
        <f>+N870</f>
        <v>16</v>
      </c>
      <c r="R954" s="205"/>
      <c r="S954" s="208">
        <f>+P870</f>
        <v>250</v>
      </c>
      <c r="T954" s="208"/>
      <c r="U954" s="30" t="s">
        <v>272</v>
      </c>
      <c r="X954" s="11" t="s">
        <v>498</v>
      </c>
      <c r="Y954" s="61">
        <f>+M871</f>
        <v>2.5</v>
      </c>
      <c r="Z954" s="61"/>
      <c r="AA954" s="11" t="s">
        <v>0</v>
      </c>
      <c r="AB954" s="11"/>
      <c r="AC954" s="11"/>
      <c r="AD954" s="61">
        <f>+AB952</f>
        <v>28</v>
      </c>
      <c r="AE954" s="61"/>
      <c r="AF954" s="11" t="s">
        <v>499</v>
      </c>
      <c r="AG954" s="11"/>
      <c r="AQ954" s="11"/>
      <c r="AR954" s="11"/>
      <c r="AS954" s="11"/>
      <c r="AT954" s="11"/>
      <c r="AU954" s="11"/>
      <c r="AV954" s="11"/>
      <c r="AW954" s="11"/>
      <c r="AX954" s="11"/>
      <c r="AY954" s="11"/>
      <c r="AZ954" s="11"/>
      <c r="BA954" s="12"/>
      <c r="BB954" s="62">
        <f>ROUND(PI()*Q954^2/4*7.85/1000,3)</f>
        <v>1.5780000000000001</v>
      </c>
      <c r="BC954" s="62"/>
      <c r="BD954" s="62"/>
      <c r="BE954" s="63">
        <f>O954*AD954</f>
        <v>504</v>
      </c>
      <c r="BF954" s="63"/>
      <c r="BG954" s="63"/>
      <c r="BH954" s="83">
        <f>+Y954</f>
        <v>2.5</v>
      </c>
      <c r="BI954" s="83"/>
      <c r="BJ954" s="83"/>
      <c r="BK954" s="134">
        <f t="shared" ref="BK954" si="77">+BE954*BH954</f>
        <v>1260</v>
      </c>
      <c r="BL954" s="135"/>
      <c r="BM954" s="136"/>
      <c r="BN954" s="83">
        <f t="shared" ref="BN954" si="78">BB954*(BE954*BH954)</f>
        <v>1988.2800000000002</v>
      </c>
      <c r="BO954" s="83"/>
      <c r="BP954" s="83"/>
      <c r="BQ954" s="83"/>
      <c r="BR954" s="96">
        <v>25</v>
      </c>
      <c r="BS954" s="96"/>
      <c r="BT954" s="96"/>
      <c r="BU954" s="96"/>
      <c r="BV954" s="96"/>
      <c r="BW954" s="96"/>
      <c r="BX954" s="65">
        <f t="shared" ref="BX954" si="79">BR954*BN954</f>
        <v>49707.000000000007</v>
      </c>
      <c r="BY954" s="65"/>
      <c r="BZ954" s="65"/>
      <c r="CA954" s="65"/>
      <c r="CB954" s="66"/>
    </row>
    <row r="955" spans="2:80" x14ac:dyDescent="0.2">
      <c r="B955" s="41" t="s">
        <v>547</v>
      </c>
      <c r="C955" s="42"/>
      <c r="D955" s="42"/>
      <c r="E955" s="42"/>
      <c r="F955" s="42"/>
      <c r="G955" s="42"/>
      <c r="H955" s="218" t="s">
        <v>530</v>
      </c>
      <c r="I955" s="218"/>
      <c r="J955" s="218"/>
      <c r="K955" s="95" cm="1">
        <f t="array" ref="K955">INDEX(BQ869:BQ878,MATCH(H955,AZ869:AZ878,0),0)</f>
        <v>3.47</v>
      </c>
      <c r="L955" s="95"/>
      <c r="M955" s="42" t="s">
        <v>504</v>
      </c>
      <c r="N955" s="43"/>
      <c r="O955" s="13" t="s">
        <v>506</v>
      </c>
      <c r="P955" s="11"/>
      <c r="Q955" s="11"/>
      <c r="R955" s="11"/>
      <c r="S955" s="61">
        <f>+S789</f>
        <v>24</v>
      </c>
      <c r="T955" s="61"/>
      <c r="U955" s="61"/>
      <c r="V955" s="11" t="s">
        <v>0</v>
      </c>
      <c r="W955" s="19" t="s">
        <v>491</v>
      </c>
      <c r="X955" s="61">
        <f>+C806</f>
        <v>42</v>
      </c>
      <c r="Y955" s="61"/>
      <c r="Z955" s="61"/>
      <c r="AA955" s="11" t="s">
        <v>0</v>
      </c>
      <c r="AB955" s="48" t="s">
        <v>501</v>
      </c>
      <c r="AC955" s="73">
        <v>5</v>
      </c>
      <c r="AD955" s="73"/>
      <c r="AE955" s="11" t="s">
        <v>0</v>
      </c>
      <c r="AF955" s="19" t="s">
        <v>491</v>
      </c>
      <c r="AG955" s="73">
        <v>2.15</v>
      </c>
      <c r="AH955" s="73"/>
      <c r="AI955" s="11" t="s">
        <v>0</v>
      </c>
      <c r="AJ955" s="11" t="s">
        <v>502</v>
      </c>
      <c r="AK955" s="11" t="s">
        <v>503</v>
      </c>
      <c r="AL955" s="11"/>
      <c r="AM955" s="11"/>
      <c r="AN955" s="11"/>
      <c r="AO955" s="73">
        <v>0.3</v>
      </c>
      <c r="AP955" s="73"/>
      <c r="AQ955" s="11" t="s">
        <v>0</v>
      </c>
      <c r="AR955" s="11"/>
      <c r="AS955" s="11" t="s">
        <v>506</v>
      </c>
      <c r="AT955" s="11"/>
      <c r="AU955" s="11"/>
      <c r="AV955" s="11"/>
      <c r="AW955" s="61">
        <f>(INT((((S955-AC955)/(AC955-AO955))+1))*BA955*AC955*AG955)+(IF(S955-INT((((S955-AC955)/(AC955-AO955))+1))*(AC955-AO955)&lt;=AO955,0,+BA955)*IF(S955-INT((((S955-AC955)/(AC955-AO955))+1))*(AC955-AO955)&lt;=AO955,0,S955-INT((((S955-AC955)/(AC955-AO955))+1))*(AC955-AO955))*IF(S955-INT((((S955-AC955)/(AC955-AO955))+1))*(AC955-AO955)&lt;=AO955,0,+AG955))+((IF(X955-BA955*(AG955-AO955)&lt;=AO955,0,+INT((((S955-AC955)/(AC955-AO955))+1))))*(IF(X955-BA955*(AG955-AO955)&lt;=AO955,0,X955-BA955*(AG955-AO955)))*(IF(X955-BA955*(AG955-AO955)&lt;=AO955,0,+AC955)))+(IF(OR(IF(S955-INT((((S955-AC955)/(AC955-AO955))+1))*(AC955-AO955)&lt;=AO955,0,S955-INT((((S955-AC955)/(AC955-AO955))+1))*(AC955-AO955))=0,IF(X955-BA955*(AG955-AO955)&lt;=AO955,0,X955-BA955*(AG955-AO955))=0),0,IF(X955-BA955*(AG955-AO955)&lt;=AO955,0,X955-BA955*(AG955-AO955)))*IF(OR(IF(S955-INT((((S955-AC955)/(AC955-AO955))+1))*(AC955-AO955)&lt;=AO955,0,S955-INT((((S955-AC955)/(AC955-AO955))+1))*(AC955-AO955))=0,IF(X955-BA955*(AG955-AO955)&lt;=AO955,0,X955-BA955*(AG955-AO955))=0),0,IF(S955-INT((((S955-AC955)/(AC955-AO955))+1))*(AC955-AO955)&lt;=AO955,0,S955-INT((((S955-AC955)/(AC955-AO955))+1))*(AC955-AO955))))</f>
        <v>1239.3000000000002</v>
      </c>
      <c r="AX955" s="61"/>
      <c r="AY955" s="61"/>
      <c r="AZ955" s="11" t="s">
        <v>294</v>
      </c>
      <c r="BA955" s="49">
        <f>INT((((X955-AG955)/(AG955-AO955))+1))</f>
        <v>22</v>
      </c>
      <c r="BB955" s="63" t="s">
        <v>276</v>
      </c>
      <c r="BC955" s="63"/>
      <c r="BD955" s="63"/>
      <c r="BE955" s="63">
        <v>1</v>
      </c>
      <c r="BF955" s="63"/>
      <c r="BG955" s="63"/>
      <c r="BH955" s="62" t="s">
        <v>276</v>
      </c>
      <c r="BI955" s="62"/>
      <c r="BJ955" s="62"/>
      <c r="BK955" s="62" t="s">
        <v>276</v>
      </c>
      <c r="BL955" s="62"/>
      <c r="BM955" s="62"/>
      <c r="BN955" s="83">
        <f>+AW955*K955</f>
        <v>4300.371000000001</v>
      </c>
      <c r="BO955" s="83"/>
      <c r="BP955" s="83"/>
      <c r="BQ955" s="83"/>
      <c r="BR955" s="96">
        <v>25</v>
      </c>
      <c r="BS955" s="96"/>
      <c r="BT955" s="96"/>
      <c r="BU955" s="96"/>
      <c r="BV955" s="96"/>
      <c r="BW955" s="96"/>
      <c r="BX955" s="65">
        <f t="shared" ref="BX955" si="80">BR955*BN955</f>
        <v>107509.27500000002</v>
      </c>
      <c r="BY955" s="65"/>
      <c r="BZ955" s="65"/>
      <c r="CA955" s="65"/>
      <c r="CB955" s="66"/>
    </row>
    <row r="956" spans="2:80" x14ac:dyDescent="0.2">
      <c r="B956" s="41" t="s">
        <v>548</v>
      </c>
      <c r="C956" s="42"/>
      <c r="D956" s="42"/>
      <c r="E956" s="42"/>
      <c r="F956" s="42"/>
      <c r="G956" s="42"/>
      <c r="H956" s="219" t="s">
        <v>521</v>
      </c>
      <c r="I956" s="219"/>
      <c r="J956" s="219"/>
      <c r="K956" s="95" cm="1">
        <f t="array" ref="K956">INDEX(BQ860:BQ868,MATCH(H956,AZ860:AZ868,0),0)</f>
        <v>2.35</v>
      </c>
      <c r="L956" s="95"/>
      <c r="M956" s="42" t="s">
        <v>504</v>
      </c>
      <c r="N956" s="43"/>
      <c r="O956" s="13" t="s">
        <v>506</v>
      </c>
      <c r="P956" s="11"/>
      <c r="Q956" s="11"/>
      <c r="R956" s="11"/>
      <c r="S956" s="61">
        <f>+W950</f>
        <v>106.80000000000001</v>
      </c>
      <c r="T956" s="61"/>
      <c r="U956" s="61"/>
      <c r="V956" s="11" t="s">
        <v>0</v>
      </c>
      <c r="W956" s="19" t="s">
        <v>491</v>
      </c>
      <c r="X956" s="61">
        <f>+Q860+Q856-0.1</f>
        <v>1.1000000000000001</v>
      </c>
      <c r="Y956" s="61"/>
      <c r="Z956" s="61"/>
      <c r="AA956" s="11" t="s">
        <v>0</v>
      </c>
      <c r="AB956" s="48" t="s">
        <v>501</v>
      </c>
      <c r="AC956" s="73">
        <v>5</v>
      </c>
      <c r="AD956" s="73"/>
      <c r="AE956" s="11" t="s">
        <v>0</v>
      </c>
      <c r="AF956" s="19" t="s">
        <v>491</v>
      </c>
      <c r="AG956" s="73">
        <v>2.15</v>
      </c>
      <c r="AH956" s="73"/>
      <c r="AI956" s="11" t="s">
        <v>0</v>
      </c>
      <c r="AJ956" s="11" t="s">
        <v>502</v>
      </c>
      <c r="AK956" s="11" t="s">
        <v>503</v>
      </c>
      <c r="AL956" s="11"/>
      <c r="AM956" s="11"/>
      <c r="AN956" s="11"/>
      <c r="AO956" s="73">
        <v>0.3</v>
      </c>
      <c r="AP956" s="73"/>
      <c r="AQ956" s="11" t="s">
        <v>0</v>
      </c>
      <c r="AR956" s="11"/>
      <c r="AS956" s="11" t="s">
        <v>506</v>
      </c>
      <c r="AT956" s="11"/>
      <c r="AU956" s="11"/>
      <c r="AV956" s="11"/>
      <c r="AW956" s="61">
        <f>(INT((((S956-AC956)/(AC956-AO956))+1))*BA956*AC956*AG956)+(IF(S956-INT((((S956-AC956)/(AC956-AO956))+1))*(AC956-AO956)&lt;=AO956,0,+BA956)*IF(S956-INT((((S956-AC956)/(AC956-AO956))+1))*(AC956-AO956)&lt;=AO956,0,S956-INT((((S956-AC956)/(AC956-AO956))+1))*(AC956-AO956))*IF(S956-INT((((S956-AC956)/(AC956-AO956))+1))*(AC956-AO956)&lt;=AO956,0,+AG956))+((IF(X956-BA956*(AG956-AO956)&lt;=AO956,0,+INT((((S956-AC956)/(AC956-AO956))+1))))*(IF(X956-BA956*(AG956-AO956)&lt;=AO956,0,X956-BA956*(AG956-AO956)))*(IF(X956-BA956*(AG956-AO956)&lt;=AO956,0,+AC956)))+(IF(OR(IF(S956-INT((((S956-AC956)/(AC956-AO956))+1))*(AC956-AO956)&lt;=AO956,0,S956-INT((((S956-AC956)/(AC956-AO956))+1))*(AC956-AO956))=0,IF(X956-BA956*(AG956-AO956)&lt;=AO956,0,X956-BA956*(AG956-AO956))=0),0,IF(X956-BA956*(AG956-AO956)&lt;=AO956,0,X956-BA956*(AG956-AO956)))*IF(OR(IF(S956-INT((((S956-AC956)/(AC956-AO956))+1))*(AC956-AO956)&lt;=AO956,0,S956-INT((((S956-AC956)/(AC956-AO956))+1))*(AC956-AO956))=0,IF(X956-BA956*(AG956-AO956)&lt;=AO956,0,X956-BA956*(AG956-AO956))=0),0,IF(S956-INT((((S956-AC956)/(AC956-AO956))+1))*(AC956-AO956)&lt;=AO956,0,S956-INT((((S956-AC956)/(AC956-AO956))+1))*(AC956-AO956))))</f>
        <v>124.74000000000002</v>
      </c>
      <c r="AX956" s="61"/>
      <c r="AY956" s="61"/>
      <c r="AZ956" s="11" t="s">
        <v>294</v>
      </c>
      <c r="BA956" s="49">
        <f>INT((((X956-AG956)/(AG956-AO956))+1))</f>
        <v>0</v>
      </c>
      <c r="BB956" s="63" t="s">
        <v>276</v>
      </c>
      <c r="BC956" s="63"/>
      <c r="BD956" s="63"/>
      <c r="BE956" s="63">
        <v>1</v>
      </c>
      <c r="BF956" s="63"/>
      <c r="BG956" s="63"/>
      <c r="BH956" s="62" t="s">
        <v>276</v>
      </c>
      <c r="BI956" s="62"/>
      <c r="BJ956" s="62"/>
      <c r="BK956" s="62" t="s">
        <v>276</v>
      </c>
      <c r="BL956" s="62"/>
      <c r="BM956" s="62"/>
      <c r="BN956" s="83">
        <f>+AW956*K956</f>
        <v>293.13900000000007</v>
      </c>
      <c r="BO956" s="83"/>
      <c r="BP956" s="83"/>
      <c r="BQ956" s="83"/>
      <c r="BR956" s="96">
        <v>25</v>
      </c>
      <c r="BS956" s="96"/>
      <c r="BT956" s="96"/>
      <c r="BU956" s="96"/>
      <c r="BV956" s="96"/>
      <c r="BW956" s="96"/>
      <c r="BX956" s="65">
        <f t="shared" ref="BX956" si="81">BR956*BN956</f>
        <v>7328.4750000000013</v>
      </c>
      <c r="BY956" s="65"/>
      <c r="BZ956" s="65"/>
      <c r="CA956" s="65"/>
      <c r="CB956" s="66"/>
    </row>
    <row r="957" spans="2:80" x14ac:dyDescent="0.2">
      <c r="B957" s="14"/>
      <c r="AD957" s="1" t="s">
        <v>507</v>
      </c>
      <c r="BG957" s="206" t="s">
        <v>301</v>
      </c>
      <c r="BH957" s="206"/>
      <c r="BI957" s="206"/>
      <c r="BJ957" s="206"/>
      <c r="BK957" s="206"/>
      <c r="BL957" s="206"/>
      <c r="BM957" s="206"/>
      <c r="BN957" s="207">
        <f>SUM(BN948:BQ956)</f>
        <v>9781.6635999999999</v>
      </c>
      <c r="BO957" s="206"/>
      <c r="BP957" s="206"/>
      <c r="BQ957" s="206"/>
      <c r="BS957" s="206" t="s">
        <v>484</v>
      </c>
      <c r="BT957" s="206"/>
      <c r="BU957" s="206"/>
      <c r="BV957" s="206"/>
      <c r="BW957" s="206"/>
      <c r="BX957" s="203">
        <f>SUM(BX948:CB956)</f>
        <v>846493.59</v>
      </c>
      <c r="BY957" s="203"/>
      <c r="BZ957" s="203"/>
      <c r="CA957" s="203"/>
      <c r="CB957" s="204"/>
    </row>
    <row r="958" spans="2:80" x14ac:dyDescent="0.2">
      <c r="B958" s="14"/>
      <c r="BG958" s="133" t="s">
        <v>302</v>
      </c>
      <c r="BH958" s="133"/>
      <c r="BI958" s="133"/>
      <c r="BJ958" s="133"/>
      <c r="BK958" s="133"/>
      <c r="BL958" s="133"/>
      <c r="BM958" s="133"/>
      <c r="BN958" s="132">
        <f>+BN957/1000</f>
        <v>9.7816635999999999</v>
      </c>
      <c r="BO958" s="133"/>
      <c r="BP958" s="133"/>
      <c r="BQ958" s="133"/>
      <c r="BS958" s="133" t="s">
        <v>485</v>
      </c>
      <c r="BT958" s="133"/>
      <c r="BU958" s="133"/>
      <c r="BV958" s="133"/>
      <c r="BW958" s="133"/>
      <c r="BX958" s="138">
        <f>BX957*0.18</f>
        <v>152368.8462</v>
      </c>
      <c r="BY958" s="138"/>
      <c r="BZ958" s="138"/>
      <c r="CA958" s="138"/>
      <c r="CB958" s="139"/>
    </row>
    <row r="959" spans="2:80" x14ac:dyDescent="0.2">
      <c r="B959" s="14"/>
      <c r="BG959" s="133" t="s">
        <v>550</v>
      </c>
      <c r="BH959" s="133"/>
      <c r="BI959" s="133"/>
      <c r="BJ959" s="133"/>
      <c r="BK959" s="133"/>
      <c r="BL959" s="133"/>
      <c r="BM959" s="133"/>
      <c r="BN959" s="186">
        <f>+AF948+AF949+AS950+AA951</f>
        <v>231.52</v>
      </c>
      <c r="BO959" s="186"/>
      <c r="BP959" s="186"/>
      <c r="BQ959" s="186"/>
      <c r="BS959" s="133" t="s">
        <v>486</v>
      </c>
      <c r="BT959" s="133"/>
      <c r="BU959" s="133"/>
      <c r="BV959" s="133"/>
      <c r="BW959" s="133"/>
      <c r="BX959" s="140">
        <f>+BX958+BX957</f>
        <v>998862.4362</v>
      </c>
      <c r="BY959" s="140"/>
      <c r="BZ959" s="140"/>
      <c r="CA959" s="140"/>
      <c r="CB959" s="141"/>
    </row>
    <row r="960" spans="2:80" x14ac:dyDescent="0.2">
      <c r="B960" s="14"/>
      <c r="BG960" s="133" t="s">
        <v>551</v>
      </c>
      <c r="BH960" s="133"/>
      <c r="BI960" s="133"/>
      <c r="BJ960" s="133"/>
      <c r="BK960" s="133"/>
      <c r="BL960" s="133"/>
      <c r="BM960" s="133"/>
      <c r="BN960" s="137">
        <f>+BN957/BN959</f>
        <v>42.249756392536277</v>
      </c>
      <c r="BO960" s="137"/>
      <c r="BP960" s="137"/>
      <c r="BQ960" s="137"/>
      <c r="BR960" s="97" t="s">
        <v>544</v>
      </c>
      <c r="BS960" s="95"/>
      <c r="BT960" s="95"/>
      <c r="BU960" s="95"/>
      <c r="BV960" s="95"/>
      <c r="BW960" s="98"/>
      <c r="BX960" s="140">
        <f>+BX946+BX959</f>
        <v>4983328.0973844724</v>
      </c>
      <c r="BY960" s="140"/>
      <c r="BZ960" s="140"/>
      <c r="CA960" s="140"/>
      <c r="CB960" s="141"/>
    </row>
    <row r="961" spans="2:80" ht="12" thickBot="1" x14ac:dyDescent="0.25">
      <c r="B961" s="16"/>
      <c r="C961" s="17"/>
      <c r="D961" s="17"/>
      <c r="E961" s="17"/>
      <c r="F961" s="17"/>
      <c r="G961" s="17"/>
      <c r="H961" s="17"/>
      <c r="I961" s="17"/>
      <c r="J961" s="17"/>
      <c r="K961" s="17"/>
      <c r="L961" s="17"/>
      <c r="M961" s="17"/>
      <c r="N961" s="17"/>
      <c r="O961" s="17"/>
      <c r="P961" s="17"/>
      <c r="Q961" s="17"/>
      <c r="R961" s="17"/>
      <c r="S961" s="17"/>
      <c r="T961" s="17"/>
      <c r="U961" s="17"/>
      <c r="V961" s="17"/>
      <c r="W961" s="17"/>
      <c r="X961" s="17"/>
      <c r="Y961" s="17"/>
      <c r="Z961" s="17"/>
      <c r="AA961" s="17"/>
      <c r="AB961" s="17"/>
      <c r="AC961" s="17"/>
      <c r="AD961" s="17"/>
      <c r="AE961" s="17"/>
      <c r="AF961" s="17"/>
      <c r="AG961" s="17"/>
      <c r="AH961" s="17"/>
      <c r="AI961" s="17"/>
      <c r="AJ961" s="17"/>
      <c r="AK961" s="17"/>
      <c r="AL961" s="17"/>
      <c r="AM961" s="17"/>
      <c r="AN961" s="17"/>
      <c r="AO961" s="17"/>
      <c r="AP961" s="17"/>
      <c r="AQ961" s="17"/>
      <c r="AR961" s="17"/>
      <c r="AS961" s="17"/>
      <c r="AT961" s="17"/>
      <c r="AU961" s="17"/>
      <c r="AV961" s="17"/>
      <c r="AW961" s="17"/>
      <c r="AX961" s="17"/>
      <c r="AY961" s="17"/>
      <c r="AZ961" s="17"/>
      <c r="BA961" s="17"/>
      <c r="BB961" s="17"/>
      <c r="BC961" s="17"/>
      <c r="BD961" s="17"/>
      <c r="BE961" s="17"/>
      <c r="BF961" s="17"/>
      <c r="BG961" s="17"/>
      <c r="BH961" s="17"/>
      <c r="BI961" s="17"/>
      <c r="BJ961" s="17"/>
      <c r="BK961" s="17"/>
      <c r="BL961" s="17"/>
      <c r="BM961" s="17"/>
      <c r="BN961" s="17"/>
      <c r="BO961" s="17"/>
      <c r="BP961" s="17"/>
      <c r="BQ961" s="17"/>
      <c r="BR961" s="17"/>
      <c r="BS961" s="17"/>
      <c r="BT961" s="17"/>
      <c r="BU961" s="17"/>
      <c r="BV961" s="17"/>
      <c r="BW961" s="17"/>
      <c r="BX961" s="17"/>
      <c r="BY961" s="17"/>
      <c r="BZ961" s="17"/>
      <c r="CA961" s="17"/>
      <c r="CB961" s="18"/>
    </row>
  </sheetData>
  <sheetProtection algorithmName="SHA-512" hashValue="4gJnI349MaD3J1l66pY4tBzmgoS6r00xxm14AlaTU4lSs1dmpnO1l5ZkaKKjlOTl4+L36f4gQqLql99bfSlcVg==" saltValue="k8fUDwm4/sK8mArT7Kg8QQ==" spinCount="100000" sheet="1" objects="1" scenarios="1"/>
  <mergeCells count="5377">
    <mergeCell ref="AK73:AT77"/>
    <mergeCell ref="AK260:AT264"/>
    <mergeCell ref="AK453:AT457"/>
    <mergeCell ref="BX735:CB735"/>
    <mergeCell ref="B721:N721"/>
    <mergeCell ref="P721:Q721"/>
    <mergeCell ref="U721:V721"/>
    <mergeCell ref="Z721:AA721"/>
    <mergeCell ref="AM721:AN721"/>
    <mergeCell ref="BB721:BD721"/>
    <mergeCell ref="BE721:BG721"/>
    <mergeCell ref="BH721:BJ721"/>
    <mergeCell ref="BK721:BM721"/>
    <mergeCell ref="BN721:BQ721"/>
    <mergeCell ref="BR721:BW721"/>
    <mergeCell ref="BX721:CB721"/>
    <mergeCell ref="B722:N722"/>
    <mergeCell ref="P722:Q722"/>
    <mergeCell ref="U722:V722"/>
    <mergeCell ref="Z722:AA722"/>
    <mergeCell ref="AM722:AN722"/>
    <mergeCell ref="BB722:BD722"/>
    <mergeCell ref="BE722:BG722"/>
    <mergeCell ref="BH722:BJ722"/>
    <mergeCell ref="BK722:BM722"/>
    <mergeCell ref="BN722:BQ722"/>
    <mergeCell ref="B723:N723"/>
    <mergeCell ref="P723:Q723"/>
    <mergeCell ref="U723:V723"/>
    <mergeCell ref="Z723:AA723"/>
    <mergeCell ref="BB723:BD723"/>
    <mergeCell ref="BE723:BG723"/>
    <mergeCell ref="BB350:BD350"/>
    <mergeCell ref="BE350:BG350"/>
    <mergeCell ref="BH350:BJ350"/>
    <mergeCell ref="BK350:BM350"/>
    <mergeCell ref="BN350:BQ350"/>
    <mergeCell ref="B735:N735"/>
    <mergeCell ref="P735:Q735"/>
    <mergeCell ref="Y735:Z735"/>
    <mergeCell ref="BB735:BD735"/>
    <mergeCell ref="BE735:BG735"/>
    <mergeCell ref="BH735:BJ735"/>
    <mergeCell ref="BK735:BM735"/>
    <mergeCell ref="BN735:BQ735"/>
    <mergeCell ref="BR735:BW735"/>
    <mergeCell ref="BR350:BW350"/>
    <mergeCell ref="BG377:BM377"/>
    <mergeCell ref="BN377:BQ377"/>
    <mergeCell ref="BS377:BW377"/>
    <mergeCell ref="H375:J375"/>
    <mergeCell ref="K375:L375"/>
    <mergeCell ref="S375:U375"/>
    <mergeCell ref="X375:Z375"/>
    <mergeCell ref="AC375:AD375"/>
    <mergeCell ref="AG375:AH375"/>
    <mergeCell ref="AO375:AP375"/>
    <mergeCell ref="AW375:AY375"/>
    <mergeCell ref="BB375:BD375"/>
    <mergeCell ref="BN375:BQ375"/>
    <mergeCell ref="BR375:BW375"/>
    <mergeCell ref="S374:T374"/>
    <mergeCell ref="Y374:Z374"/>
    <mergeCell ref="AD374:AE374"/>
    <mergeCell ref="AM147:AN147"/>
    <mergeCell ref="BB147:BD147"/>
    <mergeCell ref="BE147:BG147"/>
    <mergeCell ref="BH147:BJ147"/>
    <mergeCell ref="BK147:BM147"/>
    <mergeCell ref="BN147:BQ147"/>
    <mergeCell ref="BR147:BW147"/>
    <mergeCell ref="BX147:CB147"/>
    <mergeCell ref="BR722:BW722"/>
    <mergeCell ref="BX722:CB722"/>
    <mergeCell ref="B159:N159"/>
    <mergeCell ref="P159:Q159"/>
    <mergeCell ref="Y159:Z159"/>
    <mergeCell ref="BB159:BD159"/>
    <mergeCell ref="BE159:BG159"/>
    <mergeCell ref="BH159:BJ159"/>
    <mergeCell ref="BK159:BM159"/>
    <mergeCell ref="BN159:BQ159"/>
    <mergeCell ref="BR159:BW159"/>
    <mergeCell ref="BX159:CB159"/>
    <mergeCell ref="B337:N337"/>
    <mergeCell ref="P337:Q337"/>
    <mergeCell ref="U337:V337"/>
    <mergeCell ref="Z337:AA337"/>
    <mergeCell ref="AM337:AN337"/>
    <mergeCell ref="BB337:BD337"/>
    <mergeCell ref="BE337:BG337"/>
    <mergeCell ref="BH337:BJ337"/>
    <mergeCell ref="BK337:BM337"/>
    <mergeCell ref="B350:N350"/>
    <mergeCell ref="P350:Q350"/>
    <mergeCell ref="Y350:Z350"/>
    <mergeCell ref="BX350:CB350"/>
    <mergeCell ref="BB335:BD335"/>
    <mergeCell ref="BE335:BG335"/>
    <mergeCell ref="BH335:BJ335"/>
    <mergeCell ref="BK335:BM335"/>
    <mergeCell ref="BN335:BQ335"/>
    <mergeCell ref="BR335:BW335"/>
    <mergeCell ref="BX335:CB335"/>
    <mergeCell ref="J335:M335"/>
    <mergeCell ref="O335:S335"/>
    <mergeCell ref="B338:N338"/>
    <mergeCell ref="P338:Q338"/>
    <mergeCell ref="U338:V338"/>
    <mergeCell ref="Z338:AA338"/>
    <mergeCell ref="AM338:AN338"/>
    <mergeCell ref="BB338:BD338"/>
    <mergeCell ref="BE338:BG338"/>
    <mergeCell ref="BH338:BJ338"/>
    <mergeCell ref="BK338:BM338"/>
    <mergeCell ref="BN338:BQ338"/>
    <mergeCell ref="BR338:BW338"/>
    <mergeCell ref="BX338:CB338"/>
    <mergeCell ref="BK347:BM347"/>
    <mergeCell ref="BN347:BQ347"/>
    <mergeCell ref="BR347:BW347"/>
    <mergeCell ref="BX347:CB347"/>
    <mergeCell ref="B348:N348"/>
    <mergeCell ref="P348:Q348"/>
    <mergeCell ref="U348:V348"/>
    <mergeCell ref="BN349:BQ349"/>
    <mergeCell ref="BR349:BW349"/>
    <mergeCell ref="BX349:CB349"/>
    <mergeCell ref="BN337:BQ337"/>
    <mergeCell ref="BR337:BW337"/>
    <mergeCell ref="BX337:CB337"/>
    <mergeCell ref="BB348:BD348"/>
    <mergeCell ref="BB343:BD343"/>
    <mergeCell ref="BE343:BG343"/>
    <mergeCell ref="BH343:BJ343"/>
    <mergeCell ref="BK343:BM343"/>
    <mergeCell ref="BK342:BM342"/>
    <mergeCell ref="K336:L336"/>
    <mergeCell ref="O336:S336"/>
    <mergeCell ref="T336:U336"/>
    <mergeCell ref="W336:X336"/>
    <mergeCell ref="Z336:AA336"/>
    <mergeCell ref="AB336:AC336"/>
    <mergeCell ref="Z348:AA348"/>
    <mergeCell ref="AM348:AN348"/>
    <mergeCell ref="B343:N343"/>
    <mergeCell ref="P343:Q343"/>
    <mergeCell ref="U343:V343"/>
    <mergeCell ref="Z343:AA343"/>
    <mergeCell ref="BN348:BQ348"/>
    <mergeCell ref="BR348:BW348"/>
    <mergeCell ref="BX348:CB348"/>
    <mergeCell ref="B345:N345"/>
    <mergeCell ref="P345:Q345"/>
    <mergeCell ref="U345:V345"/>
    <mergeCell ref="Z345:AA345"/>
    <mergeCell ref="BB345:BD345"/>
    <mergeCell ref="BE345:BG345"/>
    <mergeCell ref="BH345:BJ345"/>
    <mergeCell ref="BK345:BM345"/>
    <mergeCell ref="B349:N349"/>
    <mergeCell ref="P349:Q349"/>
    <mergeCell ref="U349:V349"/>
    <mergeCell ref="Z349:AA349"/>
    <mergeCell ref="BB349:BD349"/>
    <mergeCell ref="BE349:BG349"/>
    <mergeCell ref="BH349:BJ349"/>
    <mergeCell ref="BK349:BM349"/>
    <mergeCell ref="J333:M333"/>
    <mergeCell ref="O333:S333"/>
    <mergeCell ref="T333:U333"/>
    <mergeCell ref="W333:X333"/>
    <mergeCell ref="Z333:AA333"/>
    <mergeCell ref="AB333:AC333"/>
    <mergeCell ref="AE333:AF333"/>
    <mergeCell ref="AL333:AQ333"/>
    <mergeCell ref="AR333:AV333"/>
    <mergeCell ref="AW333:BA333"/>
    <mergeCell ref="BB333:BD333"/>
    <mergeCell ref="BE348:BG348"/>
    <mergeCell ref="BH348:BJ348"/>
    <mergeCell ref="BK348:BM348"/>
    <mergeCell ref="J334:M334"/>
    <mergeCell ref="O334:S334"/>
    <mergeCell ref="T334:U334"/>
    <mergeCell ref="W334:X334"/>
    <mergeCell ref="Z334:AA334"/>
    <mergeCell ref="AB334:AC334"/>
    <mergeCell ref="AE334:AF334"/>
    <mergeCell ref="AL334:AQ334"/>
    <mergeCell ref="AR334:AV334"/>
    <mergeCell ref="AW334:BA334"/>
    <mergeCell ref="T332:U332"/>
    <mergeCell ref="W332:X332"/>
    <mergeCell ref="Z332:AA332"/>
    <mergeCell ref="AB332:AC332"/>
    <mergeCell ref="AE332:AF332"/>
    <mergeCell ref="AL332:AQ332"/>
    <mergeCell ref="AR332:AV332"/>
    <mergeCell ref="AW332:BA332"/>
    <mergeCell ref="BB332:BD332"/>
    <mergeCell ref="BE332:BG332"/>
    <mergeCell ref="BH332:BJ332"/>
    <mergeCell ref="AE336:AF336"/>
    <mergeCell ref="AL336:AQ336"/>
    <mergeCell ref="AR336:AV336"/>
    <mergeCell ref="AW336:BA336"/>
    <mergeCell ref="BB336:BD336"/>
    <mergeCell ref="BE336:BG336"/>
    <mergeCell ref="BH336:BJ336"/>
    <mergeCell ref="T335:U335"/>
    <mergeCell ref="W335:X335"/>
    <mergeCell ref="Z335:AA335"/>
    <mergeCell ref="AB335:AC335"/>
    <mergeCell ref="AE335:AF335"/>
    <mergeCell ref="AL335:AQ335"/>
    <mergeCell ref="AR335:AV335"/>
    <mergeCell ref="AW335:BA335"/>
    <mergeCell ref="BX377:CB377"/>
    <mergeCell ref="BG378:BM378"/>
    <mergeCell ref="BN378:BQ378"/>
    <mergeCell ref="BS378:BW378"/>
    <mergeCell ref="BX378:CB378"/>
    <mergeCell ref="BG379:BM379"/>
    <mergeCell ref="BN379:BQ379"/>
    <mergeCell ref="BS379:BW379"/>
    <mergeCell ref="BX379:CB379"/>
    <mergeCell ref="BG380:BM380"/>
    <mergeCell ref="BN380:BQ380"/>
    <mergeCell ref="BR380:BW380"/>
    <mergeCell ref="BX380:CB380"/>
    <mergeCell ref="BT207:BU207"/>
    <mergeCell ref="BF221:BG221"/>
    <mergeCell ref="BG366:BM366"/>
    <mergeCell ref="BN366:BQ366"/>
    <mergeCell ref="BS366:BW366"/>
    <mergeCell ref="BX366:CB366"/>
    <mergeCell ref="BG367:BM367"/>
    <mergeCell ref="BN367:BQ367"/>
    <mergeCell ref="BM288:BN288"/>
    <mergeCell ref="BO288:BP288"/>
    <mergeCell ref="BQ288:BR288"/>
    <mergeCell ref="BE333:BG333"/>
    <mergeCell ref="BH333:BJ333"/>
    <mergeCell ref="BK333:BM333"/>
    <mergeCell ref="BN333:BQ333"/>
    <mergeCell ref="BR333:BW333"/>
    <mergeCell ref="BE334:BG334"/>
    <mergeCell ref="BH334:BJ334"/>
    <mergeCell ref="BK334:BM334"/>
    <mergeCell ref="BE375:BG375"/>
    <mergeCell ref="BH375:BJ375"/>
    <mergeCell ref="BK375:BM375"/>
    <mergeCell ref="BX375:CB375"/>
    <mergeCell ref="H376:J376"/>
    <mergeCell ref="K376:L376"/>
    <mergeCell ref="S376:U376"/>
    <mergeCell ref="X376:Z376"/>
    <mergeCell ref="AC376:AD376"/>
    <mergeCell ref="AG376:AH376"/>
    <mergeCell ref="AO376:AP376"/>
    <mergeCell ref="AW376:AY376"/>
    <mergeCell ref="BB376:BD376"/>
    <mergeCell ref="BE376:BG376"/>
    <mergeCell ref="BH376:BJ376"/>
    <mergeCell ref="BK376:BM376"/>
    <mergeCell ref="BN376:BQ376"/>
    <mergeCell ref="BR376:BW376"/>
    <mergeCell ref="BX376:CB376"/>
    <mergeCell ref="B373:N373"/>
    <mergeCell ref="O373:P373"/>
    <mergeCell ref="Q373:R373"/>
    <mergeCell ref="S373:T373"/>
    <mergeCell ref="Y373:Z373"/>
    <mergeCell ref="AJ373:AK373"/>
    <mergeCell ref="BB373:BD373"/>
    <mergeCell ref="BE373:BG373"/>
    <mergeCell ref="BH373:BJ373"/>
    <mergeCell ref="BK373:BM373"/>
    <mergeCell ref="BN373:BQ373"/>
    <mergeCell ref="BR373:BW373"/>
    <mergeCell ref="BX373:CB373"/>
    <mergeCell ref="B374:N374"/>
    <mergeCell ref="O374:P374"/>
    <mergeCell ref="Q374:R374"/>
    <mergeCell ref="BB374:BD374"/>
    <mergeCell ref="BE374:BG374"/>
    <mergeCell ref="BH374:BJ374"/>
    <mergeCell ref="BK374:BM374"/>
    <mergeCell ref="BN374:BQ374"/>
    <mergeCell ref="BR374:BW374"/>
    <mergeCell ref="BX374:CB374"/>
    <mergeCell ref="AD373:AE373"/>
    <mergeCell ref="B371:N371"/>
    <mergeCell ref="O371:P371"/>
    <mergeCell ref="S371:T371"/>
    <mergeCell ref="W371:X371"/>
    <mergeCell ref="AA371:AC371"/>
    <mergeCell ref="BB371:BD371"/>
    <mergeCell ref="BE371:BG371"/>
    <mergeCell ref="BH371:BJ371"/>
    <mergeCell ref="BK371:BM371"/>
    <mergeCell ref="BN371:BQ371"/>
    <mergeCell ref="BR371:BW371"/>
    <mergeCell ref="BX371:CB371"/>
    <mergeCell ref="B372:N372"/>
    <mergeCell ref="O372:P372"/>
    <mergeCell ref="Q372:R372"/>
    <mergeCell ref="W372:X372"/>
    <mergeCell ref="AB372:AC372"/>
    <mergeCell ref="BB372:BD372"/>
    <mergeCell ref="BE372:BG372"/>
    <mergeCell ref="BH372:BJ372"/>
    <mergeCell ref="BK372:BM372"/>
    <mergeCell ref="BN372:BQ372"/>
    <mergeCell ref="BR372:BW372"/>
    <mergeCell ref="BX372:CB372"/>
    <mergeCell ref="B369:N369"/>
    <mergeCell ref="O369:P369"/>
    <mergeCell ref="S369:T369"/>
    <mergeCell ref="W369:X369"/>
    <mergeCell ref="AA369:AB369"/>
    <mergeCell ref="AF369:AH369"/>
    <mergeCell ref="BB369:BD369"/>
    <mergeCell ref="BE369:BG369"/>
    <mergeCell ref="BH369:BJ369"/>
    <mergeCell ref="BK369:BM369"/>
    <mergeCell ref="BN369:BQ369"/>
    <mergeCell ref="BR369:BW369"/>
    <mergeCell ref="BX369:CB369"/>
    <mergeCell ref="B370:N370"/>
    <mergeCell ref="O370:P370"/>
    <mergeCell ref="S370:T370"/>
    <mergeCell ref="W370:Y370"/>
    <mergeCell ref="AB370:AC370"/>
    <mergeCell ref="AF370:AG370"/>
    <mergeCell ref="AJ370:AK370"/>
    <mergeCell ref="AN370:AO370"/>
    <mergeCell ref="AS370:AU370"/>
    <mergeCell ref="BB370:BD370"/>
    <mergeCell ref="BE370:BG370"/>
    <mergeCell ref="BH370:BJ370"/>
    <mergeCell ref="BK370:BM370"/>
    <mergeCell ref="BN370:BQ370"/>
    <mergeCell ref="BR370:BW370"/>
    <mergeCell ref="BX370:CB370"/>
    <mergeCell ref="B368:N368"/>
    <mergeCell ref="O368:P368"/>
    <mergeCell ref="S368:T368"/>
    <mergeCell ref="W368:X368"/>
    <mergeCell ref="AA368:AB368"/>
    <mergeCell ref="AF368:AH368"/>
    <mergeCell ref="BB368:BD368"/>
    <mergeCell ref="BE368:BG368"/>
    <mergeCell ref="BH368:BJ368"/>
    <mergeCell ref="BK368:BM368"/>
    <mergeCell ref="BN368:BQ368"/>
    <mergeCell ref="BR368:BW368"/>
    <mergeCell ref="BX368:CB368"/>
    <mergeCell ref="B363:N363"/>
    <mergeCell ref="O363:Q363"/>
    <mergeCell ref="T363:V363"/>
    <mergeCell ref="Z363:AA363"/>
    <mergeCell ref="BB363:BD363"/>
    <mergeCell ref="BE363:BG363"/>
    <mergeCell ref="BH363:BJ363"/>
    <mergeCell ref="BK363:BM363"/>
    <mergeCell ref="BN363:BQ363"/>
    <mergeCell ref="BR363:BW363"/>
    <mergeCell ref="BX363:CB363"/>
    <mergeCell ref="BG364:BM364"/>
    <mergeCell ref="BN364:BQ364"/>
    <mergeCell ref="BS364:BW364"/>
    <mergeCell ref="BX364:CB364"/>
    <mergeCell ref="BG365:BM365"/>
    <mergeCell ref="BN365:BQ365"/>
    <mergeCell ref="BS365:BW365"/>
    <mergeCell ref="BX365:CB365"/>
    <mergeCell ref="B361:N361"/>
    <mergeCell ref="O361:T361"/>
    <mergeCell ref="W361:Y361"/>
    <mergeCell ref="BB361:BD361"/>
    <mergeCell ref="BE361:BG361"/>
    <mergeCell ref="BH361:BJ361"/>
    <mergeCell ref="BK361:BM361"/>
    <mergeCell ref="BN361:BQ361"/>
    <mergeCell ref="BR361:BW361"/>
    <mergeCell ref="BX361:CB361"/>
    <mergeCell ref="B362:N362"/>
    <mergeCell ref="O362:T362"/>
    <mergeCell ref="W362:Y362"/>
    <mergeCell ref="BB362:BD362"/>
    <mergeCell ref="BE362:BG362"/>
    <mergeCell ref="BH362:BJ362"/>
    <mergeCell ref="BK362:BM362"/>
    <mergeCell ref="BN362:BQ362"/>
    <mergeCell ref="BR362:BW362"/>
    <mergeCell ref="BX362:CB362"/>
    <mergeCell ref="B359:N359"/>
    <mergeCell ref="O359:P359"/>
    <mergeCell ref="Y359:Z359"/>
    <mergeCell ref="BB359:BD359"/>
    <mergeCell ref="BE359:BG359"/>
    <mergeCell ref="BH359:BJ359"/>
    <mergeCell ref="BK359:BM359"/>
    <mergeCell ref="BN359:BQ359"/>
    <mergeCell ref="BR359:BW359"/>
    <mergeCell ref="BX359:CB359"/>
    <mergeCell ref="B360:N360"/>
    <mergeCell ref="O360:P360"/>
    <mergeCell ref="Y360:Z360"/>
    <mergeCell ref="BB360:BD360"/>
    <mergeCell ref="BE360:BG360"/>
    <mergeCell ref="BH360:BJ360"/>
    <mergeCell ref="BK360:BM360"/>
    <mergeCell ref="BN360:BQ360"/>
    <mergeCell ref="BR360:BW360"/>
    <mergeCell ref="BX360:CB360"/>
    <mergeCell ref="B357:N357"/>
    <mergeCell ref="P357:Q357"/>
    <mergeCell ref="Y357:Z357"/>
    <mergeCell ref="BB357:BD357"/>
    <mergeCell ref="BE357:BG357"/>
    <mergeCell ref="BH357:BJ357"/>
    <mergeCell ref="BK357:BM357"/>
    <mergeCell ref="BN357:BQ357"/>
    <mergeCell ref="BR357:BW357"/>
    <mergeCell ref="BX357:CB357"/>
    <mergeCell ref="B358:N358"/>
    <mergeCell ref="P358:Q358"/>
    <mergeCell ref="Y358:Z358"/>
    <mergeCell ref="BB358:BD358"/>
    <mergeCell ref="BE358:BG358"/>
    <mergeCell ref="BH358:BJ358"/>
    <mergeCell ref="BK358:BM358"/>
    <mergeCell ref="BN358:BQ358"/>
    <mergeCell ref="BR358:BW358"/>
    <mergeCell ref="BX358:CB358"/>
    <mergeCell ref="B354:N354"/>
    <mergeCell ref="P354:Q354"/>
    <mergeCell ref="Y354:Z354"/>
    <mergeCell ref="BB354:BD354"/>
    <mergeCell ref="BE354:BG354"/>
    <mergeCell ref="BH354:BJ354"/>
    <mergeCell ref="BK354:BM354"/>
    <mergeCell ref="BN354:BQ354"/>
    <mergeCell ref="BR354:BW354"/>
    <mergeCell ref="BX354:CB354"/>
    <mergeCell ref="B355:N355"/>
    <mergeCell ref="P355:Q355"/>
    <mergeCell ref="Y355:Z355"/>
    <mergeCell ref="BB355:BD355"/>
    <mergeCell ref="BE355:BG355"/>
    <mergeCell ref="BH355:BJ355"/>
    <mergeCell ref="BK355:BM355"/>
    <mergeCell ref="BN355:BQ355"/>
    <mergeCell ref="BR355:BW355"/>
    <mergeCell ref="BX355:CB355"/>
    <mergeCell ref="B351:N351"/>
    <mergeCell ref="P351:Q351"/>
    <mergeCell ref="Y351:Z351"/>
    <mergeCell ref="BB351:BD351"/>
    <mergeCell ref="BE351:BG351"/>
    <mergeCell ref="BH351:BJ351"/>
    <mergeCell ref="BK351:BM351"/>
    <mergeCell ref="BN351:BQ351"/>
    <mergeCell ref="BR351:BW351"/>
    <mergeCell ref="BX351:CB351"/>
    <mergeCell ref="B353:N353"/>
    <mergeCell ref="P353:Q353"/>
    <mergeCell ref="Y353:Z353"/>
    <mergeCell ref="BB353:BD353"/>
    <mergeCell ref="BE353:BG353"/>
    <mergeCell ref="BH353:BJ353"/>
    <mergeCell ref="BK353:BM353"/>
    <mergeCell ref="BN353:BQ353"/>
    <mergeCell ref="BR353:BW353"/>
    <mergeCell ref="BX353:CB353"/>
    <mergeCell ref="B352:N352"/>
    <mergeCell ref="P352:Q352"/>
    <mergeCell ref="Y352:Z352"/>
    <mergeCell ref="BB352:BD352"/>
    <mergeCell ref="BE352:BG352"/>
    <mergeCell ref="BH352:BJ352"/>
    <mergeCell ref="BK352:BM352"/>
    <mergeCell ref="BN352:BQ352"/>
    <mergeCell ref="BR352:BW352"/>
    <mergeCell ref="BX352:CB352"/>
    <mergeCell ref="BN345:BQ345"/>
    <mergeCell ref="BR345:BW345"/>
    <mergeCell ref="BX345:CB345"/>
    <mergeCell ref="B346:N346"/>
    <mergeCell ref="P346:Q346"/>
    <mergeCell ref="U346:V346"/>
    <mergeCell ref="Z346:AA346"/>
    <mergeCell ref="BB346:BD346"/>
    <mergeCell ref="BE346:BG346"/>
    <mergeCell ref="BH346:BJ346"/>
    <mergeCell ref="BK346:BM346"/>
    <mergeCell ref="BN346:BQ346"/>
    <mergeCell ref="BR346:BW346"/>
    <mergeCell ref="BX346:CB346"/>
    <mergeCell ref="B347:N347"/>
    <mergeCell ref="P347:Q347"/>
    <mergeCell ref="U347:V347"/>
    <mergeCell ref="Z347:AA347"/>
    <mergeCell ref="BB347:BD347"/>
    <mergeCell ref="BE347:BG347"/>
    <mergeCell ref="BH347:BJ347"/>
    <mergeCell ref="BN343:BQ343"/>
    <mergeCell ref="BR343:BW343"/>
    <mergeCell ref="BX343:CB343"/>
    <mergeCell ref="B344:N344"/>
    <mergeCell ref="P344:Q344"/>
    <mergeCell ref="U344:V344"/>
    <mergeCell ref="Z344:AA344"/>
    <mergeCell ref="BB344:BD344"/>
    <mergeCell ref="BE344:BG344"/>
    <mergeCell ref="BH344:BJ344"/>
    <mergeCell ref="BK344:BM344"/>
    <mergeCell ref="BN344:BQ344"/>
    <mergeCell ref="BR344:BW344"/>
    <mergeCell ref="BX344:CB344"/>
    <mergeCell ref="B341:N341"/>
    <mergeCell ref="P341:Q341"/>
    <mergeCell ref="U341:V341"/>
    <mergeCell ref="Z341:AA341"/>
    <mergeCell ref="BB341:BD341"/>
    <mergeCell ref="BE341:BG341"/>
    <mergeCell ref="BH341:BJ341"/>
    <mergeCell ref="BK341:BM341"/>
    <mergeCell ref="BN341:BQ341"/>
    <mergeCell ref="BR341:BW341"/>
    <mergeCell ref="BX341:CB341"/>
    <mergeCell ref="B342:N342"/>
    <mergeCell ref="P342:Q342"/>
    <mergeCell ref="U342:V342"/>
    <mergeCell ref="Z342:AA342"/>
    <mergeCell ref="BB342:BD342"/>
    <mergeCell ref="BE342:BG342"/>
    <mergeCell ref="BH342:BJ342"/>
    <mergeCell ref="BN342:BQ342"/>
    <mergeCell ref="BR342:BW342"/>
    <mergeCell ref="BX342:CB342"/>
    <mergeCell ref="B339:N339"/>
    <mergeCell ref="P339:Q339"/>
    <mergeCell ref="U339:V339"/>
    <mergeCell ref="Z339:AA339"/>
    <mergeCell ref="BB339:BD339"/>
    <mergeCell ref="BE339:BG339"/>
    <mergeCell ref="BH339:BJ339"/>
    <mergeCell ref="BK339:BM339"/>
    <mergeCell ref="BN339:BQ339"/>
    <mergeCell ref="BR339:BW339"/>
    <mergeCell ref="BX339:CB339"/>
    <mergeCell ref="B340:N340"/>
    <mergeCell ref="P340:Q340"/>
    <mergeCell ref="U340:V340"/>
    <mergeCell ref="Z340:AA340"/>
    <mergeCell ref="BB340:BD340"/>
    <mergeCell ref="BE340:BG340"/>
    <mergeCell ref="BH340:BJ340"/>
    <mergeCell ref="BK340:BM340"/>
    <mergeCell ref="BN340:BQ340"/>
    <mergeCell ref="BR340:BW340"/>
    <mergeCell ref="BX340:CB340"/>
    <mergeCell ref="BN336:BQ336"/>
    <mergeCell ref="BR336:BW336"/>
    <mergeCell ref="BX336:CB336"/>
    <mergeCell ref="B331:N331"/>
    <mergeCell ref="O331:S331"/>
    <mergeCell ref="T331:U331"/>
    <mergeCell ref="W331:X331"/>
    <mergeCell ref="Z331:AA331"/>
    <mergeCell ref="AB331:AC331"/>
    <mergeCell ref="AE331:AF331"/>
    <mergeCell ref="AL331:AQ331"/>
    <mergeCell ref="AR331:AV331"/>
    <mergeCell ref="AW331:BA331"/>
    <mergeCell ref="BB331:BD331"/>
    <mergeCell ref="BE331:BG331"/>
    <mergeCell ref="BH331:BJ331"/>
    <mergeCell ref="BK331:BM331"/>
    <mergeCell ref="BN331:BQ331"/>
    <mergeCell ref="BR331:BW331"/>
    <mergeCell ref="BX331:CB331"/>
    <mergeCell ref="BN334:BQ334"/>
    <mergeCell ref="BR334:BW334"/>
    <mergeCell ref="BX334:CB334"/>
    <mergeCell ref="BX333:CB333"/>
    <mergeCell ref="BN332:BQ332"/>
    <mergeCell ref="BR332:BW332"/>
    <mergeCell ref="BX332:CB332"/>
    <mergeCell ref="BB334:BD334"/>
    <mergeCell ref="BK332:BM332"/>
    <mergeCell ref="BK336:BM336"/>
    <mergeCell ref="J332:M332"/>
    <mergeCell ref="O332:S332"/>
    <mergeCell ref="B330:N330"/>
    <mergeCell ref="O330:S330"/>
    <mergeCell ref="T330:U330"/>
    <mergeCell ref="W330:X330"/>
    <mergeCell ref="Z330:AA330"/>
    <mergeCell ref="AB330:AC330"/>
    <mergeCell ref="AE330:AF330"/>
    <mergeCell ref="AL330:AQ330"/>
    <mergeCell ref="AR330:AV330"/>
    <mergeCell ref="AW330:BA330"/>
    <mergeCell ref="BB330:BD330"/>
    <mergeCell ref="BE330:BG330"/>
    <mergeCell ref="BH330:BJ330"/>
    <mergeCell ref="BK330:BM330"/>
    <mergeCell ref="BN330:BQ330"/>
    <mergeCell ref="BR330:BW330"/>
    <mergeCell ref="BX330:CB330"/>
    <mergeCell ref="B329:N329"/>
    <mergeCell ref="O329:S329"/>
    <mergeCell ref="T329:U329"/>
    <mergeCell ref="W329:X329"/>
    <mergeCell ref="Z329:AA329"/>
    <mergeCell ref="AB329:AC329"/>
    <mergeCell ref="AE329:AF329"/>
    <mergeCell ref="AL329:AQ329"/>
    <mergeCell ref="AR329:AV329"/>
    <mergeCell ref="AW329:BA329"/>
    <mergeCell ref="BB329:BD329"/>
    <mergeCell ref="BE329:BG329"/>
    <mergeCell ref="BH329:BJ329"/>
    <mergeCell ref="BK329:BM329"/>
    <mergeCell ref="BN329:BQ329"/>
    <mergeCell ref="BR329:BW329"/>
    <mergeCell ref="BX329:CB329"/>
    <mergeCell ref="B328:N328"/>
    <mergeCell ref="O328:S328"/>
    <mergeCell ref="T328:U328"/>
    <mergeCell ref="W328:X328"/>
    <mergeCell ref="Z328:AA328"/>
    <mergeCell ref="AB328:AC328"/>
    <mergeCell ref="AE328:AF328"/>
    <mergeCell ref="AL328:AQ328"/>
    <mergeCell ref="AR328:AV328"/>
    <mergeCell ref="AW328:BA328"/>
    <mergeCell ref="BB328:BD328"/>
    <mergeCell ref="BE328:BG328"/>
    <mergeCell ref="BH328:BJ328"/>
    <mergeCell ref="BK328:BM328"/>
    <mergeCell ref="BN328:BQ328"/>
    <mergeCell ref="BR328:BW328"/>
    <mergeCell ref="BX328:CB328"/>
    <mergeCell ref="B327:N327"/>
    <mergeCell ref="O327:S327"/>
    <mergeCell ref="T327:U327"/>
    <mergeCell ref="W327:X327"/>
    <mergeCell ref="Z327:AA327"/>
    <mergeCell ref="AB327:AC327"/>
    <mergeCell ref="AE327:AF327"/>
    <mergeCell ref="AL327:AQ327"/>
    <mergeCell ref="AR327:AV327"/>
    <mergeCell ref="AW327:BA327"/>
    <mergeCell ref="BB327:BD327"/>
    <mergeCell ref="BE327:BG327"/>
    <mergeCell ref="BH327:BJ327"/>
    <mergeCell ref="BK327:BM327"/>
    <mergeCell ref="BN327:BQ327"/>
    <mergeCell ref="BR327:BW327"/>
    <mergeCell ref="BX327:CB327"/>
    <mergeCell ref="B326:N326"/>
    <mergeCell ref="O326:S326"/>
    <mergeCell ref="T326:U326"/>
    <mergeCell ref="W326:X326"/>
    <mergeCell ref="Z326:AA326"/>
    <mergeCell ref="AB326:AC326"/>
    <mergeCell ref="AE326:AF326"/>
    <mergeCell ref="AL326:AQ326"/>
    <mergeCell ref="AR326:AV326"/>
    <mergeCell ref="AW326:BA326"/>
    <mergeCell ref="BB326:BD326"/>
    <mergeCell ref="BE326:BG326"/>
    <mergeCell ref="BH326:BJ326"/>
    <mergeCell ref="BK326:BM326"/>
    <mergeCell ref="BN326:BQ326"/>
    <mergeCell ref="BR326:BW326"/>
    <mergeCell ref="BX326:CB326"/>
    <mergeCell ref="B325:N325"/>
    <mergeCell ref="O325:S325"/>
    <mergeCell ref="T325:U325"/>
    <mergeCell ref="W325:X325"/>
    <mergeCell ref="Z325:AA325"/>
    <mergeCell ref="AB325:AC325"/>
    <mergeCell ref="AE325:AF325"/>
    <mergeCell ref="AL325:AQ325"/>
    <mergeCell ref="AR325:AV325"/>
    <mergeCell ref="AW325:BA325"/>
    <mergeCell ref="BB325:BD325"/>
    <mergeCell ref="BE325:BG325"/>
    <mergeCell ref="BH325:BJ325"/>
    <mergeCell ref="BK325:BM325"/>
    <mergeCell ref="BN325:BQ325"/>
    <mergeCell ref="BR325:BW325"/>
    <mergeCell ref="BX325:CB325"/>
    <mergeCell ref="B324:N324"/>
    <mergeCell ref="O324:S324"/>
    <mergeCell ref="T324:U324"/>
    <mergeCell ref="W324:X324"/>
    <mergeCell ref="Z324:AA324"/>
    <mergeCell ref="AB324:AC324"/>
    <mergeCell ref="AE324:AF324"/>
    <mergeCell ref="AL324:AQ324"/>
    <mergeCell ref="AR324:AV324"/>
    <mergeCell ref="AW324:BA324"/>
    <mergeCell ref="BB324:BD324"/>
    <mergeCell ref="BE324:BG324"/>
    <mergeCell ref="BH324:BJ324"/>
    <mergeCell ref="BK324:BM324"/>
    <mergeCell ref="BN324:BQ324"/>
    <mergeCell ref="BR324:BW324"/>
    <mergeCell ref="BX324:CB324"/>
    <mergeCell ref="B323:N323"/>
    <mergeCell ref="O323:S323"/>
    <mergeCell ref="T323:U323"/>
    <mergeCell ref="W323:X323"/>
    <mergeCell ref="Z323:AA323"/>
    <mergeCell ref="AB323:AC323"/>
    <mergeCell ref="AE323:AF323"/>
    <mergeCell ref="AL323:AQ323"/>
    <mergeCell ref="AR323:AV323"/>
    <mergeCell ref="AW323:BA323"/>
    <mergeCell ref="BB323:BD323"/>
    <mergeCell ref="BE323:BG323"/>
    <mergeCell ref="BH323:BJ323"/>
    <mergeCell ref="BK323:BM323"/>
    <mergeCell ref="BN323:BQ323"/>
    <mergeCell ref="BR323:BW323"/>
    <mergeCell ref="BX323:CB323"/>
    <mergeCell ref="B322:N322"/>
    <mergeCell ref="O322:S322"/>
    <mergeCell ref="T322:U322"/>
    <mergeCell ref="W322:X322"/>
    <mergeCell ref="Z322:AA322"/>
    <mergeCell ref="AB322:AC322"/>
    <mergeCell ref="AE322:AF322"/>
    <mergeCell ref="AL322:AQ322"/>
    <mergeCell ref="AR322:AV322"/>
    <mergeCell ref="AW322:BA322"/>
    <mergeCell ref="BB322:BD322"/>
    <mergeCell ref="BE322:BG322"/>
    <mergeCell ref="BH322:BJ322"/>
    <mergeCell ref="BK322:BM322"/>
    <mergeCell ref="BN322:BQ322"/>
    <mergeCell ref="BR322:BW322"/>
    <mergeCell ref="BX322:CB322"/>
    <mergeCell ref="B321:N321"/>
    <mergeCell ref="O321:S321"/>
    <mergeCell ref="T321:U321"/>
    <mergeCell ref="W321:X321"/>
    <mergeCell ref="Z321:AA321"/>
    <mergeCell ref="AB321:AC321"/>
    <mergeCell ref="AE321:AF321"/>
    <mergeCell ref="AL321:AQ321"/>
    <mergeCell ref="AR321:AV321"/>
    <mergeCell ref="AW321:BA321"/>
    <mergeCell ref="BB321:BD321"/>
    <mergeCell ref="BE321:BG321"/>
    <mergeCell ref="BH321:BJ321"/>
    <mergeCell ref="BK321:BM321"/>
    <mergeCell ref="BN321:BQ321"/>
    <mergeCell ref="BR321:BW321"/>
    <mergeCell ref="BX321:CB321"/>
    <mergeCell ref="AG318:AK318"/>
    <mergeCell ref="B319:N319"/>
    <mergeCell ref="O319:P319"/>
    <mergeCell ref="BB319:BD319"/>
    <mergeCell ref="BE319:BG319"/>
    <mergeCell ref="BH319:BJ319"/>
    <mergeCell ref="BK319:BM319"/>
    <mergeCell ref="BN319:BQ319"/>
    <mergeCell ref="BR319:BW319"/>
    <mergeCell ref="BX319:CB319"/>
    <mergeCell ref="B320:N320"/>
    <mergeCell ref="O320:S320"/>
    <mergeCell ref="T320:U320"/>
    <mergeCell ref="W320:X320"/>
    <mergeCell ref="Z320:AA320"/>
    <mergeCell ref="AB320:AC320"/>
    <mergeCell ref="AE320:AF320"/>
    <mergeCell ref="AG320:AK320"/>
    <mergeCell ref="AL320:AQ320"/>
    <mergeCell ref="AR320:AV320"/>
    <mergeCell ref="AW320:BA320"/>
    <mergeCell ref="BB320:BD320"/>
    <mergeCell ref="BE320:BG320"/>
    <mergeCell ref="BH320:BJ320"/>
    <mergeCell ref="BK320:BM320"/>
    <mergeCell ref="BN320:BQ320"/>
    <mergeCell ref="BR320:BW320"/>
    <mergeCell ref="BX320:CB320"/>
    <mergeCell ref="C308:H312"/>
    <mergeCell ref="K309:L309"/>
    <mergeCell ref="K311:L311"/>
    <mergeCell ref="J312:M312"/>
    <mergeCell ref="B313:CB314"/>
    <mergeCell ref="B315:N318"/>
    <mergeCell ref="O315:BA315"/>
    <mergeCell ref="BB315:BD318"/>
    <mergeCell ref="BE315:BG318"/>
    <mergeCell ref="BH315:BJ318"/>
    <mergeCell ref="BK315:BM318"/>
    <mergeCell ref="BN315:BQ318"/>
    <mergeCell ref="BR315:BW318"/>
    <mergeCell ref="BX315:CB318"/>
    <mergeCell ref="O316:S318"/>
    <mergeCell ref="T316:AA316"/>
    <mergeCell ref="AB316:AF316"/>
    <mergeCell ref="AG316:AK316"/>
    <mergeCell ref="AL316:AQ318"/>
    <mergeCell ref="AR316:AV318"/>
    <mergeCell ref="AW316:BA318"/>
    <mergeCell ref="T317:U317"/>
    <mergeCell ref="W317:X317"/>
    <mergeCell ref="Z317:AA317"/>
    <mergeCell ref="AB317:AC317"/>
    <mergeCell ref="AE317:AF317"/>
    <mergeCell ref="AG317:AK317"/>
    <mergeCell ref="T318:U318"/>
    <mergeCell ref="W318:X318"/>
    <mergeCell ref="Z318:AA318"/>
    <mergeCell ref="AB318:AC318"/>
    <mergeCell ref="AE318:AF318"/>
    <mergeCell ref="S300:S303"/>
    <mergeCell ref="AZ300:BB300"/>
    <mergeCell ref="BE300:BF300"/>
    <mergeCell ref="BG300:BH300"/>
    <mergeCell ref="BI300:BJ300"/>
    <mergeCell ref="BK300:BL300"/>
    <mergeCell ref="BM300:BN300"/>
    <mergeCell ref="BO300:BP300"/>
    <mergeCell ref="BQ300:BR300"/>
    <mergeCell ref="C301:C303"/>
    <mergeCell ref="R301:R303"/>
    <mergeCell ref="AZ301:BB301"/>
    <mergeCell ref="BE301:BF301"/>
    <mergeCell ref="BG301:BH301"/>
    <mergeCell ref="BI301:BJ301"/>
    <mergeCell ref="BK301:BL301"/>
    <mergeCell ref="BM301:BN301"/>
    <mergeCell ref="BO301:BP301"/>
    <mergeCell ref="BQ301:BR301"/>
    <mergeCell ref="AZ302:BR302"/>
    <mergeCell ref="AZ298:BB298"/>
    <mergeCell ref="BC298:BD298"/>
    <mergeCell ref="BE298:BF298"/>
    <mergeCell ref="BG298:BH298"/>
    <mergeCell ref="BI298:BJ298"/>
    <mergeCell ref="BK298:BL298"/>
    <mergeCell ref="BM298:BN298"/>
    <mergeCell ref="BO298:BP298"/>
    <mergeCell ref="BQ298:BR298"/>
    <mergeCell ref="AZ299:BB299"/>
    <mergeCell ref="BE299:BF299"/>
    <mergeCell ref="BG299:BH299"/>
    <mergeCell ref="BI299:BJ299"/>
    <mergeCell ref="BK299:BL299"/>
    <mergeCell ref="BM299:BN299"/>
    <mergeCell ref="BO299:BP299"/>
    <mergeCell ref="BQ299:BR299"/>
    <mergeCell ref="AZ296:BB296"/>
    <mergeCell ref="BE296:BF296"/>
    <mergeCell ref="BG296:BH296"/>
    <mergeCell ref="BI296:BJ296"/>
    <mergeCell ref="BK296:BL296"/>
    <mergeCell ref="BM296:BN296"/>
    <mergeCell ref="BO296:BP296"/>
    <mergeCell ref="BQ296:BR296"/>
    <mergeCell ref="AZ297:BB297"/>
    <mergeCell ref="BC297:BD297"/>
    <mergeCell ref="BE297:BF297"/>
    <mergeCell ref="BG297:BH297"/>
    <mergeCell ref="BI297:BJ297"/>
    <mergeCell ref="BK297:BL297"/>
    <mergeCell ref="BM297:BN297"/>
    <mergeCell ref="BO297:BP297"/>
    <mergeCell ref="BQ297:BR297"/>
    <mergeCell ref="M294:N294"/>
    <mergeCell ref="AZ294:BB294"/>
    <mergeCell ref="BE294:BF294"/>
    <mergeCell ref="BG294:BH294"/>
    <mergeCell ref="BI294:BJ294"/>
    <mergeCell ref="BK294:BL294"/>
    <mergeCell ref="BM294:BN294"/>
    <mergeCell ref="BO294:BP294"/>
    <mergeCell ref="BQ294:BR294"/>
    <mergeCell ref="AZ295:BB295"/>
    <mergeCell ref="BE295:BF295"/>
    <mergeCell ref="BG295:BH295"/>
    <mergeCell ref="BI295:BJ295"/>
    <mergeCell ref="BK295:BL295"/>
    <mergeCell ref="BM295:BN295"/>
    <mergeCell ref="BO295:BP295"/>
    <mergeCell ref="BQ295:BR295"/>
    <mergeCell ref="BE292:BF292"/>
    <mergeCell ref="BG292:BH292"/>
    <mergeCell ref="BI292:BJ292"/>
    <mergeCell ref="BK292:BL292"/>
    <mergeCell ref="BM292:BN292"/>
    <mergeCell ref="BO292:BP292"/>
    <mergeCell ref="BQ292:BR292"/>
    <mergeCell ref="R291:S291"/>
    <mergeCell ref="L293:M293"/>
    <mergeCell ref="N293:O293"/>
    <mergeCell ref="P293:Q293"/>
    <mergeCell ref="AZ293:BB293"/>
    <mergeCell ref="BE293:BF293"/>
    <mergeCell ref="BG293:BH293"/>
    <mergeCell ref="BI293:BJ293"/>
    <mergeCell ref="BK293:BL293"/>
    <mergeCell ref="BM293:BN293"/>
    <mergeCell ref="BO293:BP293"/>
    <mergeCell ref="BQ293:BR293"/>
    <mergeCell ref="F290:G290"/>
    <mergeCell ref="H290:I290"/>
    <mergeCell ref="R289:S289"/>
    <mergeCell ref="T289:U289"/>
    <mergeCell ref="AZ290:BB290"/>
    <mergeCell ref="BE290:BF290"/>
    <mergeCell ref="BG290:BH290"/>
    <mergeCell ref="BI290:BJ290"/>
    <mergeCell ref="BK290:BL290"/>
    <mergeCell ref="BM290:BN290"/>
    <mergeCell ref="BO290:BP290"/>
    <mergeCell ref="BQ290:BR290"/>
    <mergeCell ref="G291:H291"/>
    <mergeCell ref="R290:S290"/>
    <mergeCell ref="AZ291:BB291"/>
    <mergeCell ref="BE291:BF291"/>
    <mergeCell ref="BG291:BH291"/>
    <mergeCell ref="BI291:BJ291"/>
    <mergeCell ref="BK291:BL291"/>
    <mergeCell ref="BM291:BN291"/>
    <mergeCell ref="BO291:BP291"/>
    <mergeCell ref="BQ291:BR291"/>
    <mergeCell ref="K286:L286"/>
    <mergeCell ref="AF286:AM298"/>
    <mergeCell ref="AZ286:BB286"/>
    <mergeCell ref="BE286:BF286"/>
    <mergeCell ref="BG286:BH286"/>
    <mergeCell ref="BI286:BJ286"/>
    <mergeCell ref="BK286:BL286"/>
    <mergeCell ref="BM286:BN286"/>
    <mergeCell ref="BO286:BP286"/>
    <mergeCell ref="BQ286:BR286"/>
    <mergeCell ref="AZ287:BB287"/>
    <mergeCell ref="BE287:BF287"/>
    <mergeCell ref="BG287:BH287"/>
    <mergeCell ref="BI287:BJ287"/>
    <mergeCell ref="BK287:BL287"/>
    <mergeCell ref="BM287:BN287"/>
    <mergeCell ref="BO287:BP287"/>
    <mergeCell ref="BQ287:BR287"/>
    <mergeCell ref="AZ288:BB288"/>
    <mergeCell ref="BC288:BD288"/>
    <mergeCell ref="BE288:BF288"/>
    <mergeCell ref="BG288:BH288"/>
    <mergeCell ref="BI288:BJ288"/>
    <mergeCell ref="BK288:BL288"/>
    <mergeCell ref="AZ289:BB289"/>
    <mergeCell ref="BC289:BD289"/>
    <mergeCell ref="BE289:BF289"/>
    <mergeCell ref="BG289:BH289"/>
    <mergeCell ref="BI289:BJ289"/>
    <mergeCell ref="BK289:BL289"/>
    <mergeCell ref="BM289:BN289"/>
    <mergeCell ref="BO289:BP289"/>
    <mergeCell ref="Q283:R283"/>
    <mergeCell ref="AZ283:BB283"/>
    <mergeCell ref="BE283:BF283"/>
    <mergeCell ref="BG283:BH283"/>
    <mergeCell ref="BI283:BJ283"/>
    <mergeCell ref="BK283:BL283"/>
    <mergeCell ref="BM283:BN283"/>
    <mergeCell ref="BO283:BP283"/>
    <mergeCell ref="BQ283:BR283"/>
    <mergeCell ref="AZ284:BB284"/>
    <mergeCell ref="BE284:BF284"/>
    <mergeCell ref="BG284:BH284"/>
    <mergeCell ref="BI284:BJ284"/>
    <mergeCell ref="BK284:BL284"/>
    <mergeCell ref="BM284:BN284"/>
    <mergeCell ref="BO284:BP284"/>
    <mergeCell ref="BQ284:BR284"/>
    <mergeCell ref="S271:T271"/>
    <mergeCell ref="N214:O214"/>
    <mergeCell ref="Q214:R214"/>
    <mergeCell ref="T214:U214"/>
    <mergeCell ref="W214:X214"/>
    <mergeCell ref="Z214:AA214"/>
    <mergeCell ref="E218:E220"/>
    <mergeCell ref="D276:E276"/>
    <mergeCell ref="Q279:R279"/>
    <mergeCell ref="AZ279:BR279"/>
    <mergeCell ref="AZ280:BB282"/>
    <mergeCell ref="BC280:BD281"/>
    <mergeCell ref="BE280:BH280"/>
    <mergeCell ref="BI280:BL280"/>
    <mergeCell ref="BM280:BP280"/>
    <mergeCell ref="BQ280:BR281"/>
    <mergeCell ref="BE281:BF281"/>
    <mergeCell ref="BG281:BH281"/>
    <mergeCell ref="BI281:BJ281"/>
    <mergeCell ref="BK281:BL281"/>
    <mergeCell ref="BM281:BN281"/>
    <mergeCell ref="BO281:BP281"/>
    <mergeCell ref="BC282:BD282"/>
    <mergeCell ref="BE282:BF282"/>
    <mergeCell ref="BG282:BH282"/>
    <mergeCell ref="BI282:BJ282"/>
    <mergeCell ref="BK282:BL282"/>
    <mergeCell ref="BM282:BN282"/>
    <mergeCell ref="BO282:BP282"/>
    <mergeCell ref="BQ282:BR282"/>
    <mergeCell ref="E257:E259"/>
    <mergeCell ref="BX263:BX264"/>
    <mergeCell ref="C261:C263"/>
    <mergeCell ref="D261:E261"/>
    <mergeCell ref="D263:E264"/>
    <mergeCell ref="F263:F264"/>
    <mergeCell ref="AH264:AH266"/>
    <mergeCell ref="D266:E266"/>
    <mergeCell ref="BE230:BF230"/>
    <mergeCell ref="BB219:BC219"/>
    <mergeCell ref="AW221:AX221"/>
    <mergeCell ref="AZ221:BA221"/>
    <mergeCell ref="BC221:BD221"/>
    <mergeCell ref="AS225:AS227"/>
    <mergeCell ref="H269:I269"/>
    <mergeCell ref="K269:L269"/>
    <mergeCell ref="N269:O269"/>
    <mergeCell ref="S269:T269"/>
    <mergeCell ref="X269:Y269"/>
    <mergeCell ref="AA269:AB269"/>
    <mergeCell ref="AD269:AE269"/>
    <mergeCell ref="E233:E235"/>
    <mergeCell ref="C234:C236"/>
    <mergeCell ref="C237:C238"/>
    <mergeCell ref="E238:E240"/>
    <mergeCell ref="C239:C240"/>
    <mergeCell ref="E243:E245"/>
    <mergeCell ref="CE25:CJ35"/>
    <mergeCell ref="BX567:CB567"/>
    <mergeCell ref="BX913:CB913"/>
    <mergeCell ref="BN761:BQ761"/>
    <mergeCell ref="BS761:BW761"/>
    <mergeCell ref="BX761:CB761"/>
    <mergeCell ref="BG762:BM762"/>
    <mergeCell ref="BN762:BQ762"/>
    <mergeCell ref="BS762:BW762"/>
    <mergeCell ref="BX762:CB762"/>
    <mergeCell ref="BG763:BM763"/>
    <mergeCell ref="K913:L913"/>
    <mergeCell ref="O913:S913"/>
    <mergeCell ref="T913:U913"/>
    <mergeCell ref="BN913:BQ913"/>
    <mergeCell ref="BR913:BW913"/>
    <mergeCell ref="K529:L529"/>
    <mergeCell ref="O529:S529"/>
    <mergeCell ref="T529:U529"/>
    <mergeCell ref="W529:X529"/>
    <mergeCell ref="E248:E250"/>
    <mergeCell ref="Z529:AA529"/>
    <mergeCell ref="BA271:BB271"/>
    <mergeCell ref="BM212:BM217"/>
    <mergeCell ref="BN212:BN217"/>
    <mergeCell ref="BO212:BO217"/>
    <mergeCell ref="W950:Y950"/>
    <mergeCell ref="W754:Y754"/>
    <mergeCell ref="W559:Y559"/>
    <mergeCell ref="W177:Y177"/>
    <mergeCell ref="BX529:CB529"/>
    <mergeCell ref="BG185:BM185"/>
    <mergeCell ref="BN185:BQ185"/>
    <mergeCell ref="BS185:BW185"/>
    <mergeCell ref="BX185:CB185"/>
    <mergeCell ref="BG186:BM186"/>
    <mergeCell ref="BN186:BQ186"/>
    <mergeCell ref="BS186:BW186"/>
    <mergeCell ref="BX186:CB186"/>
    <mergeCell ref="BE715:BG715"/>
    <mergeCell ref="BH715:BJ715"/>
    <mergeCell ref="BK715:BM715"/>
    <mergeCell ref="BN715:BQ715"/>
    <mergeCell ref="BR715:BW715"/>
    <mergeCell ref="BX715:CB715"/>
    <mergeCell ref="BN567:BQ567"/>
    <mergeCell ref="AB198:AC198"/>
    <mergeCell ref="W913:X913"/>
    <mergeCell ref="Z913:AA913"/>
    <mergeCell ref="AB913:AC913"/>
    <mergeCell ref="AE913:AF913"/>
    <mergeCell ref="AL913:AQ913"/>
    <mergeCell ref="AR913:AV913"/>
    <mergeCell ref="AW913:BA913"/>
    <mergeCell ref="BB913:BD913"/>
    <mergeCell ref="BE913:BG913"/>
    <mergeCell ref="BH913:BJ913"/>
    <mergeCell ref="BK913:BM913"/>
    <mergeCell ref="AF863:AM875"/>
    <mergeCell ref="O558:P558"/>
    <mergeCell ref="S558:T558"/>
    <mergeCell ref="W558:X558"/>
    <mergeCell ref="AA558:AB558"/>
    <mergeCell ref="AF558:AH558"/>
    <mergeCell ref="BB558:BD558"/>
    <mergeCell ref="C885:H889"/>
    <mergeCell ref="O145:S145"/>
    <mergeCell ref="T145:U145"/>
    <mergeCell ref="W145:X145"/>
    <mergeCell ref="Z145:AA145"/>
    <mergeCell ref="AB145:AC145"/>
    <mergeCell ref="AE145:AF145"/>
    <mergeCell ref="AL145:AQ145"/>
    <mergeCell ref="AR145:AV145"/>
    <mergeCell ref="AW145:BA145"/>
    <mergeCell ref="BB145:BD145"/>
    <mergeCell ref="K715:L715"/>
    <mergeCell ref="O715:S715"/>
    <mergeCell ref="T715:U715"/>
    <mergeCell ref="W715:X715"/>
    <mergeCell ref="Z715:AA715"/>
    <mergeCell ref="AB715:AC715"/>
    <mergeCell ref="AE715:AF715"/>
    <mergeCell ref="AL715:AQ715"/>
    <mergeCell ref="AR715:AV715"/>
    <mergeCell ref="B177:N177"/>
    <mergeCell ref="AL221:AM221"/>
    <mergeCell ref="E223:E225"/>
    <mergeCell ref="E228:E230"/>
    <mergeCell ref="C229:C231"/>
    <mergeCell ref="C199:C201"/>
    <mergeCell ref="E201:E203"/>
    <mergeCell ref="N207:O207"/>
    <mergeCell ref="Y207:Z207"/>
    <mergeCell ref="AM207:AN207"/>
    <mergeCell ref="AQ207:AR207"/>
    <mergeCell ref="AU207:AV207"/>
    <mergeCell ref="BB182:BD182"/>
    <mergeCell ref="B180:N180"/>
    <mergeCell ref="AW529:BA529"/>
    <mergeCell ref="BB529:BD529"/>
    <mergeCell ref="BE529:BG529"/>
    <mergeCell ref="H182:J182"/>
    <mergeCell ref="B179:N179"/>
    <mergeCell ref="O179:P179"/>
    <mergeCell ref="BE182:BG182"/>
    <mergeCell ref="BG481:BH481"/>
    <mergeCell ref="E388:E390"/>
    <mergeCell ref="AJ388:AK388"/>
    <mergeCell ref="AC389:AD389"/>
    <mergeCell ref="AF391:AG392"/>
    <mergeCell ref="C392:C394"/>
    <mergeCell ref="AJ392:AK392"/>
    <mergeCell ref="J393:K393"/>
    <mergeCell ref="E394:E396"/>
    <mergeCell ref="L394:M394"/>
    <mergeCell ref="AJ394:AK395"/>
    <mergeCell ref="BH529:BJ529"/>
    <mergeCell ref="AB529:AC529"/>
    <mergeCell ref="AE529:AF529"/>
    <mergeCell ref="AL529:AQ529"/>
    <mergeCell ref="AR529:AV529"/>
    <mergeCell ref="S877:S880"/>
    <mergeCell ref="C120:H124"/>
    <mergeCell ref="C501:H505"/>
    <mergeCell ref="C690:H694"/>
    <mergeCell ref="BS567:BW567"/>
    <mergeCell ref="BR179:BW179"/>
    <mergeCell ref="AY207:AZ207"/>
    <mergeCell ref="BC207:BD207"/>
    <mergeCell ref="BG207:BH207"/>
    <mergeCell ref="BK207:BL207"/>
    <mergeCell ref="AH202:AI202"/>
    <mergeCell ref="AH199:AI200"/>
    <mergeCell ref="AJ199:AJ200"/>
    <mergeCell ref="AH204:AI205"/>
    <mergeCell ref="AJ204:AJ205"/>
    <mergeCell ref="AH198:AI198"/>
    <mergeCell ref="N198:O198"/>
    <mergeCell ref="S209:T209"/>
    <mergeCell ref="AY209:BA209"/>
    <mergeCell ref="S212:T212"/>
    <mergeCell ref="H214:I214"/>
    <mergeCell ref="K214:L214"/>
    <mergeCell ref="BE558:BG558"/>
    <mergeCell ref="AW715:BA715"/>
    <mergeCell ref="BB715:BD715"/>
    <mergeCell ref="H183:J183"/>
    <mergeCell ref="B181:N181"/>
    <mergeCell ref="K145:L145"/>
    <mergeCell ref="O177:P177"/>
    <mergeCell ref="S177:T177"/>
    <mergeCell ref="AB177:AC177"/>
    <mergeCell ref="AF177:AG177"/>
    <mergeCell ref="H955:J955"/>
    <mergeCell ref="H956:J956"/>
    <mergeCell ref="H759:J759"/>
    <mergeCell ref="H760:J760"/>
    <mergeCell ref="H564:J564"/>
    <mergeCell ref="H565:J565"/>
    <mergeCell ref="K183:L183"/>
    <mergeCell ref="S183:U183"/>
    <mergeCell ref="X183:Z183"/>
    <mergeCell ref="AC183:AD183"/>
    <mergeCell ref="AG183:AH183"/>
    <mergeCell ref="AO183:AP183"/>
    <mergeCell ref="AW183:AY183"/>
    <mergeCell ref="BB183:BD183"/>
    <mergeCell ref="K182:L182"/>
    <mergeCell ref="S182:U182"/>
    <mergeCell ref="X182:Z182"/>
    <mergeCell ref="K502:L502"/>
    <mergeCell ref="K504:L504"/>
    <mergeCell ref="J505:M505"/>
    <mergeCell ref="B557:N557"/>
    <mergeCell ref="O557:P557"/>
    <mergeCell ref="S557:T557"/>
    <mergeCell ref="W557:X557"/>
    <mergeCell ref="AA557:AB557"/>
    <mergeCell ref="AF557:AH557"/>
    <mergeCell ref="F483:G483"/>
    <mergeCell ref="H483:I483"/>
    <mergeCell ref="Y757:Z757"/>
    <mergeCell ref="AJ757:AK757"/>
    <mergeCell ref="BB757:BD757"/>
    <mergeCell ref="N486:O486"/>
    <mergeCell ref="BG761:BM761"/>
    <mergeCell ref="BG568:BM568"/>
    <mergeCell ref="AO565:AP565"/>
    <mergeCell ref="AW565:AY565"/>
    <mergeCell ref="BB565:BD565"/>
    <mergeCell ref="BE565:BG565"/>
    <mergeCell ref="BH565:BJ565"/>
    <mergeCell ref="BK565:BM565"/>
    <mergeCell ref="B559:N559"/>
    <mergeCell ref="O559:P559"/>
    <mergeCell ref="S559:T559"/>
    <mergeCell ref="AB559:AC559"/>
    <mergeCell ref="AF559:AG559"/>
    <mergeCell ref="AJ559:AK559"/>
    <mergeCell ref="AN559:AO559"/>
    <mergeCell ref="AS559:AU559"/>
    <mergeCell ref="BB559:BD559"/>
    <mergeCell ref="BE559:BG559"/>
    <mergeCell ref="BH559:BJ559"/>
    <mergeCell ref="BK559:BM559"/>
    <mergeCell ref="B561:N561"/>
    <mergeCell ref="O561:P561"/>
    <mergeCell ref="Q561:R561"/>
    <mergeCell ref="W561:X561"/>
    <mergeCell ref="AB561:AC561"/>
    <mergeCell ref="BH759:BJ759"/>
    <mergeCell ref="BK759:BM759"/>
    <mergeCell ref="B757:N757"/>
    <mergeCell ref="O757:P757"/>
    <mergeCell ref="Q757:R757"/>
    <mergeCell ref="S757:T757"/>
    <mergeCell ref="O509:S511"/>
    <mergeCell ref="T509:AA509"/>
    <mergeCell ref="AB509:AF509"/>
    <mergeCell ref="AZ493:BB493"/>
    <mergeCell ref="BE493:BF493"/>
    <mergeCell ref="BG493:BH493"/>
    <mergeCell ref="BI493:BJ493"/>
    <mergeCell ref="BK493:BL493"/>
    <mergeCell ref="BM493:BN493"/>
    <mergeCell ref="AZ491:BB491"/>
    <mergeCell ref="BC491:BD491"/>
    <mergeCell ref="BE491:BF491"/>
    <mergeCell ref="BG491:BH491"/>
    <mergeCell ref="BI491:BJ491"/>
    <mergeCell ref="BR180:BW180"/>
    <mergeCell ref="BQ491:BR491"/>
    <mergeCell ref="AZ492:BB492"/>
    <mergeCell ref="BE492:BF492"/>
    <mergeCell ref="BG492:BH492"/>
    <mergeCell ref="BI492:BJ492"/>
    <mergeCell ref="BK492:BL492"/>
    <mergeCell ref="BM492:BN492"/>
    <mergeCell ref="BO492:BP492"/>
    <mergeCell ref="BQ492:BR492"/>
    <mergeCell ref="AZ489:BB489"/>
    <mergeCell ref="BE489:BF489"/>
    <mergeCell ref="BG489:BH489"/>
    <mergeCell ref="BI489:BJ489"/>
    <mergeCell ref="BK489:BL489"/>
    <mergeCell ref="BM489:BN489"/>
    <mergeCell ref="AC214:AD214"/>
    <mergeCell ref="BR181:BW181"/>
    <mergeCell ref="BX180:CB180"/>
    <mergeCell ref="AD181:AE181"/>
    <mergeCell ref="BB181:BD181"/>
    <mergeCell ref="BE181:BG181"/>
    <mergeCell ref="BH181:BJ181"/>
    <mergeCell ref="BK181:BM181"/>
    <mergeCell ref="BN181:BQ181"/>
    <mergeCell ref="BX181:CB181"/>
    <mergeCell ref="BX179:CB179"/>
    <mergeCell ref="BN182:BQ182"/>
    <mergeCell ref="BR182:BW182"/>
    <mergeCell ref="BX182:CB182"/>
    <mergeCell ref="BG187:BM187"/>
    <mergeCell ref="BN187:BQ187"/>
    <mergeCell ref="BR187:BW187"/>
    <mergeCell ref="BX187:CB187"/>
    <mergeCell ref="BN183:BQ183"/>
    <mergeCell ref="BR183:BW183"/>
    <mergeCell ref="BX183:CB183"/>
    <mergeCell ref="BN184:BQ184"/>
    <mergeCell ref="BS184:BW184"/>
    <mergeCell ref="BX184:CB184"/>
    <mergeCell ref="BN180:BQ180"/>
    <mergeCell ref="BE183:BG183"/>
    <mergeCell ref="BH183:BJ183"/>
    <mergeCell ref="BK183:BM183"/>
    <mergeCell ref="BG184:BM184"/>
    <mergeCell ref="AC182:AD182"/>
    <mergeCell ref="AG182:AH182"/>
    <mergeCell ref="AO182:AP182"/>
    <mergeCell ref="AW182:AY182"/>
    <mergeCell ref="BH182:BJ182"/>
    <mergeCell ref="B176:N176"/>
    <mergeCell ref="B146:N146"/>
    <mergeCell ref="BH558:BJ558"/>
    <mergeCell ref="BK558:BM558"/>
    <mergeCell ref="BN558:BQ558"/>
    <mergeCell ref="BR558:BW558"/>
    <mergeCell ref="BX558:CB558"/>
    <mergeCell ref="O181:P181"/>
    <mergeCell ref="Q181:R181"/>
    <mergeCell ref="Y181:Z181"/>
    <mergeCell ref="Q179:R179"/>
    <mergeCell ref="W179:X179"/>
    <mergeCell ref="AB179:AC179"/>
    <mergeCell ref="BB179:BD179"/>
    <mergeCell ref="BE179:BG179"/>
    <mergeCell ref="BH179:BJ179"/>
    <mergeCell ref="BK179:BM179"/>
    <mergeCell ref="BN179:BQ179"/>
    <mergeCell ref="AJ177:AK177"/>
    <mergeCell ref="AN177:AO177"/>
    <mergeCell ref="AS177:AU177"/>
    <mergeCell ref="BB177:BD177"/>
    <mergeCell ref="BE177:BG177"/>
    <mergeCell ref="BH177:BJ177"/>
    <mergeCell ref="BK177:BM177"/>
    <mergeCell ref="BN177:BQ177"/>
    <mergeCell ref="Q180:R180"/>
    <mergeCell ref="S180:T180"/>
    <mergeCell ref="Y180:Z180"/>
    <mergeCell ref="AJ180:AK180"/>
    <mergeCell ref="BB180:BD180"/>
    <mergeCell ref="BE180:BG180"/>
    <mergeCell ref="U146:V146"/>
    <mergeCell ref="Z146:AA146"/>
    <mergeCell ref="BB146:BD146"/>
    <mergeCell ref="BE146:BG146"/>
    <mergeCell ref="BH146:BJ146"/>
    <mergeCell ref="BK113:BL113"/>
    <mergeCell ref="BM113:BN113"/>
    <mergeCell ref="BR177:BW177"/>
    <mergeCell ref="BX177:CB177"/>
    <mergeCell ref="B178:N178"/>
    <mergeCell ref="O178:P178"/>
    <mergeCell ref="S178:T178"/>
    <mergeCell ref="W178:X178"/>
    <mergeCell ref="AA178:AC178"/>
    <mergeCell ref="BB178:BD178"/>
    <mergeCell ref="BE178:BG178"/>
    <mergeCell ref="BH178:BJ178"/>
    <mergeCell ref="BK178:BM178"/>
    <mergeCell ref="BN178:BQ178"/>
    <mergeCell ref="BR178:BW178"/>
    <mergeCell ref="BX178:CB178"/>
    <mergeCell ref="K121:L121"/>
    <mergeCell ref="K123:L123"/>
    <mergeCell ref="J124:M124"/>
    <mergeCell ref="B175:N175"/>
    <mergeCell ref="O175:P175"/>
    <mergeCell ref="S175:T175"/>
    <mergeCell ref="W175:X175"/>
    <mergeCell ref="AA175:AB175"/>
    <mergeCell ref="AF175:AH175"/>
    <mergeCell ref="BB175:BD175"/>
    <mergeCell ref="BE175:BG175"/>
    <mergeCell ref="AL144:AQ144"/>
    <mergeCell ref="AZ112:BB112"/>
    <mergeCell ref="BE112:BF112"/>
    <mergeCell ref="BG112:BH112"/>
    <mergeCell ref="BI112:BJ112"/>
    <mergeCell ref="BK112:BL112"/>
    <mergeCell ref="BM112:BN112"/>
    <mergeCell ref="BO112:BP112"/>
    <mergeCell ref="BQ112:BR112"/>
    <mergeCell ref="AB129:AC129"/>
    <mergeCell ref="T133:U133"/>
    <mergeCell ref="BB134:BD134"/>
    <mergeCell ref="BN131:BQ131"/>
    <mergeCell ref="AL132:AQ132"/>
    <mergeCell ref="BB136:BD136"/>
    <mergeCell ref="BE136:BG136"/>
    <mergeCell ref="BH136:BJ136"/>
    <mergeCell ref="AZ113:BB113"/>
    <mergeCell ref="BE113:BF113"/>
    <mergeCell ref="BG113:BH113"/>
    <mergeCell ref="BI113:BJ113"/>
    <mergeCell ref="W141:X141"/>
    <mergeCell ref="Z141:AA141"/>
    <mergeCell ref="AE139:AF139"/>
    <mergeCell ref="AL139:AQ139"/>
    <mergeCell ref="AR139:AV139"/>
    <mergeCell ref="W132:X132"/>
    <mergeCell ref="AL136:AQ136"/>
    <mergeCell ref="W139:X139"/>
    <mergeCell ref="Z139:AA139"/>
    <mergeCell ref="AB139:AC139"/>
    <mergeCell ref="W130:X130"/>
    <mergeCell ref="AF98:AM110"/>
    <mergeCell ref="AZ108:BB108"/>
    <mergeCell ref="BE108:BF108"/>
    <mergeCell ref="BG108:BH108"/>
    <mergeCell ref="AZ107:BB107"/>
    <mergeCell ref="BE107:BF107"/>
    <mergeCell ref="BG107:BH107"/>
    <mergeCell ref="BM107:BN107"/>
    <mergeCell ref="BO107:BP107"/>
    <mergeCell ref="BQ107:BR107"/>
    <mergeCell ref="BI108:BJ108"/>
    <mergeCell ref="BQ108:BR108"/>
    <mergeCell ref="AZ109:BB109"/>
    <mergeCell ref="BC109:BD109"/>
    <mergeCell ref="BE109:BF109"/>
    <mergeCell ref="BG109:BH109"/>
    <mergeCell ref="BI109:BJ109"/>
    <mergeCell ref="BO489:BP489"/>
    <mergeCell ref="BQ489:BR489"/>
    <mergeCell ref="AZ490:BB490"/>
    <mergeCell ref="BC490:BD490"/>
    <mergeCell ref="BE490:BF490"/>
    <mergeCell ref="BG490:BH490"/>
    <mergeCell ref="BE110:BF110"/>
    <mergeCell ref="BG110:BH110"/>
    <mergeCell ref="BI110:BJ110"/>
    <mergeCell ref="BK110:BL110"/>
    <mergeCell ref="BM110:BN110"/>
    <mergeCell ref="BO110:BP110"/>
    <mergeCell ref="BQ110:BR110"/>
    <mergeCell ref="AZ111:BB111"/>
    <mergeCell ref="BE111:BF111"/>
    <mergeCell ref="BG111:BH111"/>
    <mergeCell ref="BI111:BJ111"/>
    <mergeCell ref="BK111:BL111"/>
    <mergeCell ref="BM111:BN111"/>
    <mergeCell ref="BO111:BP111"/>
    <mergeCell ref="BQ111:BR111"/>
    <mergeCell ref="BK182:BM182"/>
    <mergeCell ref="AZ285:BB285"/>
    <mergeCell ref="BE285:BF285"/>
    <mergeCell ref="BG285:BH285"/>
    <mergeCell ref="BI285:BJ285"/>
    <mergeCell ref="BK285:BL285"/>
    <mergeCell ref="BM285:BN285"/>
    <mergeCell ref="BO285:BP285"/>
    <mergeCell ref="BQ285:BR285"/>
    <mergeCell ref="BQ289:BR289"/>
    <mergeCell ref="AZ292:BB292"/>
    <mergeCell ref="BN568:BQ568"/>
    <mergeCell ref="BS568:BW568"/>
    <mergeCell ref="BB561:BD561"/>
    <mergeCell ref="BE561:BG561"/>
    <mergeCell ref="BH561:BJ561"/>
    <mergeCell ref="BK561:BM561"/>
    <mergeCell ref="BN561:BQ561"/>
    <mergeCell ref="BR561:BW561"/>
    <mergeCell ref="BB557:BD557"/>
    <mergeCell ref="BE557:BG557"/>
    <mergeCell ref="BH557:BJ557"/>
    <mergeCell ref="BK557:BM557"/>
    <mergeCell ref="BN557:BQ557"/>
    <mergeCell ref="BR557:BW557"/>
    <mergeCell ref="BK491:BL491"/>
    <mergeCell ref="BM491:BN491"/>
    <mergeCell ref="BO491:BP491"/>
    <mergeCell ref="BG567:BM567"/>
    <mergeCell ref="BK529:BM529"/>
    <mergeCell ref="BN529:BQ529"/>
    <mergeCell ref="BR529:BW529"/>
    <mergeCell ref="BX568:CB568"/>
    <mergeCell ref="BG569:BM569"/>
    <mergeCell ref="BN569:BQ569"/>
    <mergeCell ref="BR569:BW569"/>
    <mergeCell ref="BX569:CB569"/>
    <mergeCell ref="D88:E88"/>
    <mergeCell ref="Q91:R91"/>
    <mergeCell ref="AZ91:BR91"/>
    <mergeCell ref="AZ92:BB94"/>
    <mergeCell ref="BC92:BD93"/>
    <mergeCell ref="BE92:BH92"/>
    <mergeCell ref="BI92:BL92"/>
    <mergeCell ref="BM92:BP92"/>
    <mergeCell ref="BQ92:BR93"/>
    <mergeCell ref="BE93:BF93"/>
    <mergeCell ref="BG93:BH93"/>
    <mergeCell ref="BI93:BJ93"/>
    <mergeCell ref="BK93:BL93"/>
    <mergeCell ref="BM93:BN93"/>
    <mergeCell ref="BO93:BP93"/>
    <mergeCell ref="BC94:BD94"/>
    <mergeCell ref="BE94:BF94"/>
    <mergeCell ref="BG94:BH94"/>
    <mergeCell ref="BI94:BJ94"/>
    <mergeCell ref="BK94:BL94"/>
    <mergeCell ref="K565:L565"/>
    <mergeCell ref="S565:U565"/>
    <mergeCell ref="X565:Z565"/>
    <mergeCell ref="AC565:AD565"/>
    <mergeCell ref="AG565:AH565"/>
    <mergeCell ref="BN565:BQ565"/>
    <mergeCell ref="BR565:BW565"/>
    <mergeCell ref="BX565:CB565"/>
    <mergeCell ref="BG566:BM566"/>
    <mergeCell ref="BN566:BQ566"/>
    <mergeCell ref="BS566:BW566"/>
    <mergeCell ref="BX566:CB566"/>
    <mergeCell ref="B563:N563"/>
    <mergeCell ref="O563:P563"/>
    <mergeCell ref="Q563:R563"/>
    <mergeCell ref="Y563:Z563"/>
    <mergeCell ref="AD563:AE563"/>
    <mergeCell ref="BB563:BD563"/>
    <mergeCell ref="BE563:BG563"/>
    <mergeCell ref="BH563:BJ563"/>
    <mergeCell ref="BK563:BM563"/>
    <mergeCell ref="BN563:BQ563"/>
    <mergeCell ref="BR563:BW563"/>
    <mergeCell ref="BX563:CB563"/>
    <mergeCell ref="K564:L564"/>
    <mergeCell ref="S564:U564"/>
    <mergeCell ref="X564:Z564"/>
    <mergeCell ref="AC564:AD564"/>
    <mergeCell ref="AG564:AH564"/>
    <mergeCell ref="AO564:AP564"/>
    <mergeCell ref="AW564:AY564"/>
    <mergeCell ref="BB564:BD564"/>
    <mergeCell ref="BE564:BG564"/>
    <mergeCell ref="BH564:BJ564"/>
    <mergeCell ref="BK564:BM564"/>
    <mergeCell ref="BN564:BQ564"/>
    <mergeCell ref="BR564:BW564"/>
    <mergeCell ref="BX564:CB564"/>
    <mergeCell ref="BX561:CB561"/>
    <mergeCell ref="B562:N562"/>
    <mergeCell ref="O562:P562"/>
    <mergeCell ref="Q562:R562"/>
    <mergeCell ref="S562:T562"/>
    <mergeCell ref="Y562:Z562"/>
    <mergeCell ref="AJ562:AK562"/>
    <mergeCell ref="BB562:BD562"/>
    <mergeCell ref="BE562:BG562"/>
    <mergeCell ref="BH562:BJ562"/>
    <mergeCell ref="BK562:BM562"/>
    <mergeCell ref="BN562:BQ562"/>
    <mergeCell ref="BR562:BW562"/>
    <mergeCell ref="BX562:CB562"/>
    <mergeCell ref="S563:T563"/>
    <mergeCell ref="AD562:AE562"/>
    <mergeCell ref="BN559:BQ559"/>
    <mergeCell ref="BR559:BW559"/>
    <mergeCell ref="BX559:CB559"/>
    <mergeCell ref="B560:N560"/>
    <mergeCell ref="O560:P560"/>
    <mergeCell ref="S560:T560"/>
    <mergeCell ref="W560:X560"/>
    <mergeCell ref="AA560:AC560"/>
    <mergeCell ref="BB560:BD560"/>
    <mergeCell ref="BE560:BG560"/>
    <mergeCell ref="BH560:BJ560"/>
    <mergeCell ref="BK560:BM560"/>
    <mergeCell ref="BN560:BQ560"/>
    <mergeCell ref="BR560:BW560"/>
    <mergeCell ref="BX560:CB560"/>
    <mergeCell ref="BX557:CB557"/>
    <mergeCell ref="B558:N558"/>
    <mergeCell ref="BO493:BP493"/>
    <mergeCell ref="BQ493:BR493"/>
    <mergeCell ref="C494:C496"/>
    <mergeCell ref="R494:R496"/>
    <mergeCell ref="AZ494:BB494"/>
    <mergeCell ref="BE494:BF494"/>
    <mergeCell ref="BG494:BH494"/>
    <mergeCell ref="BI494:BJ494"/>
    <mergeCell ref="BK494:BL494"/>
    <mergeCell ref="BM494:BN494"/>
    <mergeCell ref="BO494:BP494"/>
    <mergeCell ref="BQ494:BR494"/>
    <mergeCell ref="AZ495:BR495"/>
    <mergeCell ref="S493:S496"/>
    <mergeCell ref="AG509:AK509"/>
    <mergeCell ref="AL509:AQ511"/>
    <mergeCell ref="AR509:AV511"/>
    <mergeCell ref="AW509:BA511"/>
    <mergeCell ref="T510:U510"/>
    <mergeCell ref="W510:X510"/>
    <mergeCell ref="Z510:AA510"/>
    <mergeCell ref="AB510:AC510"/>
    <mergeCell ref="AE510:AF510"/>
    <mergeCell ref="AG510:AK510"/>
    <mergeCell ref="T511:U511"/>
    <mergeCell ref="W511:X511"/>
    <mergeCell ref="AR514:AV514"/>
    <mergeCell ref="BK512:BM512"/>
    <mergeCell ref="BN512:BQ512"/>
    <mergeCell ref="BR512:BW512"/>
    <mergeCell ref="BI490:BJ490"/>
    <mergeCell ref="BK490:BL490"/>
    <mergeCell ref="BM490:BN490"/>
    <mergeCell ref="BO490:BP490"/>
    <mergeCell ref="BQ490:BR490"/>
    <mergeCell ref="M487:N487"/>
    <mergeCell ref="AZ487:BB487"/>
    <mergeCell ref="BE487:BF487"/>
    <mergeCell ref="BG487:BH487"/>
    <mergeCell ref="BI487:BJ487"/>
    <mergeCell ref="BK487:BL487"/>
    <mergeCell ref="BM487:BN487"/>
    <mergeCell ref="BO487:BP487"/>
    <mergeCell ref="BQ487:BR487"/>
    <mergeCell ref="AZ488:BB488"/>
    <mergeCell ref="BE488:BF488"/>
    <mergeCell ref="BG488:BH488"/>
    <mergeCell ref="BI488:BJ488"/>
    <mergeCell ref="BK488:BL488"/>
    <mergeCell ref="BM488:BN488"/>
    <mergeCell ref="BO488:BP488"/>
    <mergeCell ref="BQ488:BR488"/>
    <mergeCell ref="AF479:AM491"/>
    <mergeCell ref="AZ485:BB485"/>
    <mergeCell ref="BE485:BF485"/>
    <mergeCell ref="BG485:BH485"/>
    <mergeCell ref="BI485:BJ485"/>
    <mergeCell ref="BK485:BL485"/>
    <mergeCell ref="BM485:BN485"/>
    <mergeCell ref="BO485:BP485"/>
    <mergeCell ref="BQ485:BR485"/>
    <mergeCell ref="L486:M486"/>
    <mergeCell ref="AZ486:BB486"/>
    <mergeCell ref="BE486:BF486"/>
    <mergeCell ref="BG486:BH486"/>
    <mergeCell ref="BI486:BJ486"/>
    <mergeCell ref="BK486:BL486"/>
    <mergeCell ref="BM486:BN486"/>
    <mergeCell ref="BO486:BP486"/>
    <mergeCell ref="BQ486:BR486"/>
    <mergeCell ref="AZ482:BB482"/>
    <mergeCell ref="BC482:BD482"/>
    <mergeCell ref="BE482:BF482"/>
    <mergeCell ref="BG482:BH482"/>
    <mergeCell ref="BI482:BJ482"/>
    <mergeCell ref="BK482:BL482"/>
    <mergeCell ref="BM482:BN482"/>
    <mergeCell ref="BO482:BP482"/>
    <mergeCell ref="BQ482:BR482"/>
    <mergeCell ref="R482:S482"/>
    <mergeCell ref="T482:U482"/>
    <mergeCell ref="AZ483:BB483"/>
    <mergeCell ref="BE483:BF483"/>
    <mergeCell ref="BG483:BH483"/>
    <mergeCell ref="BI483:BJ483"/>
    <mergeCell ref="BK483:BL483"/>
    <mergeCell ref="BM483:BN483"/>
    <mergeCell ref="G484:H484"/>
    <mergeCell ref="R483:S483"/>
    <mergeCell ref="AZ484:BB484"/>
    <mergeCell ref="BE484:BF484"/>
    <mergeCell ref="BG484:BH484"/>
    <mergeCell ref="BI484:BJ484"/>
    <mergeCell ref="BK484:BL484"/>
    <mergeCell ref="K479:L479"/>
    <mergeCell ref="AZ479:BB479"/>
    <mergeCell ref="BE479:BF479"/>
    <mergeCell ref="BG479:BH479"/>
    <mergeCell ref="BI479:BJ479"/>
    <mergeCell ref="BK479:BL479"/>
    <mergeCell ref="BM479:BN479"/>
    <mergeCell ref="R484:S484"/>
    <mergeCell ref="BO479:BP479"/>
    <mergeCell ref="BQ479:BR479"/>
    <mergeCell ref="BM484:BN484"/>
    <mergeCell ref="BO484:BP484"/>
    <mergeCell ref="BQ484:BR484"/>
    <mergeCell ref="AZ480:BB480"/>
    <mergeCell ref="BE480:BF480"/>
    <mergeCell ref="BG480:BH480"/>
    <mergeCell ref="BI480:BJ480"/>
    <mergeCell ref="BK480:BL480"/>
    <mergeCell ref="BM480:BN480"/>
    <mergeCell ref="BO480:BP480"/>
    <mergeCell ref="BQ480:BR480"/>
    <mergeCell ref="AZ481:BB481"/>
    <mergeCell ref="BC481:BD481"/>
    <mergeCell ref="BE481:BF481"/>
    <mergeCell ref="BI481:BJ481"/>
    <mergeCell ref="BK481:BL481"/>
    <mergeCell ref="BM481:BN481"/>
    <mergeCell ref="BO481:BP481"/>
    <mergeCell ref="BQ481:BR481"/>
    <mergeCell ref="BO483:BP483"/>
    <mergeCell ref="BQ483:BR483"/>
    <mergeCell ref="BI476:BJ476"/>
    <mergeCell ref="BK476:BL476"/>
    <mergeCell ref="BM476:BN476"/>
    <mergeCell ref="BO476:BP476"/>
    <mergeCell ref="BQ476:BR476"/>
    <mergeCell ref="AZ477:BB477"/>
    <mergeCell ref="BE477:BF477"/>
    <mergeCell ref="BG477:BH477"/>
    <mergeCell ref="BI477:BJ477"/>
    <mergeCell ref="BK477:BL477"/>
    <mergeCell ref="BM477:BN477"/>
    <mergeCell ref="BO477:BP477"/>
    <mergeCell ref="BQ477:BR477"/>
    <mergeCell ref="AZ478:BB478"/>
    <mergeCell ref="BE478:BF478"/>
    <mergeCell ref="BG478:BH478"/>
    <mergeCell ref="BI478:BJ478"/>
    <mergeCell ref="BK478:BL478"/>
    <mergeCell ref="BM478:BN478"/>
    <mergeCell ref="BO478:BP478"/>
    <mergeCell ref="BQ478:BR478"/>
    <mergeCell ref="AZ476:BB476"/>
    <mergeCell ref="BE476:BF476"/>
    <mergeCell ref="BG476:BH476"/>
    <mergeCell ref="BN763:BQ763"/>
    <mergeCell ref="BS763:BW763"/>
    <mergeCell ref="BX763:CB763"/>
    <mergeCell ref="BG764:BM764"/>
    <mergeCell ref="BN764:BQ764"/>
    <mergeCell ref="BR764:BW764"/>
    <mergeCell ref="BX764:CB764"/>
    <mergeCell ref="D469:E469"/>
    <mergeCell ref="Q472:R472"/>
    <mergeCell ref="AZ472:BR472"/>
    <mergeCell ref="AZ473:BB475"/>
    <mergeCell ref="BC473:BD474"/>
    <mergeCell ref="BE473:BH473"/>
    <mergeCell ref="BI473:BL473"/>
    <mergeCell ref="BM473:BP473"/>
    <mergeCell ref="BQ473:BR474"/>
    <mergeCell ref="BE474:BF474"/>
    <mergeCell ref="BG474:BH474"/>
    <mergeCell ref="BI474:BJ474"/>
    <mergeCell ref="BK474:BL474"/>
    <mergeCell ref="BM474:BN474"/>
    <mergeCell ref="BO474:BP474"/>
    <mergeCell ref="BC475:BD475"/>
    <mergeCell ref="K759:L759"/>
    <mergeCell ref="S759:U759"/>
    <mergeCell ref="X759:Z759"/>
    <mergeCell ref="AC759:AD759"/>
    <mergeCell ref="AG759:AH759"/>
    <mergeCell ref="AO759:AP759"/>
    <mergeCell ref="AW759:AY759"/>
    <mergeCell ref="BB759:BD759"/>
    <mergeCell ref="BE759:BG759"/>
    <mergeCell ref="BN759:BQ759"/>
    <mergeCell ref="BR759:BW759"/>
    <mergeCell ref="BX759:CB759"/>
    <mergeCell ref="K760:L760"/>
    <mergeCell ref="S760:U760"/>
    <mergeCell ref="X760:Z760"/>
    <mergeCell ref="AC760:AD760"/>
    <mergeCell ref="AG760:AH760"/>
    <mergeCell ref="AO760:AP760"/>
    <mergeCell ref="AW760:AY760"/>
    <mergeCell ref="BB760:BD760"/>
    <mergeCell ref="BE760:BG760"/>
    <mergeCell ref="BH760:BJ760"/>
    <mergeCell ref="BK760:BM760"/>
    <mergeCell ref="BN760:BQ760"/>
    <mergeCell ref="BR760:BW760"/>
    <mergeCell ref="BX760:CB760"/>
    <mergeCell ref="BE757:BG757"/>
    <mergeCell ref="BH757:BJ757"/>
    <mergeCell ref="BK757:BM757"/>
    <mergeCell ref="BN757:BQ757"/>
    <mergeCell ref="BR757:BW757"/>
    <mergeCell ref="BX757:CB757"/>
    <mergeCell ref="B758:N758"/>
    <mergeCell ref="O758:P758"/>
    <mergeCell ref="Q758:R758"/>
    <mergeCell ref="Y758:Z758"/>
    <mergeCell ref="AD758:AE758"/>
    <mergeCell ref="BB758:BD758"/>
    <mergeCell ref="BE758:BG758"/>
    <mergeCell ref="BH758:BJ758"/>
    <mergeCell ref="BK758:BM758"/>
    <mergeCell ref="BN758:BQ758"/>
    <mergeCell ref="BR758:BW758"/>
    <mergeCell ref="BX758:CB758"/>
    <mergeCell ref="S758:T758"/>
    <mergeCell ref="B755:N755"/>
    <mergeCell ref="O755:P755"/>
    <mergeCell ref="S755:T755"/>
    <mergeCell ref="W755:X755"/>
    <mergeCell ref="AA755:AC755"/>
    <mergeCell ref="BB755:BD755"/>
    <mergeCell ref="BE755:BG755"/>
    <mergeCell ref="BH755:BJ755"/>
    <mergeCell ref="BK755:BM755"/>
    <mergeCell ref="BN755:BQ755"/>
    <mergeCell ref="BR755:BW755"/>
    <mergeCell ref="BX755:CB755"/>
    <mergeCell ref="B756:N756"/>
    <mergeCell ref="O756:P756"/>
    <mergeCell ref="Q756:R756"/>
    <mergeCell ref="W756:X756"/>
    <mergeCell ref="AB756:AC756"/>
    <mergeCell ref="BB756:BD756"/>
    <mergeCell ref="BE756:BG756"/>
    <mergeCell ref="BH756:BJ756"/>
    <mergeCell ref="BK756:BM756"/>
    <mergeCell ref="BN756:BQ756"/>
    <mergeCell ref="BR756:BW756"/>
    <mergeCell ref="BX756:CB756"/>
    <mergeCell ref="BX753:CB753"/>
    <mergeCell ref="B754:N754"/>
    <mergeCell ref="O754:P754"/>
    <mergeCell ref="S754:T754"/>
    <mergeCell ref="AB754:AC754"/>
    <mergeCell ref="AF754:AG754"/>
    <mergeCell ref="AJ754:AK754"/>
    <mergeCell ref="AN754:AO754"/>
    <mergeCell ref="AS754:AU754"/>
    <mergeCell ref="BB754:BD754"/>
    <mergeCell ref="BE754:BG754"/>
    <mergeCell ref="BH754:BJ754"/>
    <mergeCell ref="BK754:BM754"/>
    <mergeCell ref="BN754:BQ754"/>
    <mergeCell ref="BR754:BW754"/>
    <mergeCell ref="BX754:CB754"/>
    <mergeCell ref="K691:L691"/>
    <mergeCell ref="K693:L693"/>
    <mergeCell ref="J694:M694"/>
    <mergeCell ref="B752:N752"/>
    <mergeCell ref="O752:P752"/>
    <mergeCell ref="S752:T752"/>
    <mergeCell ref="W752:X752"/>
    <mergeCell ref="AA752:AB752"/>
    <mergeCell ref="AF752:AH752"/>
    <mergeCell ref="BB752:BD752"/>
    <mergeCell ref="BE752:BG752"/>
    <mergeCell ref="BH752:BJ752"/>
    <mergeCell ref="BK752:BM752"/>
    <mergeCell ref="BN752:BQ752"/>
    <mergeCell ref="BR752:BW752"/>
    <mergeCell ref="W700:X700"/>
    <mergeCell ref="AZ682:BB682"/>
    <mergeCell ref="BE682:BF682"/>
    <mergeCell ref="BG682:BH682"/>
    <mergeCell ref="BI682:BJ682"/>
    <mergeCell ref="BK682:BL682"/>
    <mergeCell ref="BM682:BN682"/>
    <mergeCell ref="BO682:BP682"/>
    <mergeCell ref="BQ682:BR682"/>
    <mergeCell ref="C683:C685"/>
    <mergeCell ref="R683:R685"/>
    <mergeCell ref="AZ683:BB683"/>
    <mergeCell ref="BE683:BF683"/>
    <mergeCell ref="BG683:BH683"/>
    <mergeCell ref="BI683:BJ683"/>
    <mergeCell ref="BK683:BL683"/>
    <mergeCell ref="BM683:BN683"/>
    <mergeCell ref="BO683:BP683"/>
    <mergeCell ref="BQ683:BR683"/>
    <mergeCell ref="AZ684:BR684"/>
    <mergeCell ref="S682:S685"/>
    <mergeCell ref="AZ680:BB680"/>
    <mergeCell ref="BC680:BD680"/>
    <mergeCell ref="BE680:BF680"/>
    <mergeCell ref="BG680:BH680"/>
    <mergeCell ref="BI680:BJ680"/>
    <mergeCell ref="BK680:BL680"/>
    <mergeCell ref="BM680:BN680"/>
    <mergeCell ref="BO680:BP680"/>
    <mergeCell ref="BQ680:BR680"/>
    <mergeCell ref="AZ681:BB681"/>
    <mergeCell ref="BE681:BF681"/>
    <mergeCell ref="BG681:BH681"/>
    <mergeCell ref="BI681:BJ681"/>
    <mergeCell ref="BK681:BL681"/>
    <mergeCell ref="BM681:BN681"/>
    <mergeCell ref="BO681:BP681"/>
    <mergeCell ref="BQ681:BR681"/>
    <mergeCell ref="AZ678:BB678"/>
    <mergeCell ref="BE678:BF678"/>
    <mergeCell ref="BG678:BH678"/>
    <mergeCell ref="BI678:BJ678"/>
    <mergeCell ref="BK678:BL678"/>
    <mergeCell ref="BM678:BN678"/>
    <mergeCell ref="BO678:BP678"/>
    <mergeCell ref="BQ678:BR678"/>
    <mergeCell ref="AZ679:BB679"/>
    <mergeCell ref="BC679:BD679"/>
    <mergeCell ref="BE679:BF679"/>
    <mergeCell ref="BG679:BH679"/>
    <mergeCell ref="BI679:BJ679"/>
    <mergeCell ref="BK679:BL679"/>
    <mergeCell ref="BM679:BN679"/>
    <mergeCell ref="BO679:BP679"/>
    <mergeCell ref="BQ679:BR679"/>
    <mergeCell ref="M676:N676"/>
    <mergeCell ref="AZ676:BB676"/>
    <mergeCell ref="BE676:BF676"/>
    <mergeCell ref="BG676:BH676"/>
    <mergeCell ref="BI676:BJ676"/>
    <mergeCell ref="BK676:BL676"/>
    <mergeCell ref="BM676:BN676"/>
    <mergeCell ref="BO676:BP676"/>
    <mergeCell ref="BQ676:BR676"/>
    <mergeCell ref="AZ677:BB677"/>
    <mergeCell ref="BE677:BF677"/>
    <mergeCell ref="BG677:BH677"/>
    <mergeCell ref="BI677:BJ677"/>
    <mergeCell ref="BK677:BL677"/>
    <mergeCell ref="BM677:BN677"/>
    <mergeCell ref="BO677:BP677"/>
    <mergeCell ref="BQ677:BR677"/>
    <mergeCell ref="AF668:AM680"/>
    <mergeCell ref="AZ674:BB674"/>
    <mergeCell ref="BE674:BF674"/>
    <mergeCell ref="BG674:BH674"/>
    <mergeCell ref="BI674:BJ674"/>
    <mergeCell ref="BK674:BL674"/>
    <mergeCell ref="BM674:BN674"/>
    <mergeCell ref="BO674:BP674"/>
    <mergeCell ref="BQ674:BR674"/>
    <mergeCell ref="L675:M675"/>
    <mergeCell ref="N675:O675"/>
    <mergeCell ref="AZ675:BB675"/>
    <mergeCell ref="BE675:BF675"/>
    <mergeCell ref="BG675:BH675"/>
    <mergeCell ref="BI675:BJ675"/>
    <mergeCell ref="BK675:BL675"/>
    <mergeCell ref="BM675:BN675"/>
    <mergeCell ref="BO675:BP675"/>
    <mergeCell ref="BQ675:BR675"/>
    <mergeCell ref="P675:Q675"/>
    <mergeCell ref="AZ671:BB671"/>
    <mergeCell ref="BC671:BD671"/>
    <mergeCell ref="BE671:BF671"/>
    <mergeCell ref="BG671:BH671"/>
    <mergeCell ref="BI671:BJ671"/>
    <mergeCell ref="BK671:BL671"/>
    <mergeCell ref="BM671:BN671"/>
    <mergeCell ref="BO671:BP671"/>
    <mergeCell ref="BQ671:BR671"/>
    <mergeCell ref="F672:G672"/>
    <mergeCell ref="H672:I672"/>
    <mergeCell ref="R671:S671"/>
    <mergeCell ref="T671:U671"/>
    <mergeCell ref="AZ672:BB672"/>
    <mergeCell ref="BE672:BF672"/>
    <mergeCell ref="BG672:BH672"/>
    <mergeCell ref="BI672:BJ672"/>
    <mergeCell ref="BK672:BL672"/>
    <mergeCell ref="BM672:BN672"/>
    <mergeCell ref="BO672:BP672"/>
    <mergeCell ref="BQ672:BR672"/>
    <mergeCell ref="G673:H673"/>
    <mergeCell ref="R672:S672"/>
    <mergeCell ref="AZ673:BB673"/>
    <mergeCell ref="BE673:BF673"/>
    <mergeCell ref="BG673:BH673"/>
    <mergeCell ref="BI673:BJ673"/>
    <mergeCell ref="BK673:BL673"/>
    <mergeCell ref="BM673:BN673"/>
    <mergeCell ref="BO673:BP673"/>
    <mergeCell ref="BQ673:BR673"/>
    <mergeCell ref="AZ669:BB669"/>
    <mergeCell ref="BE669:BF669"/>
    <mergeCell ref="BG669:BH669"/>
    <mergeCell ref="BI669:BJ669"/>
    <mergeCell ref="BK669:BL669"/>
    <mergeCell ref="BM669:BN669"/>
    <mergeCell ref="BO669:BP669"/>
    <mergeCell ref="BQ669:BR669"/>
    <mergeCell ref="AZ670:BB670"/>
    <mergeCell ref="BC670:BD670"/>
    <mergeCell ref="BE670:BF670"/>
    <mergeCell ref="BG670:BH670"/>
    <mergeCell ref="BI670:BJ670"/>
    <mergeCell ref="BK670:BL670"/>
    <mergeCell ref="BM670:BN670"/>
    <mergeCell ref="BO670:BP670"/>
    <mergeCell ref="BQ670:BR670"/>
    <mergeCell ref="Q665:R665"/>
    <mergeCell ref="AZ665:BB665"/>
    <mergeCell ref="BE665:BF665"/>
    <mergeCell ref="BG665:BH665"/>
    <mergeCell ref="BI665:BJ665"/>
    <mergeCell ref="BK665:BL665"/>
    <mergeCell ref="BM666:BN666"/>
    <mergeCell ref="BO666:BP666"/>
    <mergeCell ref="BI667:BJ667"/>
    <mergeCell ref="BK667:BL667"/>
    <mergeCell ref="BM667:BN667"/>
    <mergeCell ref="BO667:BP667"/>
    <mergeCell ref="BQ667:BR667"/>
    <mergeCell ref="K668:L668"/>
    <mergeCell ref="AZ668:BB668"/>
    <mergeCell ref="BE668:BF668"/>
    <mergeCell ref="BG668:BH668"/>
    <mergeCell ref="BI668:BJ668"/>
    <mergeCell ref="BK668:BL668"/>
    <mergeCell ref="BM668:BN668"/>
    <mergeCell ref="BO668:BP668"/>
    <mergeCell ref="BQ668:BR668"/>
    <mergeCell ref="BQ666:BR666"/>
    <mergeCell ref="AZ667:BB667"/>
    <mergeCell ref="BE667:BF667"/>
    <mergeCell ref="BG667:BH667"/>
    <mergeCell ref="D658:E658"/>
    <mergeCell ref="Q661:R661"/>
    <mergeCell ref="AZ661:BR661"/>
    <mergeCell ref="AZ662:BB664"/>
    <mergeCell ref="BC662:BD663"/>
    <mergeCell ref="BE662:BH662"/>
    <mergeCell ref="BI662:BL662"/>
    <mergeCell ref="BM662:BP662"/>
    <mergeCell ref="BQ662:BR663"/>
    <mergeCell ref="BE663:BF663"/>
    <mergeCell ref="BG663:BH663"/>
    <mergeCell ref="BI663:BJ663"/>
    <mergeCell ref="BK663:BL663"/>
    <mergeCell ref="BM663:BN663"/>
    <mergeCell ref="BO663:BP663"/>
    <mergeCell ref="BC664:BD664"/>
    <mergeCell ref="BE664:BF664"/>
    <mergeCell ref="BG664:BH664"/>
    <mergeCell ref="BI664:BJ664"/>
    <mergeCell ref="BK664:BL664"/>
    <mergeCell ref="BM664:BN664"/>
    <mergeCell ref="BO664:BP664"/>
    <mergeCell ref="BQ664:BR664"/>
    <mergeCell ref="BX960:CB960"/>
    <mergeCell ref="BR960:BW960"/>
    <mergeCell ref="AF950:AG950"/>
    <mergeCell ref="AJ950:AK950"/>
    <mergeCell ref="AN950:AO950"/>
    <mergeCell ref="BG944:BM944"/>
    <mergeCell ref="BN944:BQ944"/>
    <mergeCell ref="BS944:BW944"/>
    <mergeCell ref="BX944:CB944"/>
    <mergeCell ref="BG945:BM945"/>
    <mergeCell ref="BN945:BQ945"/>
    <mergeCell ref="BS945:BW945"/>
    <mergeCell ref="BX945:CB945"/>
    <mergeCell ref="BG946:BM946"/>
    <mergeCell ref="BN946:BQ946"/>
    <mergeCell ref="BS946:BW946"/>
    <mergeCell ref="BX946:CB946"/>
    <mergeCell ref="BG947:BM947"/>
    <mergeCell ref="BN947:BQ947"/>
    <mergeCell ref="BH951:BJ951"/>
    <mergeCell ref="BK951:BM951"/>
    <mergeCell ref="BN951:BQ951"/>
    <mergeCell ref="BR951:BW951"/>
    <mergeCell ref="BX951:CB951"/>
    <mergeCell ref="BH954:BJ954"/>
    <mergeCell ref="BR949:BW949"/>
    <mergeCell ref="BX949:CB949"/>
    <mergeCell ref="BS959:BW959"/>
    <mergeCell ref="BX959:CB959"/>
    <mergeCell ref="BG960:BM960"/>
    <mergeCell ref="BN960:BQ960"/>
    <mergeCell ref="AF948:AH948"/>
    <mergeCell ref="AA951:AC951"/>
    <mergeCell ref="BB951:BD951"/>
    <mergeCell ref="BE951:BG951"/>
    <mergeCell ref="BN948:BQ948"/>
    <mergeCell ref="BR948:BW948"/>
    <mergeCell ref="BX948:CB948"/>
    <mergeCell ref="BS958:BW958"/>
    <mergeCell ref="BX958:CB958"/>
    <mergeCell ref="K955:L955"/>
    <mergeCell ref="AZ857:BB859"/>
    <mergeCell ref="BC857:BD858"/>
    <mergeCell ref="BE857:BH857"/>
    <mergeCell ref="BI857:BL857"/>
    <mergeCell ref="BN958:BQ958"/>
    <mergeCell ref="BG959:BM959"/>
    <mergeCell ref="BN959:BQ959"/>
    <mergeCell ref="BM857:BP857"/>
    <mergeCell ref="BE858:BF858"/>
    <mergeCell ref="BG858:BH858"/>
    <mergeCell ref="BI858:BJ858"/>
    <mergeCell ref="BK858:BL858"/>
    <mergeCell ref="BM858:BN858"/>
    <mergeCell ref="BO858:BP858"/>
    <mergeCell ref="BC859:BD859"/>
    <mergeCell ref="BE859:BF859"/>
    <mergeCell ref="BH955:BJ955"/>
    <mergeCell ref="BK955:BM955"/>
    <mergeCell ref="BN955:BQ955"/>
    <mergeCell ref="BR955:BW955"/>
    <mergeCell ref="BX955:CB955"/>
    <mergeCell ref="BX954:CB954"/>
    <mergeCell ref="BR953:BW953"/>
    <mergeCell ref="W952:X952"/>
    <mergeCell ref="O952:P952"/>
    <mergeCell ref="BR954:BW954"/>
    <mergeCell ref="BX953:CB953"/>
    <mergeCell ref="O953:P953"/>
    <mergeCell ref="BX957:CB957"/>
    <mergeCell ref="BG958:BM958"/>
    <mergeCell ref="Y953:Z953"/>
    <mergeCell ref="AJ953:AK953"/>
    <mergeCell ref="BB953:BD953"/>
    <mergeCell ref="BE953:BG953"/>
    <mergeCell ref="BH953:BJ953"/>
    <mergeCell ref="BK953:BM953"/>
    <mergeCell ref="BN953:BQ953"/>
    <mergeCell ref="BK954:BM954"/>
    <mergeCell ref="BN954:BQ954"/>
    <mergeCell ref="S955:U955"/>
    <mergeCell ref="X955:Z955"/>
    <mergeCell ref="AC955:AD955"/>
    <mergeCell ref="AG955:AH955"/>
    <mergeCell ref="AO955:AP955"/>
    <mergeCell ref="AW955:AY955"/>
    <mergeCell ref="BX956:CB956"/>
    <mergeCell ref="Q954:R954"/>
    <mergeCell ref="Y954:Z954"/>
    <mergeCell ref="AD954:AE954"/>
    <mergeCell ref="BG957:BM957"/>
    <mergeCell ref="BN957:BQ957"/>
    <mergeCell ref="BS957:BW957"/>
    <mergeCell ref="S954:T954"/>
    <mergeCell ref="B950:N950"/>
    <mergeCell ref="O950:P950"/>
    <mergeCell ref="S950:T950"/>
    <mergeCell ref="AB950:AC950"/>
    <mergeCell ref="AS950:AU950"/>
    <mergeCell ref="BB950:BD950"/>
    <mergeCell ref="BE950:BG950"/>
    <mergeCell ref="BH950:BJ950"/>
    <mergeCell ref="BK950:BM950"/>
    <mergeCell ref="BN950:BQ950"/>
    <mergeCell ref="BR950:BW950"/>
    <mergeCell ref="BX950:CB950"/>
    <mergeCell ref="D853:E853"/>
    <mergeCell ref="Q952:R952"/>
    <mergeCell ref="BB952:BD952"/>
    <mergeCell ref="BE952:BG952"/>
    <mergeCell ref="BH952:BJ952"/>
    <mergeCell ref="BK952:BM952"/>
    <mergeCell ref="BN952:BQ952"/>
    <mergeCell ref="BR952:BW952"/>
    <mergeCell ref="BX952:CB952"/>
    <mergeCell ref="B952:N952"/>
    <mergeCell ref="AB952:AC952"/>
    <mergeCell ref="W895:X895"/>
    <mergeCell ref="Z895:AA895"/>
    <mergeCell ref="AB895:AC895"/>
    <mergeCell ref="AE895:AF895"/>
    <mergeCell ref="AG895:AK895"/>
    <mergeCell ref="B896:N896"/>
    <mergeCell ref="O896:P896"/>
    <mergeCell ref="BB896:BD896"/>
    <mergeCell ref="BE896:BG896"/>
    <mergeCell ref="B954:N954"/>
    <mergeCell ref="O954:P954"/>
    <mergeCell ref="BB954:BD954"/>
    <mergeCell ref="BE954:BG954"/>
    <mergeCell ref="BB955:BD955"/>
    <mergeCell ref="BE955:BG955"/>
    <mergeCell ref="AW139:BA139"/>
    <mergeCell ref="AR134:AV134"/>
    <mergeCell ref="AR135:AV135"/>
    <mergeCell ref="BN136:BQ136"/>
    <mergeCell ref="BK134:BM134"/>
    <mergeCell ref="BK135:BM135"/>
    <mergeCell ref="T128:AA128"/>
    <mergeCell ref="T129:U129"/>
    <mergeCell ref="O949:P949"/>
    <mergeCell ref="S949:T949"/>
    <mergeCell ref="W949:X949"/>
    <mergeCell ref="AA949:AB949"/>
    <mergeCell ref="AF949:AH949"/>
    <mergeCell ref="BB949:BD949"/>
    <mergeCell ref="BE949:BG949"/>
    <mergeCell ref="BH949:BJ949"/>
    <mergeCell ref="BK949:BM949"/>
    <mergeCell ref="BN949:BQ949"/>
    <mergeCell ref="BM665:BN665"/>
    <mergeCell ref="BO665:BP665"/>
    <mergeCell ref="BQ665:BR665"/>
    <mergeCell ref="AZ666:BB666"/>
    <mergeCell ref="BE666:BF666"/>
    <mergeCell ref="BG666:BH666"/>
    <mergeCell ref="BI666:BJ666"/>
    <mergeCell ref="BK666:BL666"/>
    <mergeCell ref="O139:S139"/>
    <mergeCell ref="T139:U139"/>
    <mergeCell ref="BQ63:BQ68"/>
    <mergeCell ref="W138:X138"/>
    <mergeCell ref="AE133:AF133"/>
    <mergeCell ref="T134:U134"/>
    <mergeCell ref="W134:X134"/>
    <mergeCell ref="Z134:AA134"/>
    <mergeCell ref="BK95:BL95"/>
    <mergeCell ref="BM95:BN95"/>
    <mergeCell ref="BM97:BN97"/>
    <mergeCell ref="BO97:BP97"/>
    <mergeCell ref="BQ97:BR97"/>
    <mergeCell ref="K98:L98"/>
    <mergeCell ref="AZ102:BB102"/>
    <mergeCell ref="BE102:BF102"/>
    <mergeCell ref="BG102:BH102"/>
    <mergeCell ref="BI102:BJ102"/>
    <mergeCell ref="BK102:BL102"/>
    <mergeCell ref="BM102:BN102"/>
    <mergeCell ref="BO102:BP102"/>
    <mergeCell ref="BQ102:BR102"/>
    <mergeCell ref="BK98:BL98"/>
    <mergeCell ref="BM98:BN98"/>
    <mergeCell ref="BO98:BP98"/>
    <mergeCell ref="BQ98:BR98"/>
    <mergeCell ref="BK100:BL100"/>
    <mergeCell ref="BM100:BN100"/>
    <mergeCell ref="BC101:BD101"/>
    <mergeCell ref="BE101:BF101"/>
    <mergeCell ref="BK108:BL108"/>
    <mergeCell ref="BM108:BN108"/>
    <mergeCell ref="Y19:Z19"/>
    <mergeCell ref="AZ99:BB99"/>
    <mergeCell ref="BE99:BF99"/>
    <mergeCell ref="BG99:BH99"/>
    <mergeCell ref="BI99:BJ99"/>
    <mergeCell ref="BK99:BL99"/>
    <mergeCell ref="BX172:CB172"/>
    <mergeCell ref="BG101:BH101"/>
    <mergeCell ref="BI101:BJ101"/>
    <mergeCell ref="BK101:BL101"/>
    <mergeCell ref="BM101:BN101"/>
    <mergeCell ref="BO101:BP101"/>
    <mergeCell ref="BQ101:BR101"/>
    <mergeCell ref="BE103:BF103"/>
    <mergeCell ref="BG103:BH103"/>
    <mergeCell ref="BI103:BJ103"/>
    <mergeCell ref="BK103:BL103"/>
    <mergeCell ref="BM103:BN103"/>
    <mergeCell ref="BO103:BP103"/>
    <mergeCell ref="BQ103:BR103"/>
    <mergeCell ref="BK106:BL106"/>
    <mergeCell ref="BM106:BN106"/>
    <mergeCell ref="BN135:BQ135"/>
    <mergeCell ref="BN134:BQ134"/>
    <mergeCell ref="BQ94:BR94"/>
    <mergeCell ref="Z137:AA137"/>
    <mergeCell ref="AB137:AC137"/>
    <mergeCell ref="AE137:AF137"/>
    <mergeCell ref="AB141:AC141"/>
    <mergeCell ref="BN132:BQ132"/>
    <mergeCell ref="BE132:BG132"/>
    <mergeCell ref="AL134:AQ134"/>
    <mergeCell ref="Q95:R95"/>
    <mergeCell ref="AZ95:BB95"/>
    <mergeCell ref="AE134:AF134"/>
    <mergeCell ref="T135:U135"/>
    <mergeCell ref="T132:U132"/>
    <mergeCell ref="AG132:AK132"/>
    <mergeCell ref="BR131:BW131"/>
    <mergeCell ref="BM99:BN99"/>
    <mergeCell ref="BO99:BP99"/>
    <mergeCell ref="BQ99:BR99"/>
    <mergeCell ref="AZ100:BB100"/>
    <mergeCell ref="BC100:BD100"/>
    <mergeCell ref="BE100:BF100"/>
    <mergeCell ref="BG100:BH100"/>
    <mergeCell ref="BI100:BJ100"/>
    <mergeCell ref="O128:S130"/>
    <mergeCell ref="BO100:BP100"/>
    <mergeCell ref="BQ100:BR100"/>
    <mergeCell ref="AZ101:BB101"/>
    <mergeCell ref="BO95:BP95"/>
    <mergeCell ref="BQ95:BR95"/>
    <mergeCell ref="AZ96:BB96"/>
    <mergeCell ref="BE96:BF96"/>
    <mergeCell ref="BG96:BH96"/>
    <mergeCell ref="BI96:BJ96"/>
    <mergeCell ref="BK96:BL96"/>
    <mergeCell ref="BM96:BN96"/>
    <mergeCell ref="BO96:BP96"/>
    <mergeCell ref="AB130:AC130"/>
    <mergeCell ref="BH133:BJ133"/>
    <mergeCell ref="AG128:AK128"/>
    <mergeCell ref="AG129:AK129"/>
    <mergeCell ref="B142:N142"/>
    <mergeCell ref="C51:C52"/>
    <mergeCell ref="C49:C50"/>
    <mergeCell ref="C46:C48"/>
    <mergeCell ref="B132:N132"/>
    <mergeCell ref="B131:N131"/>
    <mergeCell ref="AH76:AH78"/>
    <mergeCell ref="D75:E76"/>
    <mergeCell ref="B135:N135"/>
    <mergeCell ref="AL135:AQ135"/>
    <mergeCell ref="BB132:BD132"/>
    <mergeCell ref="BH132:BJ132"/>
    <mergeCell ref="B137:N137"/>
    <mergeCell ref="B138:N138"/>
    <mergeCell ref="M106:N106"/>
    <mergeCell ref="AZ106:BB106"/>
    <mergeCell ref="BE106:BF106"/>
    <mergeCell ref="BG106:BH106"/>
    <mergeCell ref="BI106:BJ106"/>
    <mergeCell ref="AG130:AK130"/>
    <mergeCell ref="Z133:AA133"/>
    <mergeCell ref="H81:I81"/>
    <mergeCell ref="X81:Y81"/>
    <mergeCell ref="F75:F76"/>
    <mergeCell ref="W129:X129"/>
    <mergeCell ref="BH71:BH72"/>
    <mergeCell ref="O127:BA127"/>
    <mergeCell ref="B127:N130"/>
    <mergeCell ref="Z130:AA130"/>
    <mergeCell ref="BE135:BG135"/>
    <mergeCell ref="E45:E47"/>
    <mergeCell ref="E50:E52"/>
    <mergeCell ref="E60:E62"/>
    <mergeCell ref="W133:X133"/>
    <mergeCell ref="AL133:AQ133"/>
    <mergeCell ref="AR133:AV133"/>
    <mergeCell ref="BB133:BD133"/>
    <mergeCell ref="AZ98:BB98"/>
    <mergeCell ref="BE98:BF98"/>
    <mergeCell ref="L105:M105"/>
    <mergeCell ref="BE95:BF95"/>
    <mergeCell ref="W26:X26"/>
    <mergeCell ref="Z26:AA26"/>
    <mergeCell ref="Z142:AA142"/>
    <mergeCell ref="AB142:AC142"/>
    <mergeCell ref="AE142:AF142"/>
    <mergeCell ref="AB132:AC132"/>
    <mergeCell ref="AE132:AF132"/>
    <mergeCell ref="AR136:AV136"/>
    <mergeCell ref="O142:S142"/>
    <mergeCell ref="T140:U140"/>
    <mergeCell ref="O138:S138"/>
    <mergeCell ref="W140:X140"/>
    <mergeCell ref="AW133:BA133"/>
    <mergeCell ref="AW134:BA134"/>
    <mergeCell ref="AB133:AC133"/>
    <mergeCell ref="N26:O26"/>
    <mergeCell ref="S83:T83"/>
    <mergeCell ref="B141:N141"/>
    <mergeCell ref="O132:S132"/>
    <mergeCell ref="Z132:AA132"/>
    <mergeCell ref="G103:H103"/>
    <mergeCell ref="R102:S102"/>
    <mergeCell ref="W137:X137"/>
    <mergeCell ref="S21:T21"/>
    <mergeCell ref="N10:O10"/>
    <mergeCell ref="N19:O19"/>
    <mergeCell ref="E30:E32"/>
    <mergeCell ref="D73:E73"/>
    <mergeCell ref="D78:E78"/>
    <mergeCell ref="E55:E57"/>
    <mergeCell ref="BM94:BN94"/>
    <mergeCell ref="BO94:BP94"/>
    <mergeCell ref="S24:T24"/>
    <mergeCell ref="H26:I26"/>
    <mergeCell ref="K26:L26"/>
    <mergeCell ref="Z129:AA129"/>
    <mergeCell ref="AB128:AF128"/>
    <mergeCell ref="BG95:BH95"/>
    <mergeCell ref="BI95:BJ95"/>
    <mergeCell ref="AZ103:BB103"/>
    <mergeCell ref="K81:L81"/>
    <mergeCell ref="AZ97:BB97"/>
    <mergeCell ref="BE97:BF97"/>
    <mergeCell ref="BG97:BH97"/>
    <mergeCell ref="BI97:BJ97"/>
    <mergeCell ref="BK97:BL97"/>
    <mergeCell ref="BO106:BP106"/>
    <mergeCell ref="BI105:BJ105"/>
    <mergeCell ref="BK105:BL105"/>
    <mergeCell ref="BM105:BN105"/>
    <mergeCell ref="BO105:BP105"/>
    <mergeCell ref="BO108:BP108"/>
    <mergeCell ref="S112:S115"/>
    <mergeCell ref="AZ110:BB110"/>
    <mergeCell ref="BC110:BD110"/>
    <mergeCell ref="T143:U143"/>
    <mergeCell ref="W143:X143"/>
    <mergeCell ref="Z143:AA143"/>
    <mergeCell ref="AB143:AC143"/>
    <mergeCell ref="AE143:AF143"/>
    <mergeCell ref="CL2:CN2"/>
    <mergeCell ref="CQ2:CR2"/>
    <mergeCell ref="CT2:CU2"/>
    <mergeCell ref="CL3:CM3"/>
    <mergeCell ref="BH139:BJ139"/>
    <mergeCell ref="AY21:BA21"/>
    <mergeCell ref="B125:CB126"/>
    <mergeCell ref="B2:CB2"/>
    <mergeCell ref="AH7:AI7"/>
    <mergeCell ref="AH11:AI11"/>
    <mergeCell ref="AJ13:AJ14"/>
    <mergeCell ref="AH13:AI14"/>
    <mergeCell ref="AL33:AM33"/>
    <mergeCell ref="AM19:AN19"/>
    <mergeCell ref="AQ19:AR19"/>
    <mergeCell ref="AB10:AC10"/>
    <mergeCell ref="AU19:AV19"/>
    <mergeCell ref="AH16:AI16"/>
    <mergeCell ref="C11:C13"/>
    <mergeCell ref="E7:E9"/>
    <mergeCell ref="AC26:AD26"/>
    <mergeCell ref="E13:E15"/>
    <mergeCell ref="AE129:AF129"/>
    <mergeCell ref="AE130:AF130"/>
    <mergeCell ref="AL128:AQ130"/>
    <mergeCell ref="AR128:AV130"/>
    <mergeCell ref="BE133:BG133"/>
    <mergeCell ref="CW2:CX2"/>
    <mergeCell ref="BG173:BM173"/>
    <mergeCell ref="BN173:BQ173"/>
    <mergeCell ref="CL45:CL68"/>
    <mergeCell ref="AE140:AF140"/>
    <mergeCell ref="BH166:BJ166"/>
    <mergeCell ref="BN166:BQ166"/>
    <mergeCell ref="BR166:BW166"/>
    <mergeCell ref="BX166:CB166"/>
    <mergeCell ref="AY19:AZ19"/>
    <mergeCell ref="BC19:BD19"/>
    <mergeCell ref="AD81:AE81"/>
    <mergeCell ref="AR132:AV132"/>
    <mergeCell ref="AE135:AF135"/>
    <mergeCell ref="CE16:CJ23"/>
    <mergeCell ref="BQ96:BR96"/>
    <mergeCell ref="BS173:BW173"/>
    <mergeCell ref="BN139:BQ139"/>
    <mergeCell ref="AW132:BA132"/>
    <mergeCell ref="BR127:BW130"/>
    <mergeCell ref="BR132:BW132"/>
    <mergeCell ref="BR133:BW133"/>
    <mergeCell ref="BB170:BD170"/>
    <mergeCell ref="BE170:BG170"/>
    <mergeCell ref="BE131:BG131"/>
    <mergeCell ref="BH131:BJ131"/>
    <mergeCell ref="BX138:CB138"/>
    <mergeCell ref="BP63:BP68"/>
    <mergeCell ref="BK109:BL109"/>
    <mergeCell ref="BM109:BN109"/>
    <mergeCell ref="BO109:BP109"/>
    <mergeCell ref="BQ109:BR109"/>
    <mergeCell ref="O133:S133"/>
    <mergeCell ref="O134:S134"/>
    <mergeCell ref="O135:S135"/>
    <mergeCell ref="O136:S136"/>
    <mergeCell ref="O137:S137"/>
    <mergeCell ref="F102:G102"/>
    <mergeCell ref="H102:I102"/>
    <mergeCell ref="R101:S101"/>
    <mergeCell ref="T101:U101"/>
    <mergeCell ref="C113:C115"/>
    <mergeCell ref="R113:R115"/>
    <mergeCell ref="E35:E37"/>
    <mergeCell ref="C41:C43"/>
    <mergeCell ref="O140:S140"/>
    <mergeCell ref="O141:S141"/>
    <mergeCell ref="O131:P131"/>
    <mergeCell ref="Q26:R26"/>
    <mergeCell ref="T26:U26"/>
    <mergeCell ref="E40:E42"/>
    <mergeCell ref="B133:N133"/>
    <mergeCell ref="B134:N134"/>
    <mergeCell ref="R103:S103"/>
    <mergeCell ref="S81:T81"/>
    <mergeCell ref="N81:O81"/>
    <mergeCell ref="P105:Q105"/>
    <mergeCell ref="N105:O105"/>
    <mergeCell ref="T136:U136"/>
    <mergeCell ref="T130:U130"/>
    <mergeCell ref="B136:N136"/>
    <mergeCell ref="T141:U141"/>
    <mergeCell ref="T137:U137"/>
    <mergeCell ref="B139:N139"/>
    <mergeCell ref="W136:X136"/>
    <mergeCell ref="BK143:BM143"/>
    <mergeCell ref="P147:Q147"/>
    <mergeCell ref="U147:V147"/>
    <mergeCell ref="Z147:AA147"/>
    <mergeCell ref="AA81:AB81"/>
    <mergeCell ref="E69:E71"/>
    <mergeCell ref="C73:C75"/>
    <mergeCell ref="AR142:AV142"/>
    <mergeCell ref="AB138:AC138"/>
    <mergeCell ref="AE138:AF138"/>
    <mergeCell ref="AB135:AC135"/>
    <mergeCell ref="T138:U138"/>
    <mergeCell ref="O169:T169"/>
    <mergeCell ref="BK167:BM167"/>
    <mergeCell ref="BN167:BQ167"/>
    <mergeCell ref="BK164:BM164"/>
    <mergeCell ref="BN164:BQ164"/>
    <mergeCell ref="Z152:AA152"/>
    <mergeCell ref="BB152:BD152"/>
    <mergeCell ref="BE152:BG152"/>
    <mergeCell ref="BH152:BJ152"/>
    <mergeCell ref="BK152:BM152"/>
    <mergeCell ref="BN152:BQ152"/>
    <mergeCell ref="P164:Q164"/>
    <mergeCell ref="Y164:Z164"/>
    <mergeCell ref="BB164:BD164"/>
    <mergeCell ref="BE164:BG164"/>
    <mergeCell ref="AR144:AV144"/>
    <mergeCell ref="AW144:BA144"/>
    <mergeCell ref="Z144:AA144"/>
    <mergeCell ref="Z138:AA138"/>
    <mergeCell ref="AB134:AC134"/>
    <mergeCell ref="BR140:BW140"/>
    <mergeCell ref="BR141:BW141"/>
    <mergeCell ref="BK136:BM136"/>
    <mergeCell ref="AW143:BA143"/>
    <mergeCell ref="AL143:AQ143"/>
    <mergeCell ref="AR143:AV143"/>
    <mergeCell ref="AL138:AQ138"/>
    <mergeCell ref="AR138:AV138"/>
    <mergeCell ref="BN140:BQ140"/>
    <mergeCell ref="AW141:BA141"/>
    <mergeCell ref="BE140:BG140"/>
    <mergeCell ref="BH140:BJ140"/>
    <mergeCell ref="BE139:BG139"/>
    <mergeCell ref="Z140:AA140"/>
    <mergeCell ref="AB140:AC140"/>
    <mergeCell ref="AL142:AQ142"/>
    <mergeCell ref="AW142:BA142"/>
    <mergeCell ref="Z136:AA136"/>
    <mergeCell ref="AB136:AC136"/>
    <mergeCell ref="AE136:AF136"/>
    <mergeCell ref="AL137:AQ137"/>
    <mergeCell ref="AR137:AV137"/>
    <mergeCell ref="BE134:BG134"/>
    <mergeCell ref="BE138:BG138"/>
    <mergeCell ref="BB135:BD135"/>
    <mergeCell ref="BN137:BQ137"/>
    <mergeCell ref="BK137:BM137"/>
    <mergeCell ref="BH137:BJ137"/>
    <mergeCell ref="B140:N140"/>
    <mergeCell ref="AW135:BA135"/>
    <mergeCell ref="AW136:BA136"/>
    <mergeCell ref="AW137:BA137"/>
    <mergeCell ref="AW138:BA138"/>
    <mergeCell ref="AW140:BA140"/>
    <mergeCell ref="BB141:BD141"/>
    <mergeCell ref="O143:S143"/>
    <mergeCell ref="W135:X135"/>
    <mergeCell ref="Z135:AA135"/>
    <mergeCell ref="BR137:BW137"/>
    <mergeCell ref="BX137:CB137"/>
    <mergeCell ref="BX158:CB158"/>
    <mergeCell ref="BX143:CB143"/>
    <mergeCell ref="BR143:BW143"/>
    <mergeCell ref="BR138:BW138"/>
    <mergeCell ref="BE148:BG148"/>
    <mergeCell ref="BH148:BJ148"/>
    <mergeCell ref="BN148:BQ148"/>
    <mergeCell ref="B150:N150"/>
    <mergeCell ref="BB150:BD150"/>
    <mergeCell ref="BE150:BG150"/>
    <mergeCell ref="BR135:BW135"/>
    <mergeCell ref="B143:N143"/>
    <mergeCell ref="AL141:AQ141"/>
    <mergeCell ref="AR141:AV141"/>
    <mergeCell ref="AL140:AQ140"/>
    <mergeCell ref="AR140:AV140"/>
    <mergeCell ref="BB140:BD140"/>
    <mergeCell ref="BH135:BJ135"/>
    <mergeCell ref="BB137:BD137"/>
    <mergeCell ref="BE137:BG137"/>
    <mergeCell ref="P151:Q151"/>
    <mergeCell ref="O168:T168"/>
    <mergeCell ref="B165:N165"/>
    <mergeCell ref="BH164:BJ164"/>
    <mergeCell ref="BR150:BW150"/>
    <mergeCell ref="BN158:BQ158"/>
    <mergeCell ref="BR158:BW158"/>
    <mergeCell ref="BE166:BG166"/>
    <mergeCell ref="P150:Q150"/>
    <mergeCell ref="BR152:BW152"/>
    <mergeCell ref="BN151:BQ151"/>
    <mergeCell ref="B163:N163"/>
    <mergeCell ref="P163:Q163"/>
    <mergeCell ref="Y163:Z163"/>
    <mergeCell ref="BB163:BD163"/>
    <mergeCell ref="BE163:BG163"/>
    <mergeCell ref="BH163:BJ163"/>
    <mergeCell ref="BK163:BM163"/>
    <mergeCell ref="BN163:BQ163"/>
    <mergeCell ref="O167:P167"/>
    <mergeCell ref="Y167:Z167"/>
    <mergeCell ref="BB167:BD167"/>
    <mergeCell ref="BE167:BG167"/>
    <mergeCell ref="BH167:BJ167"/>
    <mergeCell ref="U151:V151"/>
    <mergeCell ref="B158:N158"/>
    <mergeCell ref="P158:Q158"/>
    <mergeCell ref="U150:V150"/>
    <mergeCell ref="Z150:AA150"/>
    <mergeCell ref="BB158:BD158"/>
    <mergeCell ref="B161:N161"/>
    <mergeCell ref="P161:Q161"/>
    <mergeCell ref="BB139:BD139"/>
    <mergeCell ref="BN138:BQ138"/>
    <mergeCell ref="BK138:BM138"/>
    <mergeCell ref="BB138:BD138"/>
    <mergeCell ref="W169:Y169"/>
    <mergeCell ref="BB169:BD169"/>
    <mergeCell ref="BE169:BG169"/>
    <mergeCell ref="BH169:BJ169"/>
    <mergeCell ref="BN169:BQ169"/>
    <mergeCell ref="BR169:BW169"/>
    <mergeCell ref="BB168:BD168"/>
    <mergeCell ref="BE168:BG168"/>
    <mergeCell ref="BH168:BJ168"/>
    <mergeCell ref="Z151:AA151"/>
    <mergeCell ref="BB151:BD151"/>
    <mergeCell ref="BE151:BG151"/>
    <mergeCell ref="BE158:BG158"/>
    <mergeCell ref="BH158:BJ158"/>
    <mergeCell ref="BH150:BJ150"/>
    <mergeCell ref="BN150:BQ150"/>
    <mergeCell ref="BR139:BW139"/>
    <mergeCell ref="BK141:BM141"/>
    <mergeCell ref="BB144:BD144"/>
    <mergeCell ref="BE145:BG145"/>
    <mergeCell ref="BH145:BJ145"/>
    <mergeCell ref="BN142:BQ142"/>
    <mergeCell ref="BN143:BQ143"/>
    <mergeCell ref="BH143:BJ143"/>
    <mergeCell ref="BH141:BJ141"/>
    <mergeCell ref="Y161:Z161"/>
    <mergeCell ref="BB149:BD149"/>
    <mergeCell ref="BE149:BG149"/>
    <mergeCell ref="BH138:BJ138"/>
    <mergeCell ref="BB131:BD131"/>
    <mergeCell ref="BN144:BQ144"/>
    <mergeCell ref="BX141:CB141"/>
    <mergeCell ref="BX140:CB140"/>
    <mergeCell ref="BX133:CB133"/>
    <mergeCell ref="BX134:CB134"/>
    <mergeCell ref="BX132:CB132"/>
    <mergeCell ref="BX127:CB130"/>
    <mergeCell ref="BX131:CB131"/>
    <mergeCell ref="BA60:BB60"/>
    <mergeCell ref="CE7:CJ14"/>
    <mergeCell ref="BX136:CB136"/>
    <mergeCell ref="BG19:BH19"/>
    <mergeCell ref="BK19:BL19"/>
    <mergeCell ref="BR136:BW136"/>
    <mergeCell ref="BO63:BO68"/>
    <mergeCell ref="BK139:BM139"/>
    <mergeCell ref="BK140:BM140"/>
    <mergeCell ref="BR134:BW134"/>
    <mergeCell ref="BB127:BD130"/>
    <mergeCell ref="BE127:BG130"/>
    <mergeCell ref="BH127:BJ130"/>
    <mergeCell ref="BG98:BH98"/>
    <mergeCell ref="BI98:BJ98"/>
    <mergeCell ref="BN127:BQ130"/>
    <mergeCell ref="BK127:BM130"/>
    <mergeCell ref="BK131:BM131"/>
    <mergeCell ref="BK132:BM132"/>
    <mergeCell ref="BX135:CB135"/>
    <mergeCell ref="BX139:CB139"/>
    <mergeCell ref="BH134:BJ134"/>
    <mergeCell ref="CL69:CL92"/>
    <mergeCell ref="CL93:CL117"/>
    <mergeCell ref="CL4:CL26"/>
    <mergeCell ref="CL27:CL44"/>
    <mergeCell ref="BK133:BM133"/>
    <mergeCell ref="BN133:BQ133"/>
    <mergeCell ref="BQ106:BR106"/>
    <mergeCell ref="BQ105:BR105"/>
    <mergeCell ref="AZ105:BB105"/>
    <mergeCell ref="BE105:BF105"/>
    <mergeCell ref="BG105:BH105"/>
    <mergeCell ref="AZ104:BB104"/>
    <mergeCell ref="BE104:BF104"/>
    <mergeCell ref="BG104:BH104"/>
    <mergeCell ref="BI104:BJ104"/>
    <mergeCell ref="BK104:BL104"/>
    <mergeCell ref="BM104:BN104"/>
    <mergeCell ref="BO104:BP104"/>
    <mergeCell ref="BQ104:BR104"/>
    <mergeCell ref="AW128:BA130"/>
    <mergeCell ref="BI107:BJ107"/>
    <mergeCell ref="BK107:BL107"/>
    <mergeCell ref="BO113:BP113"/>
    <mergeCell ref="BQ113:BR113"/>
    <mergeCell ref="AZ114:BR114"/>
    <mergeCell ref="AL394:AL395"/>
    <mergeCell ref="X395:Y395"/>
    <mergeCell ref="T144:U144"/>
    <mergeCell ref="W144:X144"/>
    <mergeCell ref="AB144:AC144"/>
    <mergeCell ref="T142:U142"/>
    <mergeCell ref="U153:V153"/>
    <mergeCell ref="Z153:AA153"/>
    <mergeCell ref="B156:N156"/>
    <mergeCell ref="P156:Q156"/>
    <mergeCell ref="U156:V156"/>
    <mergeCell ref="Z156:AA156"/>
    <mergeCell ref="B151:N151"/>
    <mergeCell ref="Z170:AA170"/>
    <mergeCell ref="O170:Q170"/>
    <mergeCell ref="B170:N170"/>
    <mergeCell ref="T170:V170"/>
    <mergeCell ref="B148:N148"/>
    <mergeCell ref="P148:Q148"/>
    <mergeCell ref="U148:V148"/>
    <mergeCell ref="Z148:AA148"/>
    <mergeCell ref="B383:CB383"/>
    <mergeCell ref="O144:S144"/>
    <mergeCell ref="AE144:AF144"/>
    <mergeCell ref="BB176:BD176"/>
    <mergeCell ref="BE176:BG176"/>
    <mergeCell ref="BH176:BJ176"/>
    <mergeCell ref="BK176:BM176"/>
    <mergeCell ref="BN176:BQ176"/>
    <mergeCell ref="O180:P180"/>
    <mergeCell ref="B190:CB190"/>
    <mergeCell ref="E195:E197"/>
    <mergeCell ref="S402:T402"/>
    <mergeCell ref="BA402:BC402"/>
    <mergeCell ref="S405:T405"/>
    <mergeCell ref="H407:I407"/>
    <mergeCell ref="K407:L407"/>
    <mergeCell ref="N407:O407"/>
    <mergeCell ref="Q407:R407"/>
    <mergeCell ref="T407:U407"/>
    <mergeCell ref="AE141:AF141"/>
    <mergeCell ref="W142:X142"/>
    <mergeCell ref="B152:N152"/>
    <mergeCell ref="P152:Q152"/>
    <mergeCell ref="U152:V152"/>
    <mergeCell ref="BR164:BW164"/>
    <mergeCell ref="BX164:CB164"/>
    <mergeCell ref="O166:P166"/>
    <mergeCell ref="B166:N166"/>
    <mergeCell ref="Y166:Z166"/>
    <mergeCell ref="AH391:AH392"/>
    <mergeCell ref="N400:O400"/>
    <mergeCell ref="Y400:Z400"/>
    <mergeCell ref="AO400:AP400"/>
    <mergeCell ref="AS400:AT400"/>
    <mergeCell ref="AW400:AX400"/>
    <mergeCell ref="BA400:BB400"/>
    <mergeCell ref="BE400:BF400"/>
    <mergeCell ref="AJ397:AK397"/>
    <mergeCell ref="B160:N160"/>
    <mergeCell ref="P160:Q160"/>
    <mergeCell ref="Y160:Z160"/>
    <mergeCell ref="BB166:BD166"/>
    <mergeCell ref="Z386:AA386"/>
    <mergeCell ref="BG172:BM172"/>
    <mergeCell ref="BN153:BQ153"/>
    <mergeCell ref="BR153:BW153"/>
    <mergeCell ref="BX153:CB153"/>
    <mergeCell ref="P146:Q146"/>
    <mergeCell ref="BK146:BM146"/>
    <mergeCell ref="BN146:BQ146"/>
    <mergeCell ref="BR146:BW146"/>
    <mergeCell ref="BX146:CB146"/>
    <mergeCell ref="AM146:AN146"/>
    <mergeCell ref="B147:N147"/>
    <mergeCell ref="B144:N144"/>
    <mergeCell ref="BN145:BQ145"/>
    <mergeCell ref="BR145:BW145"/>
    <mergeCell ref="BK144:BM144"/>
    <mergeCell ref="B153:N153"/>
    <mergeCell ref="P153:Q153"/>
    <mergeCell ref="BK148:BM148"/>
    <mergeCell ref="BK145:BM145"/>
    <mergeCell ref="B157:N157"/>
    <mergeCell ref="BR144:BW144"/>
    <mergeCell ref="BB148:BD148"/>
    <mergeCell ref="BH170:BJ170"/>
    <mergeCell ref="BN170:BQ170"/>
    <mergeCell ref="BR170:BW170"/>
    <mergeCell ref="W168:Y168"/>
    <mergeCell ref="BK158:BM158"/>
    <mergeCell ref="BR148:BW148"/>
    <mergeCell ref="B149:N149"/>
    <mergeCell ref="P149:Q149"/>
    <mergeCell ref="U149:V149"/>
    <mergeCell ref="Z149:AA149"/>
    <mergeCell ref="W407:X407"/>
    <mergeCell ref="Z407:AA407"/>
    <mergeCell ref="AC407:AD407"/>
    <mergeCell ref="AY407:AZ407"/>
    <mergeCell ref="BA407:BB407"/>
    <mergeCell ref="BC407:BD407"/>
    <mergeCell ref="BE407:BF407"/>
    <mergeCell ref="BG407:BH407"/>
    <mergeCell ref="BI407:BJ407"/>
    <mergeCell ref="BI400:BJ400"/>
    <mergeCell ref="BI408:BJ408"/>
    <mergeCell ref="BM407:BN407"/>
    <mergeCell ref="BM408:BN408"/>
    <mergeCell ref="AY410:AZ410"/>
    <mergeCell ref="BA410:BB410"/>
    <mergeCell ref="BE410:BF410"/>
    <mergeCell ref="BG410:BH410"/>
    <mergeCell ref="BK407:BL407"/>
    <mergeCell ref="BK408:BL408"/>
    <mergeCell ref="AY409:AZ409"/>
    <mergeCell ref="BA409:BB409"/>
    <mergeCell ref="BE409:BF409"/>
    <mergeCell ref="BG409:BH409"/>
    <mergeCell ref="BG408:BH408"/>
    <mergeCell ref="BM400:BN400"/>
    <mergeCell ref="E411:E413"/>
    <mergeCell ref="AY411:AZ411"/>
    <mergeCell ref="BA411:BB411"/>
    <mergeCell ref="BE411:BF411"/>
    <mergeCell ref="BG411:BH411"/>
    <mergeCell ref="AY412:AZ412"/>
    <mergeCell ref="BA412:BB412"/>
    <mergeCell ref="BE412:BF412"/>
    <mergeCell ref="BG412:BH412"/>
    <mergeCell ref="AY413:AZ413"/>
    <mergeCell ref="BA413:BB413"/>
    <mergeCell ref="BE413:BF413"/>
    <mergeCell ref="BG413:BH413"/>
    <mergeCell ref="AY408:AZ408"/>
    <mergeCell ref="BA408:BB408"/>
    <mergeCell ref="BC408:BD408"/>
    <mergeCell ref="BE408:BF408"/>
    <mergeCell ref="AY416:AZ416"/>
    <mergeCell ref="BA416:BB416"/>
    <mergeCell ref="BE416:BF416"/>
    <mergeCell ref="BG416:BH416"/>
    <mergeCell ref="AY417:AZ417"/>
    <mergeCell ref="BA417:BB417"/>
    <mergeCell ref="BE417:BF417"/>
    <mergeCell ref="BG417:BH417"/>
    <mergeCell ref="AY418:AZ418"/>
    <mergeCell ref="BA418:BB418"/>
    <mergeCell ref="BE418:BF418"/>
    <mergeCell ref="BG418:BH418"/>
    <mergeCell ref="BE424:BF424"/>
    <mergeCell ref="AL414:AM414"/>
    <mergeCell ref="AY414:AZ414"/>
    <mergeCell ref="BA414:BB414"/>
    <mergeCell ref="BE414:BF414"/>
    <mergeCell ref="BG414:BH414"/>
    <mergeCell ref="AY415:AZ415"/>
    <mergeCell ref="BA415:BB415"/>
    <mergeCell ref="BE415:BF415"/>
    <mergeCell ref="BG415:BH415"/>
    <mergeCell ref="BO444:BO449"/>
    <mergeCell ref="BP444:BP449"/>
    <mergeCell ref="BQ444:BQ449"/>
    <mergeCell ref="E450:E452"/>
    <mergeCell ref="BH452:BH453"/>
    <mergeCell ref="C454:C456"/>
    <mergeCell ref="D454:E454"/>
    <mergeCell ref="D456:E457"/>
    <mergeCell ref="F456:F457"/>
    <mergeCell ref="AH457:AH459"/>
    <mergeCell ref="D459:E459"/>
    <mergeCell ref="AY425:AZ425"/>
    <mergeCell ref="BA425:BB425"/>
    <mergeCell ref="BE425:BF425"/>
    <mergeCell ref="BG425:BH425"/>
    <mergeCell ref="E426:E428"/>
    <mergeCell ref="BE426:BF426"/>
    <mergeCell ref="BG426:BH426"/>
    <mergeCell ref="C427:C429"/>
    <mergeCell ref="C430:C431"/>
    <mergeCell ref="E431:E433"/>
    <mergeCell ref="C432:C433"/>
    <mergeCell ref="E436:E438"/>
    <mergeCell ref="E441:E443"/>
    <mergeCell ref="BB512:BD512"/>
    <mergeCell ref="BE512:BG512"/>
    <mergeCell ref="BH512:BJ512"/>
    <mergeCell ref="H462:I462"/>
    <mergeCell ref="K462:L462"/>
    <mergeCell ref="N462:O462"/>
    <mergeCell ref="S462:T462"/>
    <mergeCell ref="X462:Y462"/>
    <mergeCell ref="AA462:AB462"/>
    <mergeCell ref="AD462:AE462"/>
    <mergeCell ref="S464:T464"/>
    <mergeCell ref="B506:CB507"/>
    <mergeCell ref="Z511:AA511"/>
    <mergeCell ref="AB511:AC511"/>
    <mergeCell ref="AE511:AF511"/>
    <mergeCell ref="AG511:AK511"/>
    <mergeCell ref="B508:N511"/>
    <mergeCell ref="O508:BA508"/>
    <mergeCell ref="BB508:BD511"/>
    <mergeCell ref="BE508:BG511"/>
    <mergeCell ref="BH508:BJ511"/>
    <mergeCell ref="BK508:BM511"/>
    <mergeCell ref="BN508:BQ511"/>
    <mergeCell ref="BR508:BW511"/>
    <mergeCell ref="BE475:BF475"/>
    <mergeCell ref="BG475:BH475"/>
    <mergeCell ref="BI475:BJ475"/>
    <mergeCell ref="BK475:BL475"/>
    <mergeCell ref="BM475:BN475"/>
    <mergeCell ref="BO475:BP475"/>
    <mergeCell ref="BQ475:BR475"/>
    <mergeCell ref="Q476:R476"/>
    <mergeCell ref="O517:S517"/>
    <mergeCell ref="T517:U517"/>
    <mergeCell ref="W517:X517"/>
    <mergeCell ref="AW514:BA514"/>
    <mergeCell ref="BB514:BD514"/>
    <mergeCell ref="BE514:BG514"/>
    <mergeCell ref="BH514:BJ514"/>
    <mergeCell ref="BK514:BM514"/>
    <mergeCell ref="BN514:BQ514"/>
    <mergeCell ref="BR514:BW514"/>
    <mergeCell ref="BX512:CB512"/>
    <mergeCell ref="BX513:CB513"/>
    <mergeCell ref="BX508:CB511"/>
    <mergeCell ref="B513:N513"/>
    <mergeCell ref="O513:S513"/>
    <mergeCell ref="T513:U513"/>
    <mergeCell ref="W513:X513"/>
    <mergeCell ref="Z513:AA513"/>
    <mergeCell ref="AB513:AC513"/>
    <mergeCell ref="AE513:AF513"/>
    <mergeCell ref="AG513:AK513"/>
    <mergeCell ref="AL513:AQ513"/>
    <mergeCell ref="AR513:AV513"/>
    <mergeCell ref="AW513:BA513"/>
    <mergeCell ref="BB513:BD513"/>
    <mergeCell ref="BE513:BG513"/>
    <mergeCell ref="BH513:BJ513"/>
    <mergeCell ref="BK513:BM513"/>
    <mergeCell ref="BN513:BQ513"/>
    <mergeCell ref="BR513:BW513"/>
    <mergeCell ref="B512:N512"/>
    <mergeCell ref="O512:P512"/>
    <mergeCell ref="BX514:CB514"/>
    <mergeCell ref="J515:M515"/>
    <mergeCell ref="O515:S515"/>
    <mergeCell ref="T515:U515"/>
    <mergeCell ref="W515:X515"/>
    <mergeCell ref="Z515:AA515"/>
    <mergeCell ref="AB515:AC515"/>
    <mergeCell ref="AE515:AF515"/>
    <mergeCell ref="AL515:AQ515"/>
    <mergeCell ref="AR515:AV515"/>
    <mergeCell ref="AW515:BA515"/>
    <mergeCell ref="BB515:BD515"/>
    <mergeCell ref="BE515:BG515"/>
    <mergeCell ref="BH515:BJ515"/>
    <mergeCell ref="BK515:BM515"/>
    <mergeCell ref="BN515:BQ515"/>
    <mergeCell ref="BR515:BW515"/>
    <mergeCell ref="J514:M514"/>
    <mergeCell ref="O514:S514"/>
    <mergeCell ref="T514:U514"/>
    <mergeCell ref="W514:X514"/>
    <mergeCell ref="Z514:AA514"/>
    <mergeCell ref="AB514:AC514"/>
    <mergeCell ref="AE514:AF514"/>
    <mergeCell ref="AL514:AQ514"/>
    <mergeCell ref="Z517:AA517"/>
    <mergeCell ref="AB517:AC517"/>
    <mergeCell ref="AE517:AF517"/>
    <mergeCell ref="AL517:AQ517"/>
    <mergeCell ref="AR517:AV517"/>
    <mergeCell ref="BX515:CB515"/>
    <mergeCell ref="J516:M516"/>
    <mergeCell ref="O516:S516"/>
    <mergeCell ref="T516:U516"/>
    <mergeCell ref="W516:X516"/>
    <mergeCell ref="Z516:AA516"/>
    <mergeCell ref="AB516:AC516"/>
    <mergeCell ref="AE516:AF516"/>
    <mergeCell ref="AL516:AQ516"/>
    <mergeCell ref="AR516:AV516"/>
    <mergeCell ref="AW516:BA516"/>
    <mergeCell ref="BB516:BD516"/>
    <mergeCell ref="BE516:BG516"/>
    <mergeCell ref="BH516:BJ516"/>
    <mergeCell ref="BK516:BM516"/>
    <mergeCell ref="BN516:BQ516"/>
    <mergeCell ref="BR516:BW516"/>
    <mergeCell ref="BX516:CB516"/>
    <mergeCell ref="AW517:BA517"/>
    <mergeCell ref="BB517:BD517"/>
    <mergeCell ref="BE517:BG517"/>
    <mergeCell ref="BH517:BJ517"/>
    <mergeCell ref="BK517:BM517"/>
    <mergeCell ref="BN517:BQ517"/>
    <mergeCell ref="BR517:BW517"/>
    <mergeCell ref="BX517:CB517"/>
    <mergeCell ref="J517:M517"/>
    <mergeCell ref="BR520:BW520"/>
    <mergeCell ref="BX520:CB520"/>
    <mergeCell ref="B518:N518"/>
    <mergeCell ref="O518:S518"/>
    <mergeCell ref="T518:U518"/>
    <mergeCell ref="W518:X518"/>
    <mergeCell ref="Z518:AA518"/>
    <mergeCell ref="AB518:AC518"/>
    <mergeCell ref="AE518:AF518"/>
    <mergeCell ref="AL518:AQ518"/>
    <mergeCell ref="AR518:AV518"/>
    <mergeCell ref="AW518:BA518"/>
    <mergeCell ref="BB518:BD518"/>
    <mergeCell ref="BE518:BG518"/>
    <mergeCell ref="BH518:BJ518"/>
    <mergeCell ref="BK518:BM518"/>
    <mergeCell ref="BN518:BQ518"/>
    <mergeCell ref="BR518:BW518"/>
    <mergeCell ref="B520:N520"/>
    <mergeCell ref="O520:S520"/>
    <mergeCell ref="T520:U520"/>
    <mergeCell ref="W520:X520"/>
    <mergeCell ref="Z520:AA520"/>
    <mergeCell ref="AB520:AC520"/>
    <mergeCell ref="AE520:AF520"/>
    <mergeCell ref="AL520:AQ520"/>
    <mergeCell ref="AR520:AV520"/>
    <mergeCell ref="BX518:CB518"/>
    <mergeCell ref="B519:N519"/>
    <mergeCell ref="O519:S519"/>
    <mergeCell ref="BX521:CB521"/>
    <mergeCell ref="B522:N522"/>
    <mergeCell ref="O522:S522"/>
    <mergeCell ref="T522:U522"/>
    <mergeCell ref="T519:U519"/>
    <mergeCell ref="W519:X519"/>
    <mergeCell ref="Z519:AA519"/>
    <mergeCell ref="AB519:AC519"/>
    <mergeCell ref="AE519:AF519"/>
    <mergeCell ref="AL519:AQ519"/>
    <mergeCell ref="AR519:AV519"/>
    <mergeCell ref="AW519:BA519"/>
    <mergeCell ref="BB519:BD519"/>
    <mergeCell ref="BE519:BG519"/>
    <mergeCell ref="BH519:BJ519"/>
    <mergeCell ref="BK519:BM519"/>
    <mergeCell ref="BN519:BQ519"/>
    <mergeCell ref="BR519:BW519"/>
    <mergeCell ref="BX519:CB519"/>
    <mergeCell ref="AW520:BA520"/>
    <mergeCell ref="BB520:BD520"/>
    <mergeCell ref="BE520:BG520"/>
    <mergeCell ref="BH520:BJ520"/>
    <mergeCell ref="BK520:BM520"/>
    <mergeCell ref="B521:N521"/>
    <mergeCell ref="O521:S521"/>
    <mergeCell ref="T521:U521"/>
    <mergeCell ref="W521:X521"/>
    <mergeCell ref="Z521:AA521"/>
    <mergeCell ref="AB521:AC521"/>
    <mergeCell ref="AE521:AF521"/>
    <mergeCell ref="BN520:BQ520"/>
    <mergeCell ref="AR521:AV521"/>
    <mergeCell ref="AW521:BA521"/>
    <mergeCell ref="BB521:BD521"/>
    <mergeCell ref="BE521:BG521"/>
    <mergeCell ref="BH521:BJ521"/>
    <mergeCell ref="BK521:BM521"/>
    <mergeCell ref="BN521:BQ521"/>
    <mergeCell ref="BR521:BW521"/>
    <mergeCell ref="B523:N523"/>
    <mergeCell ref="O523:S523"/>
    <mergeCell ref="T523:U523"/>
    <mergeCell ref="W523:X523"/>
    <mergeCell ref="Z523:AA523"/>
    <mergeCell ref="AB523:AC523"/>
    <mergeCell ref="AE523:AF523"/>
    <mergeCell ref="AL523:AQ523"/>
    <mergeCell ref="AR523:AV523"/>
    <mergeCell ref="W522:X522"/>
    <mergeCell ref="Z522:AA522"/>
    <mergeCell ref="AB522:AC522"/>
    <mergeCell ref="AE522:AF522"/>
    <mergeCell ref="AL522:AQ522"/>
    <mergeCell ref="AR522:AV522"/>
    <mergeCell ref="AW522:BA522"/>
    <mergeCell ref="BB522:BD522"/>
    <mergeCell ref="BE522:BG522"/>
    <mergeCell ref="BH522:BJ522"/>
    <mergeCell ref="BK522:BM522"/>
    <mergeCell ref="BN522:BQ522"/>
    <mergeCell ref="BR522:BW522"/>
    <mergeCell ref="AL521:AQ521"/>
    <mergeCell ref="BX522:CB522"/>
    <mergeCell ref="AW523:BA523"/>
    <mergeCell ref="BB523:BD523"/>
    <mergeCell ref="BE523:BG523"/>
    <mergeCell ref="BH523:BJ523"/>
    <mergeCell ref="BK523:BM523"/>
    <mergeCell ref="BN523:BQ523"/>
    <mergeCell ref="BR523:BW523"/>
    <mergeCell ref="BX523:CB523"/>
    <mergeCell ref="BH526:BJ526"/>
    <mergeCell ref="BK526:BM526"/>
    <mergeCell ref="BN526:BQ526"/>
    <mergeCell ref="BR526:BW526"/>
    <mergeCell ref="BX526:CB526"/>
    <mergeCell ref="B524:N524"/>
    <mergeCell ref="O524:S524"/>
    <mergeCell ref="T524:U524"/>
    <mergeCell ref="W524:X524"/>
    <mergeCell ref="Z524:AA524"/>
    <mergeCell ref="AB524:AC524"/>
    <mergeCell ref="AE524:AF524"/>
    <mergeCell ref="AL524:AQ524"/>
    <mergeCell ref="AR524:AV524"/>
    <mergeCell ref="AW524:BA524"/>
    <mergeCell ref="BB524:BD524"/>
    <mergeCell ref="BE524:BG524"/>
    <mergeCell ref="BH524:BJ524"/>
    <mergeCell ref="BK524:BM524"/>
    <mergeCell ref="BN524:BQ524"/>
    <mergeCell ref="BR524:BW524"/>
    <mergeCell ref="B526:N526"/>
    <mergeCell ref="O526:S526"/>
    <mergeCell ref="T526:U526"/>
    <mergeCell ref="W526:X526"/>
    <mergeCell ref="Z526:AA526"/>
    <mergeCell ref="AB526:AC526"/>
    <mergeCell ref="AE526:AF526"/>
    <mergeCell ref="AL526:AQ526"/>
    <mergeCell ref="AR526:AV526"/>
    <mergeCell ref="BX524:CB524"/>
    <mergeCell ref="B525:N525"/>
    <mergeCell ref="O525:S525"/>
    <mergeCell ref="T525:U525"/>
    <mergeCell ref="W525:X525"/>
    <mergeCell ref="Z525:AA525"/>
    <mergeCell ref="AB525:AC525"/>
    <mergeCell ref="AE525:AF525"/>
    <mergeCell ref="AL525:AQ525"/>
    <mergeCell ref="AR525:AV525"/>
    <mergeCell ref="AW525:BA525"/>
    <mergeCell ref="BB525:BD525"/>
    <mergeCell ref="BE525:BG525"/>
    <mergeCell ref="BH525:BJ525"/>
    <mergeCell ref="BK525:BM525"/>
    <mergeCell ref="BN525:BQ525"/>
    <mergeCell ref="BR525:BW525"/>
    <mergeCell ref="BX525:CB525"/>
    <mergeCell ref="AW526:BA526"/>
    <mergeCell ref="BB526:BD526"/>
    <mergeCell ref="BE526:BG526"/>
    <mergeCell ref="AW527:BA527"/>
    <mergeCell ref="BB527:BD527"/>
    <mergeCell ref="BE527:BG527"/>
    <mergeCell ref="BH527:BJ527"/>
    <mergeCell ref="BK527:BM527"/>
    <mergeCell ref="AW528:BA528"/>
    <mergeCell ref="BB528:BD528"/>
    <mergeCell ref="BE528:BG528"/>
    <mergeCell ref="BH528:BJ528"/>
    <mergeCell ref="BK528:BM528"/>
    <mergeCell ref="BN528:BQ528"/>
    <mergeCell ref="BR528:BW528"/>
    <mergeCell ref="BX528:CB528"/>
    <mergeCell ref="BN527:BQ527"/>
    <mergeCell ref="BR527:BW527"/>
    <mergeCell ref="AL528:AQ528"/>
    <mergeCell ref="AR528:AV528"/>
    <mergeCell ref="BX527:CB527"/>
    <mergeCell ref="BR533:BW533"/>
    <mergeCell ref="BX533:CB533"/>
    <mergeCell ref="B532:N532"/>
    <mergeCell ref="P532:Q532"/>
    <mergeCell ref="U532:V532"/>
    <mergeCell ref="Z532:AA532"/>
    <mergeCell ref="BB532:BD532"/>
    <mergeCell ref="BE532:BG532"/>
    <mergeCell ref="BH532:BJ532"/>
    <mergeCell ref="BK532:BM532"/>
    <mergeCell ref="BN532:BQ532"/>
    <mergeCell ref="BR532:BW532"/>
    <mergeCell ref="BX532:CB532"/>
    <mergeCell ref="B530:N530"/>
    <mergeCell ref="P530:Q530"/>
    <mergeCell ref="U530:V530"/>
    <mergeCell ref="Z530:AA530"/>
    <mergeCell ref="BB530:BD530"/>
    <mergeCell ref="BE530:BG530"/>
    <mergeCell ref="BH530:BJ530"/>
    <mergeCell ref="BK530:BM530"/>
    <mergeCell ref="BN530:BQ530"/>
    <mergeCell ref="BR530:BW530"/>
    <mergeCell ref="BX530:CB530"/>
    <mergeCell ref="BR531:BW531"/>
    <mergeCell ref="BX531:CB531"/>
    <mergeCell ref="B531:N531"/>
    <mergeCell ref="P531:Q531"/>
    <mergeCell ref="U531:V531"/>
    <mergeCell ref="Z531:AA531"/>
    <mergeCell ref="BB531:BD531"/>
    <mergeCell ref="BE531:BG531"/>
    <mergeCell ref="BK551:BM551"/>
    <mergeCell ref="BN551:BQ551"/>
    <mergeCell ref="BR551:BW551"/>
    <mergeCell ref="BX548:CB548"/>
    <mergeCell ref="B550:N550"/>
    <mergeCell ref="O550:T550"/>
    <mergeCell ref="W550:Y550"/>
    <mergeCell ref="BB550:BD550"/>
    <mergeCell ref="BE550:BG550"/>
    <mergeCell ref="BH550:BJ550"/>
    <mergeCell ref="BK550:BM550"/>
    <mergeCell ref="BN550:BQ550"/>
    <mergeCell ref="BR550:BW550"/>
    <mergeCell ref="BX550:CB550"/>
    <mergeCell ref="B548:N548"/>
    <mergeCell ref="O548:P548"/>
    <mergeCell ref="Y548:Z548"/>
    <mergeCell ref="BB548:BD548"/>
    <mergeCell ref="BE548:BG548"/>
    <mergeCell ref="BH548:BJ548"/>
    <mergeCell ref="BK548:BM548"/>
    <mergeCell ref="BN548:BQ548"/>
    <mergeCell ref="BR548:BW548"/>
    <mergeCell ref="B549:N549"/>
    <mergeCell ref="O549:P549"/>
    <mergeCell ref="Y549:Z549"/>
    <mergeCell ref="BB549:BD549"/>
    <mergeCell ref="BE549:BG549"/>
    <mergeCell ref="BH549:BJ549"/>
    <mergeCell ref="BK549:BM549"/>
    <mergeCell ref="BN549:BQ549"/>
    <mergeCell ref="BR549:BW549"/>
    <mergeCell ref="BG556:BM556"/>
    <mergeCell ref="BN556:BQ556"/>
    <mergeCell ref="BG553:BM553"/>
    <mergeCell ref="BN553:BQ553"/>
    <mergeCell ref="BS553:BW553"/>
    <mergeCell ref="BX553:CB553"/>
    <mergeCell ref="BG554:BM554"/>
    <mergeCell ref="BN554:BQ554"/>
    <mergeCell ref="BS554:BW554"/>
    <mergeCell ref="BX554:CB554"/>
    <mergeCell ref="BG555:BM555"/>
    <mergeCell ref="BN555:BQ555"/>
    <mergeCell ref="BS555:BW555"/>
    <mergeCell ref="BX555:CB555"/>
    <mergeCell ref="BX551:CB551"/>
    <mergeCell ref="B552:N552"/>
    <mergeCell ref="O552:Q552"/>
    <mergeCell ref="T552:V552"/>
    <mergeCell ref="Z552:AA552"/>
    <mergeCell ref="BB552:BD552"/>
    <mergeCell ref="BE552:BG552"/>
    <mergeCell ref="BH552:BJ552"/>
    <mergeCell ref="BK552:BM552"/>
    <mergeCell ref="BN552:BQ552"/>
    <mergeCell ref="BR552:BW552"/>
    <mergeCell ref="BX552:CB552"/>
    <mergeCell ref="B551:N551"/>
    <mergeCell ref="O551:T551"/>
    <mergeCell ref="W551:Y551"/>
    <mergeCell ref="BB551:BD551"/>
    <mergeCell ref="BE551:BG551"/>
    <mergeCell ref="BH551:BJ551"/>
    <mergeCell ref="BX549:CB549"/>
    <mergeCell ref="B534:N534"/>
    <mergeCell ref="P534:Q534"/>
    <mergeCell ref="U534:V534"/>
    <mergeCell ref="Z534:AA534"/>
    <mergeCell ref="BB534:BD534"/>
    <mergeCell ref="BE534:BG534"/>
    <mergeCell ref="BH534:BJ534"/>
    <mergeCell ref="BK534:BM534"/>
    <mergeCell ref="BN534:BQ534"/>
    <mergeCell ref="BR534:BW534"/>
    <mergeCell ref="BX534:CB534"/>
    <mergeCell ref="B533:N533"/>
    <mergeCell ref="P533:Q533"/>
    <mergeCell ref="U533:V533"/>
    <mergeCell ref="Z533:AA533"/>
    <mergeCell ref="BB533:BD533"/>
    <mergeCell ref="BE533:BG533"/>
    <mergeCell ref="BH533:BJ533"/>
    <mergeCell ref="BK533:BM533"/>
    <mergeCell ref="BN533:BQ533"/>
    <mergeCell ref="P535:Q535"/>
    <mergeCell ref="U535:V535"/>
    <mergeCell ref="Z535:AA535"/>
    <mergeCell ref="BB535:BD535"/>
    <mergeCell ref="BE535:BG535"/>
    <mergeCell ref="BH535:BJ535"/>
    <mergeCell ref="BK535:BM535"/>
    <mergeCell ref="BN535:BQ535"/>
    <mergeCell ref="BR535:BW535"/>
    <mergeCell ref="BX535:CB535"/>
    <mergeCell ref="B536:N536"/>
    <mergeCell ref="C422:C424"/>
    <mergeCell ref="AY422:AZ422"/>
    <mergeCell ref="BA422:BB422"/>
    <mergeCell ref="BE422:BF422"/>
    <mergeCell ref="BG422:BH422"/>
    <mergeCell ref="AY423:AZ423"/>
    <mergeCell ref="BA423:BB423"/>
    <mergeCell ref="BE423:BF423"/>
    <mergeCell ref="BG423:BH423"/>
    <mergeCell ref="AY424:AZ424"/>
    <mergeCell ref="BA424:BB424"/>
    <mergeCell ref="B162:N162"/>
    <mergeCell ref="P162:Q162"/>
    <mergeCell ref="Y162:Z162"/>
    <mergeCell ref="BG424:BH424"/>
    <mergeCell ref="AY419:AZ419"/>
    <mergeCell ref="BA419:BB419"/>
    <mergeCell ref="BE419:BF419"/>
    <mergeCell ref="BG419:BH419"/>
    <mergeCell ref="AY420:AZ420"/>
    <mergeCell ref="BA420:BB420"/>
    <mergeCell ref="BE420:BF420"/>
    <mergeCell ref="BG420:BH420"/>
    <mergeCell ref="E421:E423"/>
    <mergeCell ref="AY421:AZ421"/>
    <mergeCell ref="BA421:BB421"/>
    <mergeCell ref="BE421:BF421"/>
    <mergeCell ref="BB162:BD162"/>
    <mergeCell ref="BE162:BG162"/>
    <mergeCell ref="BH162:BJ162"/>
    <mergeCell ref="BG421:BH421"/>
    <mergeCell ref="E416:E418"/>
    <mergeCell ref="B572:CB572"/>
    <mergeCell ref="E577:E579"/>
    <mergeCell ref="AH577:AI577"/>
    <mergeCell ref="N580:O580"/>
    <mergeCell ref="AB580:AC580"/>
    <mergeCell ref="C581:C583"/>
    <mergeCell ref="AH581:AI581"/>
    <mergeCell ref="E583:E585"/>
    <mergeCell ref="AH583:AI584"/>
    <mergeCell ref="AJ583:AJ584"/>
    <mergeCell ref="AH586:AI586"/>
    <mergeCell ref="N589:O589"/>
    <mergeCell ref="Y589:Z589"/>
    <mergeCell ref="AM589:AN589"/>
    <mergeCell ref="AQ589:AR589"/>
    <mergeCell ref="AU589:AV589"/>
    <mergeCell ref="AY589:AZ589"/>
    <mergeCell ref="BC589:BD589"/>
    <mergeCell ref="BG589:BH589"/>
    <mergeCell ref="BK589:BL589"/>
    <mergeCell ref="S591:T591"/>
    <mergeCell ref="AY591:BA591"/>
    <mergeCell ref="S594:T594"/>
    <mergeCell ref="AY594:AY599"/>
    <mergeCell ref="AZ594:AZ599"/>
    <mergeCell ref="BA594:BA599"/>
    <mergeCell ref="H596:I596"/>
    <mergeCell ref="K596:L596"/>
    <mergeCell ref="N596:O596"/>
    <mergeCell ref="Q596:R596"/>
    <mergeCell ref="T596:U596"/>
    <mergeCell ref="W596:X596"/>
    <mergeCell ref="Z596:AA596"/>
    <mergeCell ref="AC596:AD596"/>
    <mergeCell ref="E600:E602"/>
    <mergeCell ref="AL603:AM603"/>
    <mergeCell ref="E605:E607"/>
    <mergeCell ref="E610:E612"/>
    <mergeCell ref="C611:C613"/>
    <mergeCell ref="E615:E617"/>
    <mergeCell ref="C616:C618"/>
    <mergeCell ref="C619:C620"/>
    <mergeCell ref="BV619:BV620"/>
    <mergeCell ref="E620:E622"/>
    <mergeCell ref="C621:C622"/>
    <mergeCell ref="E625:E627"/>
    <mergeCell ref="AS629:AT629"/>
    <mergeCell ref="E630:E632"/>
    <mergeCell ref="BV638:BV640"/>
    <mergeCell ref="E639:E641"/>
    <mergeCell ref="BU642:BV643"/>
    <mergeCell ref="BW642:BW643"/>
    <mergeCell ref="C643:C645"/>
    <mergeCell ref="D643:E643"/>
    <mergeCell ref="BN643:BN645"/>
    <mergeCell ref="D645:E646"/>
    <mergeCell ref="F645:F646"/>
    <mergeCell ref="BS645:BT645"/>
    <mergeCell ref="AH646:AH648"/>
    <mergeCell ref="BV646:BV648"/>
    <mergeCell ref="D648:E648"/>
    <mergeCell ref="AN648:AO648"/>
    <mergeCell ref="AQ648:AR648"/>
    <mergeCell ref="AT648:AU648"/>
    <mergeCell ref="AW648:AX648"/>
    <mergeCell ref="BA648:BB648"/>
    <mergeCell ref="BD648:BE648"/>
    <mergeCell ref="BG648:BH648"/>
    <mergeCell ref="BJ648:BK648"/>
    <mergeCell ref="H651:I651"/>
    <mergeCell ref="K651:L651"/>
    <mergeCell ref="N651:O651"/>
    <mergeCell ref="S651:T651"/>
    <mergeCell ref="X651:Y651"/>
    <mergeCell ref="AA651:AB651"/>
    <mergeCell ref="AD651:AE651"/>
    <mergeCell ref="S653:T653"/>
    <mergeCell ref="B695:CB696"/>
    <mergeCell ref="B697:N700"/>
    <mergeCell ref="O697:BA697"/>
    <mergeCell ref="BB697:BD700"/>
    <mergeCell ref="BE697:BG700"/>
    <mergeCell ref="BH697:BJ700"/>
    <mergeCell ref="BK697:BM700"/>
    <mergeCell ref="BN697:BQ700"/>
    <mergeCell ref="BR697:BW700"/>
    <mergeCell ref="BX697:CB700"/>
    <mergeCell ref="O698:S700"/>
    <mergeCell ref="T698:AA698"/>
    <mergeCell ref="AB698:AF698"/>
    <mergeCell ref="AG698:AK698"/>
    <mergeCell ref="AL698:AQ700"/>
    <mergeCell ref="AR698:AV700"/>
    <mergeCell ref="AW698:BA700"/>
    <mergeCell ref="T699:U699"/>
    <mergeCell ref="W699:X699"/>
    <mergeCell ref="Z699:AA699"/>
    <mergeCell ref="AB699:AC699"/>
    <mergeCell ref="AE699:AF699"/>
    <mergeCell ref="AG699:AK699"/>
    <mergeCell ref="T700:U700"/>
    <mergeCell ref="Z700:AA700"/>
    <mergeCell ref="AB700:AC700"/>
    <mergeCell ref="AE700:AF700"/>
    <mergeCell ref="AG700:AK700"/>
    <mergeCell ref="B701:N701"/>
    <mergeCell ref="O701:P701"/>
    <mergeCell ref="BB701:BD701"/>
    <mergeCell ref="BE701:BG701"/>
    <mergeCell ref="BH701:BJ701"/>
    <mergeCell ref="BK701:BM701"/>
    <mergeCell ref="BN701:BQ701"/>
    <mergeCell ref="BR701:BW701"/>
    <mergeCell ref="BX701:CB701"/>
    <mergeCell ref="B702:N702"/>
    <mergeCell ref="O702:S702"/>
    <mergeCell ref="T702:U702"/>
    <mergeCell ref="W702:X702"/>
    <mergeCell ref="Z702:AA702"/>
    <mergeCell ref="AB702:AC702"/>
    <mergeCell ref="AE702:AF702"/>
    <mergeCell ref="AG702:AK702"/>
    <mergeCell ref="AL702:AQ702"/>
    <mergeCell ref="AR702:AV702"/>
    <mergeCell ref="AW702:BA702"/>
    <mergeCell ref="BB702:BD702"/>
    <mergeCell ref="BE702:BG702"/>
    <mergeCell ref="BH702:BJ702"/>
    <mergeCell ref="BK702:BM702"/>
    <mergeCell ref="BN702:BQ702"/>
    <mergeCell ref="BR702:BW702"/>
    <mergeCell ref="BX702:CB702"/>
    <mergeCell ref="B703:N703"/>
    <mergeCell ref="O703:S703"/>
    <mergeCell ref="T703:U703"/>
    <mergeCell ref="W703:X703"/>
    <mergeCell ref="Z703:AA703"/>
    <mergeCell ref="AB703:AC703"/>
    <mergeCell ref="AE703:AF703"/>
    <mergeCell ref="AL703:AQ703"/>
    <mergeCell ref="AR703:AV703"/>
    <mergeCell ref="AW703:BA703"/>
    <mergeCell ref="BB703:BD703"/>
    <mergeCell ref="BE703:BG703"/>
    <mergeCell ref="BH703:BJ703"/>
    <mergeCell ref="BK703:BM703"/>
    <mergeCell ref="BN703:BQ703"/>
    <mergeCell ref="BR703:BW703"/>
    <mergeCell ref="BX703:CB703"/>
    <mergeCell ref="B704:N704"/>
    <mergeCell ref="O704:S704"/>
    <mergeCell ref="T704:U704"/>
    <mergeCell ref="W704:X704"/>
    <mergeCell ref="Z704:AA704"/>
    <mergeCell ref="AB704:AC704"/>
    <mergeCell ref="AE704:AF704"/>
    <mergeCell ref="AL704:AQ704"/>
    <mergeCell ref="AR704:AV704"/>
    <mergeCell ref="AW704:BA704"/>
    <mergeCell ref="BB704:BD704"/>
    <mergeCell ref="BE704:BG704"/>
    <mergeCell ref="BH704:BJ704"/>
    <mergeCell ref="BK704:BM704"/>
    <mergeCell ref="BN704:BQ704"/>
    <mergeCell ref="BR704:BW704"/>
    <mergeCell ref="BX704:CB704"/>
    <mergeCell ref="B705:N705"/>
    <mergeCell ref="O705:S705"/>
    <mergeCell ref="T705:U705"/>
    <mergeCell ref="W705:X705"/>
    <mergeCell ref="Z705:AA705"/>
    <mergeCell ref="AB705:AC705"/>
    <mergeCell ref="AE705:AF705"/>
    <mergeCell ref="AL705:AQ705"/>
    <mergeCell ref="AR705:AV705"/>
    <mergeCell ref="AW705:BA705"/>
    <mergeCell ref="BB705:BD705"/>
    <mergeCell ref="BE705:BG705"/>
    <mergeCell ref="BH705:BJ705"/>
    <mergeCell ref="BK705:BM705"/>
    <mergeCell ref="BN705:BQ705"/>
    <mergeCell ref="BR705:BW705"/>
    <mergeCell ref="BX705:CB705"/>
    <mergeCell ref="B706:N706"/>
    <mergeCell ref="O706:S706"/>
    <mergeCell ref="T706:U706"/>
    <mergeCell ref="W706:X706"/>
    <mergeCell ref="Z706:AA706"/>
    <mergeCell ref="AB706:AC706"/>
    <mergeCell ref="AE706:AF706"/>
    <mergeCell ref="AL706:AQ706"/>
    <mergeCell ref="AR706:AV706"/>
    <mergeCell ref="AW706:BA706"/>
    <mergeCell ref="BB706:BD706"/>
    <mergeCell ref="BE706:BG706"/>
    <mergeCell ref="BH706:BJ706"/>
    <mergeCell ref="BK706:BM706"/>
    <mergeCell ref="BN706:BQ706"/>
    <mergeCell ref="BR706:BW706"/>
    <mergeCell ref="BX706:CB706"/>
    <mergeCell ref="B707:N707"/>
    <mergeCell ref="O707:S707"/>
    <mergeCell ref="T707:U707"/>
    <mergeCell ref="W707:X707"/>
    <mergeCell ref="Z707:AA707"/>
    <mergeCell ref="AB707:AC707"/>
    <mergeCell ref="AE707:AF707"/>
    <mergeCell ref="AL707:AQ707"/>
    <mergeCell ref="AR707:AV707"/>
    <mergeCell ref="AW707:BA707"/>
    <mergeCell ref="BB707:BD707"/>
    <mergeCell ref="BE707:BG707"/>
    <mergeCell ref="BH707:BJ707"/>
    <mergeCell ref="BK707:BM707"/>
    <mergeCell ref="BN707:BQ707"/>
    <mergeCell ref="BR707:BW707"/>
    <mergeCell ref="BX707:CB707"/>
    <mergeCell ref="B708:N708"/>
    <mergeCell ref="O708:S708"/>
    <mergeCell ref="T708:U708"/>
    <mergeCell ref="W708:X708"/>
    <mergeCell ref="Z708:AA708"/>
    <mergeCell ref="AB708:AC708"/>
    <mergeCell ref="AE708:AF708"/>
    <mergeCell ref="AL708:AQ708"/>
    <mergeCell ref="AR708:AV708"/>
    <mergeCell ref="AW708:BA708"/>
    <mergeCell ref="BB708:BD708"/>
    <mergeCell ref="BE708:BG708"/>
    <mergeCell ref="BH708:BJ708"/>
    <mergeCell ref="BK708:BM708"/>
    <mergeCell ref="BN708:BQ708"/>
    <mergeCell ref="BR708:BW708"/>
    <mergeCell ref="BX708:CB708"/>
    <mergeCell ref="B709:N709"/>
    <mergeCell ref="O709:S709"/>
    <mergeCell ref="T709:U709"/>
    <mergeCell ref="W709:X709"/>
    <mergeCell ref="Z709:AA709"/>
    <mergeCell ref="AB709:AC709"/>
    <mergeCell ref="AE709:AF709"/>
    <mergeCell ref="AL709:AQ709"/>
    <mergeCell ref="AR709:AV709"/>
    <mergeCell ref="AW709:BA709"/>
    <mergeCell ref="BB709:BD709"/>
    <mergeCell ref="BE709:BG709"/>
    <mergeCell ref="BH709:BJ709"/>
    <mergeCell ref="BK709:BM709"/>
    <mergeCell ref="BN709:BQ709"/>
    <mergeCell ref="BR709:BW709"/>
    <mergeCell ref="BX709:CB709"/>
    <mergeCell ref="B710:N710"/>
    <mergeCell ref="O710:S710"/>
    <mergeCell ref="T710:U710"/>
    <mergeCell ref="W710:X710"/>
    <mergeCell ref="Z710:AA710"/>
    <mergeCell ref="AB710:AC710"/>
    <mergeCell ref="AE710:AF710"/>
    <mergeCell ref="AL710:AQ710"/>
    <mergeCell ref="AR710:AV710"/>
    <mergeCell ref="AW710:BA710"/>
    <mergeCell ref="BB710:BD710"/>
    <mergeCell ref="BE710:BG710"/>
    <mergeCell ref="BH710:BJ710"/>
    <mergeCell ref="BK710:BM710"/>
    <mergeCell ref="BN710:BQ710"/>
    <mergeCell ref="BR710:BW710"/>
    <mergeCell ref="BX710:CB710"/>
    <mergeCell ref="B711:N711"/>
    <mergeCell ref="O711:S711"/>
    <mergeCell ref="T711:U711"/>
    <mergeCell ref="W711:X711"/>
    <mergeCell ref="Z711:AA711"/>
    <mergeCell ref="AB711:AC711"/>
    <mergeCell ref="AE711:AF711"/>
    <mergeCell ref="AL711:AQ711"/>
    <mergeCell ref="AR711:AV711"/>
    <mergeCell ref="AW711:BA711"/>
    <mergeCell ref="BB711:BD711"/>
    <mergeCell ref="BE711:BG711"/>
    <mergeCell ref="BH711:BJ711"/>
    <mergeCell ref="BK711:BM711"/>
    <mergeCell ref="BN711:BQ711"/>
    <mergeCell ref="BR711:BW711"/>
    <mergeCell ref="BX711:CB711"/>
    <mergeCell ref="B712:N712"/>
    <mergeCell ref="O712:S712"/>
    <mergeCell ref="T712:U712"/>
    <mergeCell ref="W712:X712"/>
    <mergeCell ref="Z712:AA712"/>
    <mergeCell ref="AB712:AC712"/>
    <mergeCell ref="AE712:AF712"/>
    <mergeCell ref="AL712:AQ712"/>
    <mergeCell ref="AR712:AV712"/>
    <mergeCell ref="AW712:BA712"/>
    <mergeCell ref="BB712:BD712"/>
    <mergeCell ref="BE712:BG712"/>
    <mergeCell ref="BH712:BJ712"/>
    <mergeCell ref="BK712:BM712"/>
    <mergeCell ref="BN712:BQ712"/>
    <mergeCell ref="BR712:BW712"/>
    <mergeCell ref="BX712:CB712"/>
    <mergeCell ref="B713:N713"/>
    <mergeCell ref="O713:S713"/>
    <mergeCell ref="T713:U713"/>
    <mergeCell ref="W713:X713"/>
    <mergeCell ref="Z713:AA713"/>
    <mergeCell ref="AB713:AC713"/>
    <mergeCell ref="AE713:AF713"/>
    <mergeCell ref="AL713:AQ713"/>
    <mergeCell ref="AR713:AV713"/>
    <mergeCell ref="AW713:BA713"/>
    <mergeCell ref="BB713:BD713"/>
    <mergeCell ref="BE713:BG713"/>
    <mergeCell ref="BH713:BJ713"/>
    <mergeCell ref="BK713:BM713"/>
    <mergeCell ref="BN713:BQ713"/>
    <mergeCell ref="BR713:BW713"/>
    <mergeCell ref="BX713:CB713"/>
    <mergeCell ref="B714:N714"/>
    <mergeCell ref="O714:S714"/>
    <mergeCell ref="T714:U714"/>
    <mergeCell ref="W714:X714"/>
    <mergeCell ref="Z714:AA714"/>
    <mergeCell ref="AB714:AC714"/>
    <mergeCell ref="AE714:AF714"/>
    <mergeCell ref="AL714:AQ714"/>
    <mergeCell ref="AR714:AV714"/>
    <mergeCell ref="AW714:BA714"/>
    <mergeCell ref="BB714:BD714"/>
    <mergeCell ref="BE714:BG714"/>
    <mergeCell ref="BH714:BJ714"/>
    <mergeCell ref="BK714:BM714"/>
    <mergeCell ref="BN714:BQ714"/>
    <mergeCell ref="BR714:BW714"/>
    <mergeCell ref="BX714:CB714"/>
    <mergeCell ref="J716:M716"/>
    <mergeCell ref="O716:S716"/>
    <mergeCell ref="T716:U716"/>
    <mergeCell ref="W716:X716"/>
    <mergeCell ref="Z716:AA716"/>
    <mergeCell ref="AB716:AC716"/>
    <mergeCell ref="AE716:AF716"/>
    <mergeCell ref="AL716:AQ716"/>
    <mergeCell ref="AR716:AV716"/>
    <mergeCell ref="AW716:BA716"/>
    <mergeCell ref="BB716:BD716"/>
    <mergeCell ref="BE716:BG716"/>
    <mergeCell ref="BH716:BJ716"/>
    <mergeCell ref="BK716:BM716"/>
    <mergeCell ref="BN716:BQ716"/>
    <mergeCell ref="BR716:BW716"/>
    <mergeCell ref="BX716:CB716"/>
    <mergeCell ref="J717:M717"/>
    <mergeCell ref="O717:S717"/>
    <mergeCell ref="T717:U717"/>
    <mergeCell ref="W717:X717"/>
    <mergeCell ref="Z717:AA717"/>
    <mergeCell ref="AB717:AC717"/>
    <mergeCell ref="AE717:AF717"/>
    <mergeCell ref="AL717:AQ717"/>
    <mergeCell ref="AR717:AV717"/>
    <mergeCell ref="AW717:BA717"/>
    <mergeCell ref="BB717:BD717"/>
    <mergeCell ref="BE717:BG717"/>
    <mergeCell ref="BH717:BJ717"/>
    <mergeCell ref="BK717:BM717"/>
    <mergeCell ref="BN717:BQ717"/>
    <mergeCell ref="BR717:BW717"/>
    <mergeCell ref="BX717:CB717"/>
    <mergeCell ref="J718:M718"/>
    <mergeCell ref="O718:S718"/>
    <mergeCell ref="T718:U718"/>
    <mergeCell ref="W718:X718"/>
    <mergeCell ref="Z718:AA718"/>
    <mergeCell ref="AB718:AC718"/>
    <mergeCell ref="AE718:AF718"/>
    <mergeCell ref="AL718:AQ718"/>
    <mergeCell ref="AR718:AV718"/>
    <mergeCell ref="AW718:BA718"/>
    <mergeCell ref="BB718:BD718"/>
    <mergeCell ref="BE718:BG718"/>
    <mergeCell ref="BH718:BJ718"/>
    <mergeCell ref="BK718:BM718"/>
    <mergeCell ref="BN718:BQ718"/>
    <mergeCell ref="BR718:BW718"/>
    <mergeCell ref="BX718:CB718"/>
    <mergeCell ref="J719:M719"/>
    <mergeCell ref="O719:S719"/>
    <mergeCell ref="T719:U719"/>
    <mergeCell ref="W719:X719"/>
    <mergeCell ref="Z719:AA719"/>
    <mergeCell ref="AB719:AC719"/>
    <mergeCell ref="AE719:AF719"/>
    <mergeCell ref="AL719:AQ719"/>
    <mergeCell ref="AR719:AV719"/>
    <mergeCell ref="AW719:BA719"/>
    <mergeCell ref="BB719:BD719"/>
    <mergeCell ref="BE719:BG719"/>
    <mergeCell ref="BH719:BJ719"/>
    <mergeCell ref="BK719:BM719"/>
    <mergeCell ref="BN719:BQ719"/>
    <mergeCell ref="BR719:BW719"/>
    <mergeCell ref="BX719:CB719"/>
    <mergeCell ref="J720:M720"/>
    <mergeCell ref="O720:S720"/>
    <mergeCell ref="T720:U720"/>
    <mergeCell ref="W720:X720"/>
    <mergeCell ref="Z720:AA720"/>
    <mergeCell ref="AB720:AC720"/>
    <mergeCell ref="AE720:AF720"/>
    <mergeCell ref="AL720:AQ720"/>
    <mergeCell ref="AR720:AV720"/>
    <mergeCell ref="AW720:BA720"/>
    <mergeCell ref="BB720:BD720"/>
    <mergeCell ref="BE720:BG720"/>
    <mergeCell ref="BH720:BJ720"/>
    <mergeCell ref="BK720:BM720"/>
    <mergeCell ref="BN720:BQ720"/>
    <mergeCell ref="BR720:BW720"/>
    <mergeCell ref="BX720:CB720"/>
    <mergeCell ref="BR723:BW723"/>
    <mergeCell ref="BX723:CB723"/>
    <mergeCell ref="B724:N724"/>
    <mergeCell ref="P724:Q724"/>
    <mergeCell ref="U724:V724"/>
    <mergeCell ref="Z724:AA724"/>
    <mergeCell ref="BB724:BD724"/>
    <mergeCell ref="BE724:BG724"/>
    <mergeCell ref="BH724:BJ724"/>
    <mergeCell ref="BK724:BM724"/>
    <mergeCell ref="BN724:BQ724"/>
    <mergeCell ref="BR724:BW724"/>
    <mergeCell ref="BX724:CB724"/>
    <mergeCell ref="B725:N725"/>
    <mergeCell ref="P725:Q725"/>
    <mergeCell ref="U725:V725"/>
    <mergeCell ref="Z725:AA725"/>
    <mergeCell ref="BB725:BD725"/>
    <mergeCell ref="BE725:BG725"/>
    <mergeCell ref="BH725:BJ725"/>
    <mergeCell ref="BK725:BM725"/>
    <mergeCell ref="BN725:BQ725"/>
    <mergeCell ref="BR725:BW725"/>
    <mergeCell ref="BX725:CB725"/>
    <mergeCell ref="BH723:BJ723"/>
    <mergeCell ref="BK723:BM723"/>
    <mergeCell ref="BN723:BQ723"/>
    <mergeCell ref="B726:N726"/>
    <mergeCell ref="P726:Q726"/>
    <mergeCell ref="U726:V726"/>
    <mergeCell ref="Z726:AA726"/>
    <mergeCell ref="BB726:BD726"/>
    <mergeCell ref="BE726:BG726"/>
    <mergeCell ref="BH726:BJ726"/>
    <mergeCell ref="BK726:BM726"/>
    <mergeCell ref="BN726:BQ726"/>
    <mergeCell ref="BR726:BW726"/>
    <mergeCell ref="BX726:CB726"/>
    <mergeCell ref="B727:N727"/>
    <mergeCell ref="P727:Q727"/>
    <mergeCell ref="U727:V727"/>
    <mergeCell ref="Z727:AA727"/>
    <mergeCell ref="BB727:BD727"/>
    <mergeCell ref="BE727:BG727"/>
    <mergeCell ref="BH727:BJ727"/>
    <mergeCell ref="BK727:BM727"/>
    <mergeCell ref="BN727:BQ727"/>
    <mergeCell ref="BR727:BW727"/>
    <mergeCell ref="BX727:CB727"/>
    <mergeCell ref="B734:N734"/>
    <mergeCell ref="P734:Q734"/>
    <mergeCell ref="Y734:Z734"/>
    <mergeCell ref="BB734:BD734"/>
    <mergeCell ref="BE734:BG734"/>
    <mergeCell ref="BH734:BJ734"/>
    <mergeCell ref="BK734:BM734"/>
    <mergeCell ref="BN734:BQ734"/>
    <mergeCell ref="BR734:BW734"/>
    <mergeCell ref="BX734:CB734"/>
    <mergeCell ref="B730:N730"/>
    <mergeCell ref="P730:Q730"/>
    <mergeCell ref="U730:V730"/>
    <mergeCell ref="Z730:AA730"/>
    <mergeCell ref="BB730:BD730"/>
    <mergeCell ref="BE730:BG730"/>
    <mergeCell ref="BH730:BJ730"/>
    <mergeCell ref="BK730:BM730"/>
    <mergeCell ref="BN730:BQ730"/>
    <mergeCell ref="BR730:BW730"/>
    <mergeCell ref="BX730:CB730"/>
    <mergeCell ref="B731:N731"/>
    <mergeCell ref="P731:Q731"/>
    <mergeCell ref="U731:V731"/>
    <mergeCell ref="Z731:AA731"/>
    <mergeCell ref="BB731:BD731"/>
    <mergeCell ref="BE731:BG731"/>
    <mergeCell ref="BH731:BJ731"/>
    <mergeCell ref="BK731:BM731"/>
    <mergeCell ref="BN731:BQ731"/>
    <mergeCell ref="BR731:BW731"/>
    <mergeCell ref="BX731:CB731"/>
    <mergeCell ref="B742:N742"/>
    <mergeCell ref="P742:Q742"/>
    <mergeCell ref="Y742:Z742"/>
    <mergeCell ref="BB742:BD742"/>
    <mergeCell ref="BE742:BG742"/>
    <mergeCell ref="BH742:BJ742"/>
    <mergeCell ref="BK742:BM742"/>
    <mergeCell ref="BN742:BQ742"/>
    <mergeCell ref="BR742:BW742"/>
    <mergeCell ref="BX742:CB742"/>
    <mergeCell ref="B743:N743"/>
    <mergeCell ref="O743:P743"/>
    <mergeCell ref="Y743:Z743"/>
    <mergeCell ref="BB743:BD743"/>
    <mergeCell ref="BE743:BG743"/>
    <mergeCell ref="BH743:BJ743"/>
    <mergeCell ref="BK743:BM743"/>
    <mergeCell ref="BN743:BQ743"/>
    <mergeCell ref="BR743:BW743"/>
    <mergeCell ref="BX743:CB743"/>
    <mergeCell ref="B744:N744"/>
    <mergeCell ref="O744:P744"/>
    <mergeCell ref="Y744:Z744"/>
    <mergeCell ref="BB744:BD744"/>
    <mergeCell ref="BE744:BG744"/>
    <mergeCell ref="BH744:BJ744"/>
    <mergeCell ref="BK744:BM744"/>
    <mergeCell ref="BN744:BQ744"/>
    <mergeCell ref="BR744:BW744"/>
    <mergeCell ref="BX744:CB744"/>
    <mergeCell ref="B745:N745"/>
    <mergeCell ref="O745:T745"/>
    <mergeCell ref="W745:Y745"/>
    <mergeCell ref="BB745:BD745"/>
    <mergeCell ref="BE745:BG745"/>
    <mergeCell ref="BH745:BJ745"/>
    <mergeCell ref="BK745:BM745"/>
    <mergeCell ref="BN745:BQ745"/>
    <mergeCell ref="BR745:BW745"/>
    <mergeCell ref="BX745:CB745"/>
    <mergeCell ref="B746:N746"/>
    <mergeCell ref="O746:T746"/>
    <mergeCell ref="W746:Y746"/>
    <mergeCell ref="BB746:BD746"/>
    <mergeCell ref="BE746:BG746"/>
    <mergeCell ref="BH746:BJ746"/>
    <mergeCell ref="BK746:BM746"/>
    <mergeCell ref="BN746:BQ746"/>
    <mergeCell ref="BR746:BW746"/>
    <mergeCell ref="BX746:CB746"/>
    <mergeCell ref="B747:N747"/>
    <mergeCell ref="O747:Q747"/>
    <mergeCell ref="T747:V747"/>
    <mergeCell ref="Z747:AA747"/>
    <mergeCell ref="BB747:BD747"/>
    <mergeCell ref="BE747:BG747"/>
    <mergeCell ref="BH747:BJ747"/>
    <mergeCell ref="BK747:BM747"/>
    <mergeCell ref="BN747:BQ747"/>
    <mergeCell ref="BR747:BW747"/>
    <mergeCell ref="BX747:CB747"/>
    <mergeCell ref="BG748:BM748"/>
    <mergeCell ref="BN748:BQ748"/>
    <mergeCell ref="BS748:BW748"/>
    <mergeCell ref="BX748:CB748"/>
    <mergeCell ref="BG749:BM749"/>
    <mergeCell ref="BN749:BQ749"/>
    <mergeCell ref="BS749:BW749"/>
    <mergeCell ref="BX749:CB749"/>
    <mergeCell ref="BG750:BM750"/>
    <mergeCell ref="BN750:BQ750"/>
    <mergeCell ref="BS750:BW750"/>
    <mergeCell ref="BX750:CB750"/>
    <mergeCell ref="BG751:BM751"/>
    <mergeCell ref="BN751:BQ751"/>
    <mergeCell ref="B767:CB767"/>
    <mergeCell ref="Z770:AA770"/>
    <mergeCell ref="E772:E774"/>
    <mergeCell ref="AJ772:AK772"/>
    <mergeCell ref="AC773:AD773"/>
    <mergeCell ref="BX752:CB752"/>
    <mergeCell ref="B753:N753"/>
    <mergeCell ref="O753:P753"/>
    <mergeCell ref="S753:T753"/>
    <mergeCell ref="W753:X753"/>
    <mergeCell ref="AA753:AB753"/>
    <mergeCell ref="AF753:AH753"/>
    <mergeCell ref="BB753:BD753"/>
    <mergeCell ref="BE753:BG753"/>
    <mergeCell ref="BH753:BJ753"/>
    <mergeCell ref="BK753:BM753"/>
    <mergeCell ref="BN753:BQ753"/>
    <mergeCell ref="BR753:BW753"/>
    <mergeCell ref="AF775:AG776"/>
    <mergeCell ref="AH775:AH776"/>
    <mergeCell ref="C776:C778"/>
    <mergeCell ref="AJ776:AK776"/>
    <mergeCell ref="J777:K777"/>
    <mergeCell ref="E778:E780"/>
    <mergeCell ref="L778:M778"/>
    <mergeCell ref="AJ778:AK779"/>
    <mergeCell ref="AL778:AL779"/>
    <mergeCell ref="X779:Y779"/>
    <mergeCell ref="AJ781:AK781"/>
    <mergeCell ref="N784:O784"/>
    <mergeCell ref="Y784:Z784"/>
    <mergeCell ref="AO784:AP784"/>
    <mergeCell ref="AS784:AT784"/>
    <mergeCell ref="AW784:AX784"/>
    <mergeCell ref="BA784:BB784"/>
    <mergeCell ref="BE784:BF784"/>
    <mergeCell ref="BI784:BJ784"/>
    <mergeCell ref="BM784:BN784"/>
    <mergeCell ref="S786:T786"/>
    <mergeCell ref="BA786:BC786"/>
    <mergeCell ref="S789:T789"/>
    <mergeCell ref="AW789:AX789"/>
    <mergeCell ref="AY789:AZ789"/>
    <mergeCell ref="BA789:BB789"/>
    <mergeCell ref="BC789:BD789"/>
    <mergeCell ref="BE789:BF789"/>
    <mergeCell ref="BG789:BH789"/>
    <mergeCell ref="BI789:BJ789"/>
    <mergeCell ref="BM789:BM794"/>
    <mergeCell ref="BN789:BN794"/>
    <mergeCell ref="BO789:BO794"/>
    <mergeCell ref="AW790:AX790"/>
    <mergeCell ref="AY790:AZ790"/>
    <mergeCell ref="BA790:BB790"/>
    <mergeCell ref="BC790:BD790"/>
    <mergeCell ref="BE790:BF790"/>
    <mergeCell ref="BG790:BH790"/>
    <mergeCell ref="BI790:BJ790"/>
    <mergeCell ref="AW794:AX794"/>
    <mergeCell ref="AY794:AZ794"/>
    <mergeCell ref="BC794:BD794"/>
    <mergeCell ref="BE794:BF794"/>
    <mergeCell ref="BK790:BL790"/>
    <mergeCell ref="BK789:BL789"/>
    <mergeCell ref="H791:I791"/>
    <mergeCell ref="K791:L791"/>
    <mergeCell ref="N791:O791"/>
    <mergeCell ref="Q791:R791"/>
    <mergeCell ref="T791:U791"/>
    <mergeCell ref="W791:X791"/>
    <mergeCell ref="Z791:AA791"/>
    <mergeCell ref="AC791:AD791"/>
    <mergeCell ref="AW791:AX791"/>
    <mergeCell ref="AY791:AZ791"/>
    <mergeCell ref="BC791:BD791"/>
    <mergeCell ref="BE791:BF791"/>
    <mergeCell ref="AW792:AX792"/>
    <mergeCell ref="AY792:AZ792"/>
    <mergeCell ref="BC792:BD792"/>
    <mergeCell ref="BE792:BF792"/>
    <mergeCell ref="AW793:AX793"/>
    <mergeCell ref="AY793:AZ793"/>
    <mergeCell ref="BC793:BD793"/>
    <mergeCell ref="BE793:BF793"/>
    <mergeCell ref="E795:E797"/>
    <mergeCell ref="AW795:AX795"/>
    <mergeCell ref="AY795:AZ795"/>
    <mergeCell ref="BC795:BD795"/>
    <mergeCell ref="BE795:BF795"/>
    <mergeCell ref="AW796:AX796"/>
    <mergeCell ref="AY796:AZ796"/>
    <mergeCell ref="BC796:BD796"/>
    <mergeCell ref="BE796:BF796"/>
    <mergeCell ref="AW797:AX797"/>
    <mergeCell ref="AY797:AZ797"/>
    <mergeCell ref="BC797:BD797"/>
    <mergeCell ref="BE797:BF797"/>
    <mergeCell ref="AL798:AM798"/>
    <mergeCell ref="AW798:AX798"/>
    <mergeCell ref="AY798:AZ798"/>
    <mergeCell ref="BC798:BD798"/>
    <mergeCell ref="BE798:BF798"/>
    <mergeCell ref="AW799:AX799"/>
    <mergeCell ref="AY799:AZ799"/>
    <mergeCell ref="BC799:BD799"/>
    <mergeCell ref="BE799:BF799"/>
    <mergeCell ref="E800:E802"/>
    <mergeCell ref="AW800:AX800"/>
    <mergeCell ref="AY800:AZ800"/>
    <mergeCell ref="BC800:BD800"/>
    <mergeCell ref="BE800:BF800"/>
    <mergeCell ref="AW801:AX801"/>
    <mergeCell ref="AY801:AZ801"/>
    <mergeCell ref="BC801:BD801"/>
    <mergeCell ref="BE801:BF801"/>
    <mergeCell ref="AW802:AX802"/>
    <mergeCell ref="AY802:AZ802"/>
    <mergeCell ref="BC802:BD802"/>
    <mergeCell ref="BE802:BF802"/>
    <mergeCell ref="AW803:AX803"/>
    <mergeCell ref="AY803:AZ803"/>
    <mergeCell ref="BC803:BD803"/>
    <mergeCell ref="BE803:BF803"/>
    <mergeCell ref="AW804:AX804"/>
    <mergeCell ref="AY804:AZ804"/>
    <mergeCell ref="BC804:BD804"/>
    <mergeCell ref="BE804:BF804"/>
    <mergeCell ref="E805:E807"/>
    <mergeCell ref="AW805:AX805"/>
    <mergeCell ref="AY805:AZ805"/>
    <mergeCell ref="BC805:BD805"/>
    <mergeCell ref="BE805:BF805"/>
    <mergeCell ref="C806:C808"/>
    <mergeCell ref="AW806:AX806"/>
    <mergeCell ref="AY806:AZ806"/>
    <mergeCell ref="BC806:BD806"/>
    <mergeCell ref="BE806:BF806"/>
    <mergeCell ref="AW807:AX807"/>
    <mergeCell ref="AY807:AZ807"/>
    <mergeCell ref="BC807:BD807"/>
    <mergeCell ref="BE807:BF807"/>
    <mergeCell ref="BC808:BD808"/>
    <mergeCell ref="BE808:BF808"/>
    <mergeCell ref="E810:E812"/>
    <mergeCell ref="C811:C813"/>
    <mergeCell ref="C814:C815"/>
    <mergeCell ref="E815:E817"/>
    <mergeCell ref="BU815:BU816"/>
    <mergeCell ref="C816:C817"/>
    <mergeCell ref="E820:E822"/>
    <mergeCell ref="AV823:AW823"/>
    <mergeCell ref="E825:E827"/>
    <mergeCell ref="BV833:BV835"/>
    <mergeCell ref="E834:E836"/>
    <mergeCell ref="BU837:BV838"/>
    <mergeCell ref="BW837:BW838"/>
    <mergeCell ref="C838:C840"/>
    <mergeCell ref="D838:E838"/>
    <mergeCell ref="BN838:BN840"/>
    <mergeCell ref="D840:E841"/>
    <mergeCell ref="F840:F841"/>
    <mergeCell ref="BS840:BT840"/>
    <mergeCell ref="AH841:AH843"/>
    <mergeCell ref="BV841:BV843"/>
    <mergeCell ref="D843:E843"/>
    <mergeCell ref="AN843:AO843"/>
    <mergeCell ref="AQ843:AR843"/>
    <mergeCell ref="AT843:AU843"/>
    <mergeCell ref="AW843:AX843"/>
    <mergeCell ref="BA843:BB843"/>
    <mergeCell ref="BD843:BE843"/>
    <mergeCell ref="BG843:BH843"/>
    <mergeCell ref="BJ843:BK843"/>
    <mergeCell ref="H846:I846"/>
    <mergeCell ref="K846:L846"/>
    <mergeCell ref="N846:O846"/>
    <mergeCell ref="S846:T846"/>
    <mergeCell ref="X846:Y846"/>
    <mergeCell ref="AA846:AB846"/>
    <mergeCell ref="AD846:AE846"/>
    <mergeCell ref="S848:T848"/>
    <mergeCell ref="B890:CB891"/>
    <mergeCell ref="B892:N895"/>
    <mergeCell ref="O892:BA892"/>
    <mergeCell ref="BB892:BD895"/>
    <mergeCell ref="BE892:BG895"/>
    <mergeCell ref="BH892:BJ895"/>
    <mergeCell ref="BK892:BM895"/>
    <mergeCell ref="BN892:BQ895"/>
    <mergeCell ref="BR892:BW895"/>
    <mergeCell ref="BX892:CB895"/>
    <mergeCell ref="O893:S895"/>
    <mergeCell ref="T893:AA893"/>
    <mergeCell ref="AB893:AF893"/>
    <mergeCell ref="AG893:AK893"/>
    <mergeCell ref="AL893:AQ895"/>
    <mergeCell ref="AR893:AV895"/>
    <mergeCell ref="AW893:BA895"/>
    <mergeCell ref="T894:U894"/>
    <mergeCell ref="W894:X894"/>
    <mergeCell ref="Z894:AA894"/>
    <mergeCell ref="AB894:AC894"/>
    <mergeCell ref="AE894:AF894"/>
    <mergeCell ref="AG894:AK894"/>
    <mergeCell ref="T895:U895"/>
    <mergeCell ref="BX896:CB896"/>
    <mergeCell ref="B897:N897"/>
    <mergeCell ref="O897:S897"/>
    <mergeCell ref="T897:U897"/>
    <mergeCell ref="W897:X897"/>
    <mergeCell ref="Z897:AA897"/>
    <mergeCell ref="AB897:AC897"/>
    <mergeCell ref="AE897:AF897"/>
    <mergeCell ref="AG897:AK897"/>
    <mergeCell ref="AL897:AQ897"/>
    <mergeCell ref="AR897:AV897"/>
    <mergeCell ref="AW897:BA897"/>
    <mergeCell ref="BB897:BD897"/>
    <mergeCell ref="BE897:BG897"/>
    <mergeCell ref="BH897:BJ897"/>
    <mergeCell ref="BK897:BM897"/>
    <mergeCell ref="BN897:BQ897"/>
    <mergeCell ref="BR897:BW897"/>
    <mergeCell ref="BX897:CB897"/>
    <mergeCell ref="J898:M898"/>
    <mergeCell ref="O898:S898"/>
    <mergeCell ref="T898:U898"/>
    <mergeCell ref="W898:X898"/>
    <mergeCell ref="Z898:AA898"/>
    <mergeCell ref="AB898:AC898"/>
    <mergeCell ref="AE898:AF898"/>
    <mergeCell ref="AL898:AQ898"/>
    <mergeCell ref="AR898:AV898"/>
    <mergeCell ref="AW898:BA898"/>
    <mergeCell ref="BB898:BD898"/>
    <mergeCell ref="BE898:BG898"/>
    <mergeCell ref="BH898:BJ898"/>
    <mergeCell ref="BK898:BM898"/>
    <mergeCell ref="BN898:BQ898"/>
    <mergeCell ref="BR898:BW898"/>
    <mergeCell ref="BX898:CB898"/>
    <mergeCell ref="J899:M899"/>
    <mergeCell ref="O899:S899"/>
    <mergeCell ref="T899:U899"/>
    <mergeCell ref="W899:X899"/>
    <mergeCell ref="Z899:AA899"/>
    <mergeCell ref="AB899:AC899"/>
    <mergeCell ref="AE899:AF899"/>
    <mergeCell ref="AL899:AQ899"/>
    <mergeCell ref="AR899:AV899"/>
    <mergeCell ref="AW899:BA899"/>
    <mergeCell ref="BB899:BD899"/>
    <mergeCell ref="BE899:BG899"/>
    <mergeCell ref="BH899:BJ899"/>
    <mergeCell ref="BK899:BM899"/>
    <mergeCell ref="BN899:BQ899"/>
    <mergeCell ref="BR899:BW899"/>
    <mergeCell ref="BX899:CB899"/>
    <mergeCell ref="J900:M900"/>
    <mergeCell ref="O900:S900"/>
    <mergeCell ref="T900:U900"/>
    <mergeCell ref="W900:X900"/>
    <mergeCell ref="Z900:AA900"/>
    <mergeCell ref="AB900:AC900"/>
    <mergeCell ref="AE900:AF900"/>
    <mergeCell ref="AL900:AQ900"/>
    <mergeCell ref="AR900:AV900"/>
    <mergeCell ref="AW900:BA900"/>
    <mergeCell ref="BB900:BD900"/>
    <mergeCell ref="BE900:BG900"/>
    <mergeCell ref="BH900:BJ900"/>
    <mergeCell ref="BK900:BM900"/>
    <mergeCell ref="BN900:BQ900"/>
    <mergeCell ref="BR900:BW900"/>
    <mergeCell ref="BX900:CB900"/>
    <mergeCell ref="J901:M901"/>
    <mergeCell ref="O901:S901"/>
    <mergeCell ref="T901:U901"/>
    <mergeCell ref="W901:X901"/>
    <mergeCell ref="Z901:AA901"/>
    <mergeCell ref="AB901:AC901"/>
    <mergeCell ref="AE901:AF901"/>
    <mergeCell ref="AL901:AQ901"/>
    <mergeCell ref="AR901:AV901"/>
    <mergeCell ref="AW901:BA901"/>
    <mergeCell ref="BB901:BD901"/>
    <mergeCell ref="BE901:BG901"/>
    <mergeCell ref="BH901:BJ901"/>
    <mergeCell ref="BK901:BM901"/>
    <mergeCell ref="BN901:BQ901"/>
    <mergeCell ref="BR901:BW901"/>
    <mergeCell ref="BX901:CB901"/>
    <mergeCell ref="B902:N902"/>
    <mergeCell ref="O902:S902"/>
    <mergeCell ref="T902:U902"/>
    <mergeCell ref="W902:X902"/>
    <mergeCell ref="Z902:AA902"/>
    <mergeCell ref="AB902:AC902"/>
    <mergeCell ref="AE902:AF902"/>
    <mergeCell ref="AL902:AQ902"/>
    <mergeCell ref="AR902:AV902"/>
    <mergeCell ref="AW902:BA902"/>
    <mergeCell ref="BB902:BD902"/>
    <mergeCell ref="BE902:BG902"/>
    <mergeCell ref="BH902:BJ902"/>
    <mergeCell ref="BK902:BM902"/>
    <mergeCell ref="BN902:BQ902"/>
    <mergeCell ref="BR902:BW902"/>
    <mergeCell ref="BX902:CB902"/>
    <mergeCell ref="B903:N903"/>
    <mergeCell ref="O903:S903"/>
    <mergeCell ref="T903:U903"/>
    <mergeCell ref="W903:X903"/>
    <mergeCell ref="Z903:AA903"/>
    <mergeCell ref="AB903:AC903"/>
    <mergeCell ref="AE903:AF903"/>
    <mergeCell ref="AL903:AQ903"/>
    <mergeCell ref="AR903:AV903"/>
    <mergeCell ref="AW903:BA903"/>
    <mergeCell ref="BB903:BD903"/>
    <mergeCell ref="BE903:BG903"/>
    <mergeCell ref="BH903:BJ903"/>
    <mergeCell ref="BK903:BM903"/>
    <mergeCell ref="BN903:BQ903"/>
    <mergeCell ref="BR903:BW903"/>
    <mergeCell ref="BX903:CB903"/>
    <mergeCell ref="B904:N904"/>
    <mergeCell ref="O904:S904"/>
    <mergeCell ref="T904:U904"/>
    <mergeCell ref="W904:X904"/>
    <mergeCell ref="Z904:AA904"/>
    <mergeCell ref="AB904:AC904"/>
    <mergeCell ref="AE904:AF904"/>
    <mergeCell ref="AL904:AQ904"/>
    <mergeCell ref="AR904:AV904"/>
    <mergeCell ref="AW904:BA904"/>
    <mergeCell ref="BB904:BD904"/>
    <mergeCell ref="BE904:BG904"/>
    <mergeCell ref="BH904:BJ904"/>
    <mergeCell ref="BK904:BM904"/>
    <mergeCell ref="BN904:BQ904"/>
    <mergeCell ref="BR904:BW904"/>
    <mergeCell ref="BX904:CB904"/>
    <mergeCell ref="B905:N905"/>
    <mergeCell ref="O905:S905"/>
    <mergeCell ref="T905:U905"/>
    <mergeCell ref="W905:X905"/>
    <mergeCell ref="Z905:AA905"/>
    <mergeCell ref="AB905:AC905"/>
    <mergeCell ref="AE905:AF905"/>
    <mergeCell ref="AL905:AQ905"/>
    <mergeCell ref="AR905:AV905"/>
    <mergeCell ref="AW905:BA905"/>
    <mergeCell ref="BB905:BD905"/>
    <mergeCell ref="BE905:BG905"/>
    <mergeCell ref="BH905:BJ905"/>
    <mergeCell ref="BK905:BM905"/>
    <mergeCell ref="BN905:BQ905"/>
    <mergeCell ref="BR905:BW905"/>
    <mergeCell ref="BX905:CB905"/>
    <mergeCell ref="B906:N906"/>
    <mergeCell ref="O906:S906"/>
    <mergeCell ref="T906:U906"/>
    <mergeCell ref="W906:X906"/>
    <mergeCell ref="Z906:AA906"/>
    <mergeCell ref="AB906:AC906"/>
    <mergeCell ref="AE906:AF906"/>
    <mergeCell ref="AL906:AQ906"/>
    <mergeCell ref="AR906:AV906"/>
    <mergeCell ref="AW906:BA906"/>
    <mergeCell ref="BB906:BD906"/>
    <mergeCell ref="BE906:BG906"/>
    <mergeCell ref="BH906:BJ906"/>
    <mergeCell ref="BK906:BM906"/>
    <mergeCell ref="BN906:BQ906"/>
    <mergeCell ref="BR906:BW906"/>
    <mergeCell ref="BX906:CB906"/>
    <mergeCell ref="B907:N907"/>
    <mergeCell ref="O907:S907"/>
    <mergeCell ref="T907:U907"/>
    <mergeCell ref="W907:X907"/>
    <mergeCell ref="Z907:AA907"/>
    <mergeCell ref="AB907:AC907"/>
    <mergeCell ref="AE907:AF907"/>
    <mergeCell ref="AL907:AQ907"/>
    <mergeCell ref="AR907:AV907"/>
    <mergeCell ref="AW907:BA907"/>
    <mergeCell ref="BB907:BD907"/>
    <mergeCell ref="BE907:BG907"/>
    <mergeCell ref="BH907:BJ907"/>
    <mergeCell ref="BK907:BM907"/>
    <mergeCell ref="BN907:BQ907"/>
    <mergeCell ref="BR907:BW907"/>
    <mergeCell ref="BX907:CB907"/>
    <mergeCell ref="B908:N908"/>
    <mergeCell ref="O908:S908"/>
    <mergeCell ref="T908:U908"/>
    <mergeCell ref="W908:X908"/>
    <mergeCell ref="Z908:AA908"/>
    <mergeCell ref="AB908:AC908"/>
    <mergeCell ref="AE908:AF908"/>
    <mergeCell ref="AL908:AQ908"/>
    <mergeCell ref="AR908:AV908"/>
    <mergeCell ref="AW908:BA908"/>
    <mergeCell ref="BB908:BD908"/>
    <mergeCell ref="BE908:BG908"/>
    <mergeCell ref="BH908:BJ908"/>
    <mergeCell ref="BK908:BM908"/>
    <mergeCell ref="BN908:BQ908"/>
    <mergeCell ref="BR908:BW908"/>
    <mergeCell ref="BX908:CB908"/>
    <mergeCell ref="B909:N909"/>
    <mergeCell ref="O909:S909"/>
    <mergeCell ref="T909:U909"/>
    <mergeCell ref="W909:X909"/>
    <mergeCell ref="Z909:AA909"/>
    <mergeCell ref="AB909:AC909"/>
    <mergeCell ref="AE909:AF909"/>
    <mergeCell ref="AL909:AQ909"/>
    <mergeCell ref="AR909:AV909"/>
    <mergeCell ref="AW909:BA909"/>
    <mergeCell ref="BB909:BD909"/>
    <mergeCell ref="BE909:BG909"/>
    <mergeCell ref="BH909:BJ909"/>
    <mergeCell ref="BK909:BM909"/>
    <mergeCell ref="BN909:BQ909"/>
    <mergeCell ref="BR909:BW909"/>
    <mergeCell ref="BX909:CB909"/>
    <mergeCell ref="B910:N910"/>
    <mergeCell ref="O910:S910"/>
    <mergeCell ref="T910:U910"/>
    <mergeCell ref="W910:X910"/>
    <mergeCell ref="Z910:AA910"/>
    <mergeCell ref="AB910:AC910"/>
    <mergeCell ref="AE910:AF910"/>
    <mergeCell ref="AL910:AQ910"/>
    <mergeCell ref="AR910:AV910"/>
    <mergeCell ref="AW910:BA910"/>
    <mergeCell ref="BB910:BD910"/>
    <mergeCell ref="BE910:BG910"/>
    <mergeCell ref="BH910:BJ910"/>
    <mergeCell ref="BK910:BM910"/>
    <mergeCell ref="BN910:BQ910"/>
    <mergeCell ref="BR910:BW910"/>
    <mergeCell ref="BX910:CB910"/>
    <mergeCell ref="B911:N911"/>
    <mergeCell ref="O911:S911"/>
    <mergeCell ref="T911:U911"/>
    <mergeCell ref="W911:X911"/>
    <mergeCell ref="Z911:AA911"/>
    <mergeCell ref="AB911:AC911"/>
    <mergeCell ref="AE911:AF911"/>
    <mergeCell ref="AL911:AQ911"/>
    <mergeCell ref="AR911:AV911"/>
    <mergeCell ref="AW911:BA911"/>
    <mergeCell ref="BB911:BD911"/>
    <mergeCell ref="BE911:BG911"/>
    <mergeCell ref="BH911:BJ911"/>
    <mergeCell ref="BK911:BM911"/>
    <mergeCell ref="BN911:BQ911"/>
    <mergeCell ref="BR911:BW911"/>
    <mergeCell ref="BX911:CB911"/>
    <mergeCell ref="B912:N912"/>
    <mergeCell ref="O912:S912"/>
    <mergeCell ref="T912:U912"/>
    <mergeCell ref="W912:X912"/>
    <mergeCell ref="Z912:AA912"/>
    <mergeCell ref="AB912:AC912"/>
    <mergeCell ref="AE912:AF912"/>
    <mergeCell ref="AL912:AQ912"/>
    <mergeCell ref="AR912:AV912"/>
    <mergeCell ref="AW912:BA912"/>
    <mergeCell ref="BB912:BD912"/>
    <mergeCell ref="BE912:BG912"/>
    <mergeCell ref="BH912:BJ912"/>
    <mergeCell ref="BK912:BM912"/>
    <mergeCell ref="BN912:BQ912"/>
    <mergeCell ref="BR912:BW912"/>
    <mergeCell ref="BX912:CB912"/>
    <mergeCell ref="J914:M914"/>
    <mergeCell ref="O914:S914"/>
    <mergeCell ref="T914:U914"/>
    <mergeCell ref="W914:X914"/>
    <mergeCell ref="Z914:AA914"/>
    <mergeCell ref="AB914:AC914"/>
    <mergeCell ref="AE914:AF914"/>
    <mergeCell ref="AL914:AQ914"/>
    <mergeCell ref="AR914:AV914"/>
    <mergeCell ref="AW914:BA914"/>
    <mergeCell ref="BB914:BD914"/>
    <mergeCell ref="BE914:BG914"/>
    <mergeCell ref="BH914:BJ914"/>
    <mergeCell ref="BK914:BM914"/>
    <mergeCell ref="BN914:BQ914"/>
    <mergeCell ref="BR914:BW914"/>
    <mergeCell ref="BX914:CB914"/>
    <mergeCell ref="J915:M915"/>
    <mergeCell ref="O915:S915"/>
    <mergeCell ref="T915:U915"/>
    <mergeCell ref="W915:X915"/>
    <mergeCell ref="Z915:AA915"/>
    <mergeCell ref="AB915:AC915"/>
    <mergeCell ref="AE915:AF915"/>
    <mergeCell ref="AL915:AQ915"/>
    <mergeCell ref="AR915:AV915"/>
    <mergeCell ref="AW915:BA915"/>
    <mergeCell ref="BB915:BD915"/>
    <mergeCell ref="BE915:BG915"/>
    <mergeCell ref="BH915:BJ915"/>
    <mergeCell ref="BK915:BM915"/>
    <mergeCell ref="BN915:BQ915"/>
    <mergeCell ref="BR915:BW915"/>
    <mergeCell ref="BX915:CB915"/>
    <mergeCell ref="J916:M916"/>
    <mergeCell ref="O916:S916"/>
    <mergeCell ref="T916:U916"/>
    <mergeCell ref="W916:X916"/>
    <mergeCell ref="Z916:AA916"/>
    <mergeCell ref="AB916:AC916"/>
    <mergeCell ref="AE916:AF916"/>
    <mergeCell ref="AL916:AQ916"/>
    <mergeCell ref="AR916:AV916"/>
    <mergeCell ref="AW916:BA916"/>
    <mergeCell ref="BB916:BD916"/>
    <mergeCell ref="BE916:BG916"/>
    <mergeCell ref="BH916:BJ916"/>
    <mergeCell ref="BK916:BM916"/>
    <mergeCell ref="BN916:BQ916"/>
    <mergeCell ref="BR916:BW916"/>
    <mergeCell ref="BX916:CB916"/>
    <mergeCell ref="J917:M917"/>
    <mergeCell ref="O917:S917"/>
    <mergeCell ref="T917:U917"/>
    <mergeCell ref="W917:X917"/>
    <mergeCell ref="Z917:AA917"/>
    <mergeCell ref="AB917:AC917"/>
    <mergeCell ref="AE917:AF917"/>
    <mergeCell ref="AL917:AQ917"/>
    <mergeCell ref="AR917:AV917"/>
    <mergeCell ref="AW917:BA917"/>
    <mergeCell ref="BB917:BD917"/>
    <mergeCell ref="BE917:BG917"/>
    <mergeCell ref="BH917:BJ917"/>
    <mergeCell ref="BK917:BM917"/>
    <mergeCell ref="BN917:BQ917"/>
    <mergeCell ref="BR917:BW917"/>
    <mergeCell ref="BX917:CB917"/>
    <mergeCell ref="B919:N919"/>
    <mergeCell ref="P919:Q919"/>
    <mergeCell ref="U919:V919"/>
    <mergeCell ref="Z919:AA919"/>
    <mergeCell ref="BB919:BD919"/>
    <mergeCell ref="BE919:BG919"/>
    <mergeCell ref="BH919:BJ919"/>
    <mergeCell ref="BK919:BM919"/>
    <mergeCell ref="BN919:BQ919"/>
    <mergeCell ref="BR919:BW919"/>
    <mergeCell ref="BX919:CB919"/>
    <mergeCell ref="J918:M918"/>
    <mergeCell ref="O918:S918"/>
    <mergeCell ref="T918:U918"/>
    <mergeCell ref="W918:X918"/>
    <mergeCell ref="Z918:AA918"/>
    <mergeCell ref="AB918:AC918"/>
    <mergeCell ref="AE918:AF918"/>
    <mergeCell ref="AL918:AQ918"/>
    <mergeCell ref="AR918:AV918"/>
    <mergeCell ref="AW918:BA918"/>
    <mergeCell ref="BB918:BD918"/>
    <mergeCell ref="BE918:BG918"/>
    <mergeCell ref="BH918:BJ918"/>
    <mergeCell ref="BK918:BM918"/>
    <mergeCell ref="BN918:BQ918"/>
    <mergeCell ref="BR918:BW918"/>
    <mergeCell ref="BX918:CB918"/>
    <mergeCell ref="BX925:CB925"/>
    <mergeCell ref="B926:N926"/>
    <mergeCell ref="P926:Q926"/>
    <mergeCell ref="B920:N920"/>
    <mergeCell ref="P920:Q920"/>
    <mergeCell ref="U920:V920"/>
    <mergeCell ref="Z920:AA920"/>
    <mergeCell ref="BB920:BD920"/>
    <mergeCell ref="BE920:BG920"/>
    <mergeCell ref="BH920:BJ920"/>
    <mergeCell ref="BK920:BM920"/>
    <mergeCell ref="BN920:BQ920"/>
    <mergeCell ref="BR920:BW920"/>
    <mergeCell ref="BX920:CB920"/>
    <mergeCell ref="B921:N921"/>
    <mergeCell ref="P921:Q921"/>
    <mergeCell ref="U921:V921"/>
    <mergeCell ref="Z921:AA921"/>
    <mergeCell ref="BB921:BD921"/>
    <mergeCell ref="BE921:BG921"/>
    <mergeCell ref="BH921:BJ921"/>
    <mergeCell ref="BK921:BM921"/>
    <mergeCell ref="BN921:BQ921"/>
    <mergeCell ref="BR921:BW921"/>
    <mergeCell ref="BX921:CB921"/>
    <mergeCell ref="B922:N922"/>
    <mergeCell ref="P922:Q922"/>
    <mergeCell ref="U922:V922"/>
    <mergeCell ref="Z922:AA922"/>
    <mergeCell ref="BB922:BD922"/>
    <mergeCell ref="BE922:BG922"/>
    <mergeCell ref="BX922:CB922"/>
    <mergeCell ref="B923:N923"/>
    <mergeCell ref="P923:Q923"/>
    <mergeCell ref="U923:V923"/>
    <mergeCell ref="Z923:AA923"/>
    <mergeCell ref="BB923:BD923"/>
    <mergeCell ref="BE923:BG923"/>
    <mergeCell ref="BH923:BJ923"/>
    <mergeCell ref="BK923:BM923"/>
    <mergeCell ref="BN923:BQ923"/>
    <mergeCell ref="BR923:BW923"/>
    <mergeCell ref="BX923:CB923"/>
    <mergeCell ref="BE924:BG924"/>
    <mergeCell ref="BH924:BJ924"/>
    <mergeCell ref="BK924:BM924"/>
    <mergeCell ref="BN924:BQ924"/>
    <mergeCell ref="BR924:BW924"/>
    <mergeCell ref="BX924:CB924"/>
    <mergeCell ref="BR931:BW931"/>
    <mergeCell ref="BX931:CB931"/>
    <mergeCell ref="B927:N927"/>
    <mergeCell ref="P927:Q927"/>
    <mergeCell ref="U927:V927"/>
    <mergeCell ref="Z927:AA927"/>
    <mergeCell ref="BB927:BD927"/>
    <mergeCell ref="BE927:BG927"/>
    <mergeCell ref="BH927:BJ927"/>
    <mergeCell ref="BK927:BM927"/>
    <mergeCell ref="BN927:BQ927"/>
    <mergeCell ref="BR927:BW927"/>
    <mergeCell ref="BX927:CB927"/>
    <mergeCell ref="B930:N930"/>
    <mergeCell ref="P930:Q930"/>
    <mergeCell ref="U930:V930"/>
    <mergeCell ref="Z930:AA930"/>
    <mergeCell ref="AM930:AN930"/>
    <mergeCell ref="BB930:BD930"/>
    <mergeCell ref="BE930:BG930"/>
    <mergeCell ref="BH930:BJ930"/>
    <mergeCell ref="BK930:BM930"/>
    <mergeCell ref="BN930:BQ930"/>
    <mergeCell ref="BR930:BW930"/>
    <mergeCell ref="BN939:BQ939"/>
    <mergeCell ref="BR939:BW939"/>
    <mergeCell ref="BX939:CB939"/>
    <mergeCell ref="BB940:BD940"/>
    <mergeCell ref="BE940:BG940"/>
    <mergeCell ref="BH940:BJ940"/>
    <mergeCell ref="BK940:BM940"/>
    <mergeCell ref="BN940:BQ940"/>
    <mergeCell ref="BR940:BW940"/>
    <mergeCell ref="B933:N933"/>
    <mergeCell ref="P933:Q933"/>
    <mergeCell ref="Y933:Z933"/>
    <mergeCell ref="BB933:BD933"/>
    <mergeCell ref="BE933:BG933"/>
    <mergeCell ref="BH933:BJ933"/>
    <mergeCell ref="BK933:BM933"/>
    <mergeCell ref="BN933:BQ933"/>
    <mergeCell ref="BR933:BW933"/>
    <mergeCell ref="BX933:CB933"/>
    <mergeCell ref="B934:N934"/>
    <mergeCell ref="P934:Q934"/>
    <mergeCell ref="Y934:Z934"/>
    <mergeCell ref="BB934:BD934"/>
    <mergeCell ref="BE934:BG934"/>
    <mergeCell ref="BH934:BJ934"/>
    <mergeCell ref="BK934:BM934"/>
    <mergeCell ref="BN934:BQ934"/>
    <mergeCell ref="BR934:BW934"/>
    <mergeCell ref="BX934:CB934"/>
    <mergeCell ref="B936:N936"/>
    <mergeCell ref="P936:Q936"/>
    <mergeCell ref="BX943:CB943"/>
    <mergeCell ref="BX940:CB940"/>
    <mergeCell ref="B941:N941"/>
    <mergeCell ref="O941:T941"/>
    <mergeCell ref="W941:Y941"/>
    <mergeCell ref="BB941:BD941"/>
    <mergeCell ref="BE941:BG941"/>
    <mergeCell ref="BH941:BJ941"/>
    <mergeCell ref="B535:N535"/>
    <mergeCell ref="BB161:BD161"/>
    <mergeCell ref="BE161:BG161"/>
    <mergeCell ref="BH161:BJ161"/>
    <mergeCell ref="BK161:BM161"/>
    <mergeCell ref="BN161:BQ161"/>
    <mergeCell ref="BR161:BW161"/>
    <mergeCell ref="BX161:CB161"/>
    <mergeCell ref="B154:N154"/>
    <mergeCell ref="P154:Q154"/>
    <mergeCell ref="U154:V154"/>
    <mergeCell ref="Z154:AA154"/>
    <mergeCell ref="BB154:BD154"/>
    <mergeCell ref="BN154:BQ154"/>
    <mergeCell ref="BR154:BW154"/>
    <mergeCell ref="BX154:CB154"/>
    <mergeCell ref="B155:N155"/>
    <mergeCell ref="P155:Q155"/>
    <mergeCell ref="U155:V155"/>
    <mergeCell ref="Z155:AA155"/>
    <mergeCell ref="BB155:BD155"/>
    <mergeCell ref="BH155:BJ155"/>
    <mergeCell ref="BK155:BM155"/>
    <mergeCell ref="BK941:BM941"/>
    <mergeCell ref="BN943:BQ943"/>
    <mergeCell ref="BE155:BG155"/>
    <mergeCell ref="BN155:BQ155"/>
    <mergeCell ref="BR155:BW155"/>
    <mergeCell ref="B942:N942"/>
    <mergeCell ref="O942:T942"/>
    <mergeCell ref="W942:Y942"/>
    <mergeCell ref="BB942:BD942"/>
    <mergeCell ref="BE942:BG942"/>
    <mergeCell ref="BR943:BW943"/>
    <mergeCell ref="BN941:BQ941"/>
    <mergeCell ref="BR941:BW941"/>
    <mergeCell ref="B938:N938"/>
    <mergeCell ref="P938:Q938"/>
    <mergeCell ref="Y938:Z938"/>
    <mergeCell ref="BB938:BD938"/>
    <mergeCell ref="BE938:BG938"/>
    <mergeCell ref="BH938:BJ938"/>
    <mergeCell ref="BK938:BM938"/>
    <mergeCell ref="BN938:BQ938"/>
    <mergeCell ref="BR938:BW938"/>
    <mergeCell ref="U924:V924"/>
    <mergeCell ref="Z924:AA924"/>
    <mergeCell ref="BB924:BD924"/>
    <mergeCell ref="BB925:BD925"/>
    <mergeCell ref="BE925:BG925"/>
    <mergeCell ref="BH925:BJ925"/>
    <mergeCell ref="BK925:BM925"/>
    <mergeCell ref="BN925:BQ925"/>
    <mergeCell ref="B939:N939"/>
    <mergeCell ref="O939:P939"/>
    <mergeCell ref="BK939:BM939"/>
    <mergeCell ref="BX941:CB941"/>
    <mergeCell ref="BK162:BM162"/>
    <mergeCell ref="BN162:BQ162"/>
    <mergeCell ref="BR162:BW162"/>
    <mergeCell ref="BX162:CB162"/>
    <mergeCell ref="BK150:BM150"/>
    <mergeCell ref="BK151:BM151"/>
    <mergeCell ref="BE154:BG154"/>
    <mergeCell ref="BH154:BJ154"/>
    <mergeCell ref="BX152:CB152"/>
    <mergeCell ref="BR151:BW151"/>
    <mergeCell ref="B527:N527"/>
    <mergeCell ref="O527:S527"/>
    <mergeCell ref="T527:U527"/>
    <mergeCell ref="W527:X527"/>
    <mergeCell ref="Z527:AA527"/>
    <mergeCell ref="AB527:AC527"/>
    <mergeCell ref="BX938:CB938"/>
    <mergeCell ref="Y939:Z939"/>
    <mergeCell ref="BB939:BD939"/>
    <mergeCell ref="BE939:BG939"/>
    <mergeCell ref="BH939:BJ939"/>
    <mergeCell ref="BK154:BM154"/>
    <mergeCell ref="BB156:BD156"/>
    <mergeCell ref="BE156:BG156"/>
    <mergeCell ref="BH156:BJ156"/>
    <mergeCell ref="BK156:BM156"/>
    <mergeCell ref="BN156:BQ156"/>
    <mergeCell ref="BR156:BW156"/>
    <mergeCell ref="BX156:CB156"/>
    <mergeCell ref="BX155:CB155"/>
    <mergeCell ref="BB153:BD153"/>
    <mergeCell ref="BE153:BG153"/>
    <mergeCell ref="BH153:BJ153"/>
    <mergeCell ref="BK153:BM153"/>
    <mergeCell ref="BX150:CB150"/>
    <mergeCell ref="BX151:CB151"/>
    <mergeCell ref="BN141:BQ141"/>
    <mergeCell ref="BE144:BG144"/>
    <mergeCell ref="BH144:BJ144"/>
    <mergeCell ref="BB142:BD142"/>
    <mergeCell ref="BE142:BG142"/>
    <mergeCell ref="BH142:BJ142"/>
    <mergeCell ref="BE143:BG143"/>
    <mergeCell ref="BX144:CB144"/>
    <mergeCell ref="BX148:CB148"/>
    <mergeCell ref="BX149:CB149"/>
    <mergeCell ref="BR142:BW142"/>
    <mergeCell ref="BK142:BM142"/>
    <mergeCell ref="BX142:CB142"/>
    <mergeCell ref="BH151:BJ151"/>
    <mergeCell ref="BE141:BG141"/>
    <mergeCell ref="BX145:CB145"/>
    <mergeCell ref="BB143:BD143"/>
    <mergeCell ref="BH149:BJ149"/>
    <mergeCell ref="BK149:BM149"/>
    <mergeCell ref="BN149:BQ149"/>
    <mergeCell ref="BR149:BW149"/>
    <mergeCell ref="B164:N164"/>
    <mergeCell ref="P165:Q165"/>
    <mergeCell ref="Y165:Z165"/>
    <mergeCell ref="BB165:BD165"/>
    <mergeCell ref="BE165:BG165"/>
    <mergeCell ref="BH165:BJ165"/>
    <mergeCell ref="BK165:BM165"/>
    <mergeCell ref="BN165:BQ165"/>
    <mergeCell ref="BR165:BW165"/>
    <mergeCell ref="BX165:CB165"/>
    <mergeCell ref="BX163:CB163"/>
    <mergeCell ref="BG174:BM174"/>
    <mergeCell ref="BN174:BQ174"/>
    <mergeCell ref="O176:P176"/>
    <mergeCell ref="S176:T176"/>
    <mergeCell ref="W176:X176"/>
    <mergeCell ref="AA176:AB176"/>
    <mergeCell ref="BN172:BQ172"/>
    <mergeCell ref="BX168:CB168"/>
    <mergeCell ref="BX169:CB169"/>
    <mergeCell ref="BX171:CB171"/>
    <mergeCell ref="BX170:CB170"/>
    <mergeCell ref="B168:N168"/>
    <mergeCell ref="B169:N169"/>
    <mergeCell ref="B167:N167"/>
    <mergeCell ref="BX173:CB173"/>
    <mergeCell ref="BR176:BW176"/>
    <mergeCell ref="BX176:CB176"/>
    <mergeCell ref="BH175:BJ175"/>
    <mergeCell ref="BK175:BM175"/>
    <mergeCell ref="BN175:BQ175"/>
    <mergeCell ref="BR175:BW175"/>
    <mergeCell ref="BN356:BQ356"/>
    <mergeCell ref="BR356:BW356"/>
    <mergeCell ref="BX356:CB356"/>
    <mergeCell ref="BR167:BW167"/>
    <mergeCell ref="BN171:BQ171"/>
    <mergeCell ref="BS171:BW171"/>
    <mergeCell ref="BG171:BM171"/>
    <mergeCell ref="BS172:BW172"/>
    <mergeCell ref="P157:Q157"/>
    <mergeCell ref="U157:V157"/>
    <mergeCell ref="Z157:AA157"/>
    <mergeCell ref="BB157:BD157"/>
    <mergeCell ref="BE157:BG157"/>
    <mergeCell ref="BH157:BJ157"/>
    <mergeCell ref="BK157:BM157"/>
    <mergeCell ref="BN157:BQ157"/>
    <mergeCell ref="BR157:BW157"/>
    <mergeCell ref="BX157:CB157"/>
    <mergeCell ref="AM157:AN157"/>
    <mergeCell ref="AF176:AH176"/>
    <mergeCell ref="AH195:AI195"/>
    <mergeCell ref="BB160:BD160"/>
    <mergeCell ref="BE160:BG160"/>
    <mergeCell ref="BH160:BJ160"/>
    <mergeCell ref="BK160:BM160"/>
    <mergeCell ref="BN160:BQ160"/>
    <mergeCell ref="BR160:BW160"/>
    <mergeCell ref="BX160:CB160"/>
    <mergeCell ref="Y158:Z158"/>
    <mergeCell ref="BX175:CB175"/>
    <mergeCell ref="BH180:BJ180"/>
    <mergeCell ref="BK180:BM180"/>
    <mergeCell ref="BX537:CB537"/>
    <mergeCell ref="BE539:BG539"/>
    <mergeCell ref="BH539:BJ539"/>
    <mergeCell ref="BK539:BM539"/>
    <mergeCell ref="BN539:BQ539"/>
    <mergeCell ref="BR539:BW539"/>
    <mergeCell ref="BK538:BM538"/>
    <mergeCell ref="U537:V537"/>
    <mergeCell ref="P486:Q486"/>
    <mergeCell ref="BX167:CB167"/>
    <mergeCell ref="BA441:BB441"/>
    <mergeCell ref="BH531:BJ531"/>
    <mergeCell ref="BK531:BM531"/>
    <mergeCell ref="BN531:BQ531"/>
    <mergeCell ref="S181:T181"/>
    <mergeCell ref="B528:N528"/>
    <mergeCell ref="O528:S528"/>
    <mergeCell ref="T528:U528"/>
    <mergeCell ref="W528:X528"/>
    <mergeCell ref="Z528:AA528"/>
    <mergeCell ref="AB528:AC528"/>
    <mergeCell ref="AE528:AF528"/>
    <mergeCell ref="AE527:AF527"/>
    <mergeCell ref="AL527:AQ527"/>
    <mergeCell ref="AR527:AV527"/>
    <mergeCell ref="B356:N356"/>
    <mergeCell ref="P356:Q356"/>
    <mergeCell ref="Y356:Z356"/>
    <mergeCell ref="BB356:BD356"/>
    <mergeCell ref="BE356:BG356"/>
    <mergeCell ref="BH356:BJ356"/>
    <mergeCell ref="BK356:BM356"/>
    <mergeCell ref="BR542:BW542"/>
    <mergeCell ref="BX542:CB542"/>
    <mergeCell ref="B541:N541"/>
    <mergeCell ref="P541:Q541"/>
    <mergeCell ref="Y541:Z541"/>
    <mergeCell ref="BB541:BD541"/>
    <mergeCell ref="BE541:BG541"/>
    <mergeCell ref="BH541:BJ541"/>
    <mergeCell ref="BK541:BM541"/>
    <mergeCell ref="BN541:BQ541"/>
    <mergeCell ref="BR541:BW541"/>
    <mergeCell ref="BX541:CB541"/>
    <mergeCell ref="BX539:CB539"/>
    <mergeCell ref="P536:Q536"/>
    <mergeCell ref="U536:V536"/>
    <mergeCell ref="Z536:AA536"/>
    <mergeCell ref="BB536:BD536"/>
    <mergeCell ref="BE536:BG536"/>
    <mergeCell ref="BH536:BJ536"/>
    <mergeCell ref="BK536:BM536"/>
    <mergeCell ref="BN536:BQ536"/>
    <mergeCell ref="BR536:BW536"/>
    <mergeCell ref="BX536:CB536"/>
    <mergeCell ref="B537:N537"/>
    <mergeCell ref="P537:Q537"/>
    <mergeCell ref="Z537:AA537"/>
    <mergeCell ref="BB537:BD537"/>
    <mergeCell ref="BE537:BG537"/>
    <mergeCell ref="BH537:BJ537"/>
    <mergeCell ref="BK537:BM537"/>
    <mergeCell ref="BN537:BQ537"/>
    <mergeCell ref="BR537:BW537"/>
    <mergeCell ref="B540:N540"/>
    <mergeCell ref="P540:Q540"/>
    <mergeCell ref="U540:V540"/>
    <mergeCell ref="Z540:AA540"/>
    <mergeCell ref="AM540:AN540"/>
    <mergeCell ref="BB540:BD540"/>
    <mergeCell ref="BE540:BG540"/>
    <mergeCell ref="BH540:BJ540"/>
    <mergeCell ref="BK540:BM540"/>
    <mergeCell ref="B543:N543"/>
    <mergeCell ref="P543:Q543"/>
    <mergeCell ref="Y543:Z543"/>
    <mergeCell ref="BB543:BD543"/>
    <mergeCell ref="BE543:BG543"/>
    <mergeCell ref="BH543:BJ543"/>
    <mergeCell ref="BK543:BM543"/>
    <mergeCell ref="BN543:BQ543"/>
    <mergeCell ref="B542:N542"/>
    <mergeCell ref="P542:Q542"/>
    <mergeCell ref="Y542:Z542"/>
    <mergeCell ref="BB542:BD542"/>
    <mergeCell ref="BE542:BG542"/>
    <mergeCell ref="BH542:BJ542"/>
    <mergeCell ref="BK542:BM542"/>
    <mergeCell ref="BN542:BQ542"/>
    <mergeCell ref="BR543:BW543"/>
    <mergeCell ref="BX543:CB543"/>
    <mergeCell ref="B544:N544"/>
    <mergeCell ref="P544:Q544"/>
    <mergeCell ref="Y544:Z544"/>
    <mergeCell ref="BB544:BD544"/>
    <mergeCell ref="BE544:BG544"/>
    <mergeCell ref="BH544:BJ544"/>
    <mergeCell ref="BK544:BM544"/>
    <mergeCell ref="BN544:BQ544"/>
    <mergeCell ref="BR544:BW544"/>
    <mergeCell ref="BX544:CB544"/>
    <mergeCell ref="B546:N546"/>
    <mergeCell ref="P546:Q546"/>
    <mergeCell ref="Y546:Z546"/>
    <mergeCell ref="BB546:BD546"/>
    <mergeCell ref="BE546:BG546"/>
    <mergeCell ref="BH546:BJ546"/>
    <mergeCell ref="BK546:BM546"/>
    <mergeCell ref="BN546:BQ546"/>
    <mergeCell ref="BR546:BW546"/>
    <mergeCell ref="BX546:CB546"/>
    <mergeCell ref="B545:N545"/>
    <mergeCell ref="P545:Q545"/>
    <mergeCell ref="Y545:Z545"/>
    <mergeCell ref="BB545:BD545"/>
    <mergeCell ref="BE545:BG545"/>
    <mergeCell ref="BH545:BJ545"/>
    <mergeCell ref="BK545:BM545"/>
    <mergeCell ref="BN545:BQ545"/>
    <mergeCell ref="BR545:BW545"/>
    <mergeCell ref="BX545:CB545"/>
    <mergeCell ref="B547:N547"/>
    <mergeCell ref="P547:Q547"/>
    <mergeCell ref="Y547:Z547"/>
    <mergeCell ref="BB547:BD547"/>
    <mergeCell ref="BE547:BG547"/>
    <mergeCell ref="BH547:BJ547"/>
    <mergeCell ref="BK547:BM547"/>
    <mergeCell ref="BN547:BQ547"/>
    <mergeCell ref="BR547:BW547"/>
    <mergeCell ref="BX547:CB547"/>
    <mergeCell ref="B736:N736"/>
    <mergeCell ref="P736:Q736"/>
    <mergeCell ref="Y736:Z736"/>
    <mergeCell ref="BB736:BD736"/>
    <mergeCell ref="BE736:BG736"/>
    <mergeCell ref="BH736:BJ736"/>
    <mergeCell ref="BK736:BM736"/>
    <mergeCell ref="BN736:BQ736"/>
    <mergeCell ref="BR736:BW736"/>
    <mergeCell ref="BX736:CB736"/>
    <mergeCell ref="B728:N728"/>
    <mergeCell ref="P728:Q728"/>
    <mergeCell ref="U728:V728"/>
    <mergeCell ref="Z728:AA728"/>
    <mergeCell ref="BB728:BD728"/>
    <mergeCell ref="BE728:BG728"/>
    <mergeCell ref="BH728:BJ728"/>
    <mergeCell ref="BK728:BM728"/>
    <mergeCell ref="BN728:BQ728"/>
    <mergeCell ref="BR728:BW728"/>
    <mergeCell ref="BX728:CB728"/>
    <mergeCell ref="B729:N729"/>
    <mergeCell ref="B737:N737"/>
    <mergeCell ref="P737:Q737"/>
    <mergeCell ref="Y737:Z737"/>
    <mergeCell ref="BB737:BD737"/>
    <mergeCell ref="BE737:BG737"/>
    <mergeCell ref="BH737:BJ737"/>
    <mergeCell ref="BK737:BM737"/>
    <mergeCell ref="BN737:BQ737"/>
    <mergeCell ref="BR737:BW737"/>
    <mergeCell ref="BX737:CB737"/>
    <mergeCell ref="B738:N738"/>
    <mergeCell ref="P738:Q738"/>
    <mergeCell ref="Y738:Z738"/>
    <mergeCell ref="BB738:BD738"/>
    <mergeCell ref="BE738:BG738"/>
    <mergeCell ref="BH738:BJ738"/>
    <mergeCell ref="BK738:BM738"/>
    <mergeCell ref="BN738:BQ738"/>
    <mergeCell ref="BR738:BW738"/>
    <mergeCell ref="BX738:CB738"/>
    <mergeCell ref="BX926:CB926"/>
    <mergeCell ref="BX928:CB928"/>
    <mergeCell ref="BO864:BP864"/>
    <mergeCell ref="BE865:BF865"/>
    <mergeCell ref="BG865:BH865"/>
    <mergeCell ref="P729:Q729"/>
    <mergeCell ref="U729:V729"/>
    <mergeCell ref="Z729:AA729"/>
    <mergeCell ref="BB729:BD729"/>
    <mergeCell ref="BE729:BG729"/>
    <mergeCell ref="BH729:BJ729"/>
    <mergeCell ref="BK729:BM729"/>
    <mergeCell ref="BN729:BQ729"/>
    <mergeCell ref="BR729:BW729"/>
    <mergeCell ref="BX729:CB729"/>
    <mergeCell ref="B732:N732"/>
    <mergeCell ref="P732:Q732"/>
    <mergeCell ref="U732:V732"/>
    <mergeCell ref="Z732:AA732"/>
    <mergeCell ref="BB732:BD732"/>
    <mergeCell ref="BE732:BG732"/>
    <mergeCell ref="BH732:BJ732"/>
    <mergeCell ref="BK732:BM732"/>
    <mergeCell ref="BN732:BQ732"/>
    <mergeCell ref="BR732:BW732"/>
    <mergeCell ref="BX732:CB732"/>
    <mergeCell ref="B740:N740"/>
    <mergeCell ref="P740:Q740"/>
    <mergeCell ref="Y740:Z740"/>
    <mergeCell ref="BB740:BD740"/>
    <mergeCell ref="BE740:BG740"/>
    <mergeCell ref="BH740:BJ740"/>
    <mergeCell ref="BO863:BP863"/>
    <mergeCell ref="AZ861:BB861"/>
    <mergeCell ref="BE861:BF861"/>
    <mergeCell ref="AZ866:BB866"/>
    <mergeCell ref="BG867:BH867"/>
    <mergeCell ref="BI867:BJ867"/>
    <mergeCell ref="BK867:BL867"/>
    <mergeCell ref="BM867:BN867"/>
    <mergeCell ref="BO867:BP867"/>
    <mergeCell ref="AZ864:BB864"/>
    <mergeCell ref="BE864:BF864"/>
    <mergeCell ref="BB926:BD926"/>
    <mergeCell ref="BE926:BG926"/>
    <mergeCell ref="BH926:BJ926"/>
    <mergeCell ref="BK926:BM926"/>
    <mergeCell ref="BN926:BQ926"/>
    <mergeCell ref="BR926:BW926"/>
    <mergeCell ref="BH922:BJ922"/>
    <mergeCell ref="BK922:BM922"/>
    <mergeCell ref="BN922:BQ922"/>
    <mergeCell ref="BR922:BW922"/>
    <mergeCell ref="BR925:BW925"/>
    <mergeCell ref="BH896:BJ896"/>
    <mergeCell ref="BK896:BM896"/>
    <mergeCell ref="BN896:BQ896"/>
    <mergeCell ref="BR896:BW896"/>
    <mergeCell ref="BG864:BH864"/>
    <mergeCell ref="BI864:BJ864"/>
    <mergeCell ref="BK864:BL864"/>
    <mergeCell ref="BM864:BN864"/>
    <mergeCell ref="AZ865:BB865"/>
    <mergeCell ref="BC865:BD865"/>
    <mergeCell ref="BR937:BW937"/>
    <mergeCell ref="BX937:CB937"/>
    <mergeCell ref="BK928:BM928"/>
    <mergeCell ref="BN928:BQ928"/>
    <mergeCell ref="BR928:BW928"/>
    <mergeCell ref="BX930:CB930"/>
    <mergeCell ref="BB936:BD936"/>
    <mergeCell ref="BE936:BG936"/>
    <mergeCell ref="BH936:BJ936"/>
    <mergeCell ref="BK936:BM936"/>
    <mergeCell ref="BN936:BQ936"/>
    <mergeCell ref="BR936:BW936"/>
    <mergeCell ref="BX936:CB936"/>
    <mergeCell ref="BB932:BD932"/>
    <mergeCell ref="BE932:BG932"/>
    <mergeCell ref="BH932:BJ932"/>
    <mergeCell ref="BK932:BM932"/>
    <mergeCell ref="BN932:BQ932"/>
    <mergeCell ref="BR932:BW932"/>
    <mergeCell ref="BX932:CB932"/>
    <mergeCell ref="BB929:BD929"/>
    <mergeCell ref="BE929:BG929"/>
    <mergeCell ref="BH929:BJ929"/>
    <mergeCell ref="BK929:BM929"/>
    <mergeCell ref="BN929:BQ929"/>
    <mergeCell ref="BR929:BW929"/>
    <mergeCell ref="BX929:CB929"/>
    <mergeCell ref="BB928:BD928"/>
    <mergeCell ref="BE928:BG928"/>
    <mergeCell ref="BH928:BJ928"/>
    <mergeCell ref="BB931:BD931"/>
    <mergeCell ref="BE931:BG931"/>
    <mergeCell ref="Q860:R860"/>
    <mergeCell ref="C878:C880"/>
    <mergeCell ref="K888:L888"/>
    <mergeCell ref="R878:R880"/>
    <mergeCell ref="K863:L863"/>
    <mergeCell ref="K886:L886"/>
    <mergeCell ref="B928:N928"/>
    <mergeCell ref="P928:Q928"/>
    <mergeCell ref="U928:V928"/>
    <mergeCell ref="Z928:AA928"/>
    <mergeCell ref="T866:U866"/>
    <mergeCell ref="BM863:BN863"/>
    <mergeCell ref="B932:N932"/>
    <mergeCell ref="P932:Q932"/>
    <mergeCell ref="Y932:Z932"/>
    <mergeCell ref="BG863:BH863"/>
    <mergeCell ref="BI863:BJ863"/>
    <mergeCell ref="BK863:BL863"/>
    <mergeCell ref="BE866:BF866"/>
    <mergeCell ref="BG866:BH866"/>
    <mergeCell ref="BI866:BJ866"/>
    <mergeCell ref="BK866:BL866"/>
    <mergeCell ref="BM866:BN866"/>
    <mergeCell ref="BM873:BN873"/>
    <mergeCell ref="U929:V929"/>
    <mergeCell ref="Z929:AA929"/>
    <mergeCell ref="B931:N931"/>
    <mergeCell ref="P931:Q931"/>
    <mergeCell ref="Y931:Z931"/>
    <mergeCell ref="BH931:BJ931"/>
    <mergeCell ref="BK931:BM931"/>
    <mergeCell ref="BN931:BQ931"/>
    <mergeCell ref="W951:X951"/>
    <mergeCell ref="G868:H868"/>
    <mergeCell ref="H867:I867"/>
    <mergeCell ref="L870:M870"/>
    <mergeCell ref="M871:N871"/>
    <mergeCell ref="R866:S866"/>
    <mergeCell ref="R867:S867"/>
    <mergeCell ref="F867:G867"/>
    <mergeCell ref="N870:O870"/>
    <mergeCell ref="B925:N925"/>
    <mergeCell ref="P925:Q925"/>
    <mergeCell ref="U925:V925"/>
    <mergeCell ref="BR942:BW942"/>
    <mergeCell ref="BX942:CB942"/>
    <mergeCell ref="O943:Q943"/>
    <mergeCell ref="T943:V943"/>
    <mergeCell ref="Z943:AA943"/>
    <mergeCell ref="BB943:BD943"/>
    <mergeCell ref="BE943:BG943"/>
    <mergeCell ref="BH943:BJ943"/>
    <mergeCell ref="B935:N935"/>
    <mergeCell ref="P935:Q935"/>
    <mergeCell ref="Y935:Z935"/>
    <mergeCell ref="BB935:BD935"/>
    <mergeCell ref="BE935:BG935"/>
    <mergeCell ref="B937:N937"/>
    <mergeCell ref="BB948:BD948"/>
    <mergeCell ref="BE948:BG948"/>
    <mergeCell ref="BH948:BJ948"/>
    <mergeCell ref="BK948:BM948"/>
    <mergeCell ref="AA948:AB948"/>
    <mergeCell ref="BB937:BD937"/>
    <mergeCell ref="BO866:BP866"/>
    <mergeCell ref="AZ867:BB867"/>
    <mergeCell ref="BE867:BF867"/>
    <mergeCell ref="Z925:AA925"/>
    <mergeCell ref="O948:P948"/>
    <mergeCell ref="S948:T948"/>
    <mergeCell ref="W948:X948"/>
    <mergeCell ref="P870:Q870"/>
    <mergeCell ref="B940:N940"/>
    <mergeCell ref="O940:P940"/>
    <mergeCell ref="Y940:Z940"/>
    <mergeCell ref="U926:V926"/>
    <mergeCell ref="Z926:AA926"/>
    <mergeCell ref="B949:N949"/>
    <mergeCell ref="B924:N924"/>
    <mergeCell ref="P924:Q924"/>
    <mergeCell ref="B948:N948"/>
    <mergeCell ref="B943:N943"/>
    <mergeCell ref="J889:M889"/>
    <mergeCell ref="Y936:Z936"/>
    <mergeCell ref="B929:N929"/>
    <mergeCell ref="P929:Q929"/>
    <mergeCell ref="P937:Q937"/>
    <mergeCell ref="Y937:Z937"/>
    <mergeCell ref="BH942:BJ942"/>
    <mergeCell ref="BK942:BM942"/>
    <mergeCell ref="BN942:BQ942"/>
    <mergeCell ref="BE937:BG937"/>
    <mergeCell ref="BH937:BJ937"/>
    <mergeCell ref="BK937:BM937"/>
    <mergeCell ref="BN937:BQ937"/>
    <mergeCell ref="BK943:BM943"/>
    <mergeCell ref="BM868:BN868"/>
    <mergeCell ref="BO868:BP868"/>
    <mergeCell ref="AZ871:BB871"/>
    <mergeCell ref="B953:N953"/>
    <mergeCell ref="Q953:R953"/>
    <mergeCell ref="S953:T953"/>
    <mergeCell ref="BG859:BH859"/>
    <mergeCell ref="BI859:BJ859"/>
    <mergeCell ref="BK859:BL859"/>
    <mergeCell ref="BM859:BN859"/>
    <mergeCell ref="BO859:BP859"/>
    <mergeCell ref="AZ860:BB860"/>
    <mergeCell ref="BE860:BF860"/>
    <mergeCell ref="BG860:BH860"/>
    <mergeCell ref="BI860:BJ860"/>
    <mergeCell ref="BK860:BL860"/>
    <mergeCell ref="BM860:BN860"/>
    <mergeCell ref="BO860:BP860"/>
    <mergeCell ref="BG861:BH861"/>
    <mergeCell ref="BI861:BJ861"/>
    <mergeCell ref="BK861:BL861"/>
    <mergeCell ref="BM861:BN861"/>
    <mergeCell ref="BO861:BP861"/>
    <mergeCell ref="AZ862:BB862"/>
    <mergeCell ref="BE862:BF862"/>
    <mergeCell ref="BG862:BH862"/>
    <mergeCell ref="BI862:BJ862"/>
    <mergeCell ref="BK862:BL862"/>
    <mergeCell ref="BM862:BN862"/>
    <mergeCell ref="BO862:BP862"/>
    <mergeCell ref="AZ863:BB863"/>
    <mergeCell ref="BE863:BF863"/>
    <mergeCell ref="BK872:BL872"/>
    <mergeCell ref="BM872:BN872"/>
    <mergeCell ref="BO872:BP872"/>
    <mergeCell ref="AZ873:BB873"/>
    <mergeCell ref="BE873:BF873"/>
    <mergeCell ref="BG873:BH873"/>
    <mergeCell ref="BI873:BJ873"/>
    <mergeCell ref="BK873:BL873"/>
    <mergeCell ref="BO873:BP873"/>
    <mergeCell ref="BI865:BJ865"/>
    <mergeCell ref="BK865:BL865"/>
    <mergeCell ref="BM865:BN865"/>
    <mergeCell ref="BO865:BP865"/>
    <mergeCell ref="AZ869:BB869"/>
    <mergeCell ref="BE869:BF869"/>
    <mergeCell ref="BG869:BH869"/>
    <mergeCell ref="BI869:BJ869"/>
    <mergeCell ref="BK869:BL869"/>
    <mergeCell ref="BM869:BN869"/>
    <mergeCell ref="BO869:BP869"/>
    <mergeCell ref="AZ870:BB870"/>
    <mergeCell ref="BE870:BF870"/>
    <mergeCell ref="BG870:BH870"/>
    <mergeCell ref="BI870:BJ870"/>
    <mergeCell ref="BK870:BL870"/>
    <mergeCell ref="BM870:BN870"/>
    <mergeCell ref="BO870:BP870"/>
    <mergeCell ref="AZ868:BB868"/>
    <mergeCell ref="BE868:BF868"/>
    <mergeCell ref="BG868:BH868"/>
    <mergeCell ref="BI868:BJ868"/>
    <mergeCell ref="BK868:BL868"/>
    <mergeCell ref="BQ857:BR858"/>
    <mergeCell ref="BQ859:BR859"/>
    <mergeCell ref="BQ860:BR860"/>
    <mergeCell ref="BQ861:BR861"/>
    <mergeCell ref="BQ862:BR862"/>
    <mergeCell ref="BQ863:BR863"/>
    <mergeCell ref="BQ864:BR864"/>
    <mergeCell ref="BQ865:BR865"/>
    <mergeCell ref="BI877:BJ877"/>
    <mergeCell ref="BK877:BL877"/>
    <mergeCell ref="BM877:BN877"/>
    <mergeCell ref="BO877:BP877"/>
    <mergeCell ref="AZ874:BB874"/>
    <mergeCell ref="AZ879:BR879"/>
    <mergeCell ref="BE871:BF871"/>
    <mergeCell ref="BG871:BH871"/>
    <mergeCell ref="BI871:BJ871"/>
    <mergeCell ref="BK871:BL871"/>
    <mergeCell ref="BM871:BN871"/>
    <mergeCell ref="BO871:BP871"/>
    <mergeCell ref="BO874:BP874"/>
    <mergeCell ref="AZ875:BB875"/>
    <mergeCell ref="BE875:BF875"/>
    <mergeCell ref="BG875:BH875"/>
    <mergeCell ref="BI875:BJ875"/>
    <mergeCell ref="BK875:BL875"/>
    <mergeCell ref="BM875:BN875"/>
    <mergeCell ref="BO875:BP875"/>
    <mergeCell ref="AZ872:BB872"/>
    <mergeCell ref="BE872:BF872"/>
    <mergeCell ref="BG872:BH872"/>
    <mergeCell ref="BI872:BJ872"/>
    <mergeCell ref="AZ876:BB876"/>
    <mergeCell ref="AZ878:BB878"/>
    <mergeCell ref="BC874:BD874"/>
    <mergeCell ref="BE874:BF874"/>
    <mergeCell ref="BG874:BH874"/>
    <mergeCell ref="BI874:BJ874"/>
    <mergeCell ref="BK874:BL874"/>
    <mergeCell ref="BM874:BN874"/>
    <mergeCell ref="BQ876:BR876"/>
    <mergeCell ref="BG878:BH878"/>
    <mergeCell ref="K956:L956"/>
    <mergeCell ref="S956:U956"/>
    <mergeCell ref="X956:Z956"/>
    <mergeCell ref="AC956:AD956"/>
    <mergeCell ref="AG956:AH956"/>
    <mergeCell ref="AO956:AP956"/>
    <mergeCell ref="AW956:AY956"/>
    <mergeCell ref="BB956:BD956"/>
    <mergeCell ref="BE956:BG956"/>
    <mergeCell ref="BH956:BJ956"/>
    <mergeCell ref="BK956:BM956"/>
    <mergeCell ref="BN956:BQ956"/>
    <mergeCell ref="BR956:BW956"/>
    <mergeCell ref="BE876:BF876"/>
    <mergeCell ref="BG876:BH876"/>
    <mergeCell ref="BI876:BJ876"/>
    <mergeCell ref="BK876:BL876"/>
    <mergeCell ref="BM876:BN876"/>
    <mergeCell ref="BO876:BP876"/>
    <mergeCell ref="B951:N951"/>
    <mergeCell ref="O951:P951"/>
    <mergeCell ref="S951:T951"/>
    <mergeCell ref="B538:N538"/>
    <mergeCell ref="P538:Q538"/>
    <mergeCell ref="U538:V538"/>
    <mergeCell ref="Z538:AA538"/>
    <mergeCell ref="BB538:BD538"/>
    <mergeCell ref="BE538:BG538"/>
    <mergeCell ref="BH538:BJ538"/>
    <mergeCell ref="BN538:BQ538"/>
    <mergeCell ref="BR538:BW538"/>
    <mergeCell ref="BX538:CB538"/>
    <mergeCell ref="B539:N539"/>
    <mergeCell ref="P539:Q539"/>
    <mergeCell ref="U539:V539"/>
    <mergeCell ref="Z539:AA539"/>
    <mergeCell ref="BB539:BD539"/>
    <mergeCell ref="BR163:BW163"/>
    <mergeCell ref="AZ856:BR856"/>
    <mergeCell ref="Q856:R856"/>
    <mergeCell ref="BK740:BM740"/>
    <mergeCell ref="BN740:BQ740"/>
    <mergeCell ref="BR740:BW740"/>
    <mergeCell ref="BX740:CB740"/>
    <mergeCell ref="B741:N741"/>
    <mergeCell ref="P741:Q741"/>
    <mergeCell ref="Y741:Z741"/>
    <mergeCell ref="BB741:BD741"/>
    <mergeCell ref="BE741:BG741"/>
    <mergeCell ref="BH741:BJ741"/>
    <mergeCell ref="BK741:BM741"/>
    <mergeCell ref="BN741:BQ741"/>
    <mergeCell ref="BR741:BW741"/>
    <mergeCell ref="BX741:CB741"/>
    <mergeCell ref="B739:N739"/>
    <mergeCell ref="P739:Q739"/>
    <mergeCell ref="Y739:Z739"/>
    <mergeCell ref="BB739:BD739"/>
    <mergeCell ref="BE739:BG739"/>
    <mergeCell ref="BH739:BJ739"/>
    <mergeCell ref="CE37:CJ44"/>
    <mergeCell ref="B733:N733"/>
    <mergeCell ref="P733:Q733"/>
    <mergeCell ref="U733:V733"/>
    <mergeCell ref="Z733:AA733"/>
    <mergeCell ref="AM733:AN733"/>
    <mergeCell ref="BB733:BD733"/>
    <mergeCell ref="BE733:BG733"/>
    <mergeCell ref="BH733:BJ733"/>
    <mergeCell ref="BK733:BM733"/>
    <mergeCell ref="BN733:BQ733"/>
    <mergeCell ref="BR733:BW733"/>
    <mergeCell ref="BX733:CB733"/>
    <mergeCell ref="BN540:BQ540"/>
    <mergeCell ref="BR540:BW540"/>
    <mergeCell ref="BX540:CB540"/>
    <mergeCell ref="BK739:BM739"/>
    <mergeCell ref="BN739:BQ739"/>
    <mergeCell ref="BR739:BW739"/>
    <mergeCell ref="BX739:CB739"/>
    <mergeCell ref="BN168:BQ168"/>
    <mergeCell ref="BR168:BW168"/>
    <mergeCell ref="BK166:BM166"/>
    <mergeCell ref="BK168:BM168"/>
    <mergeCell ref="BK169:BM169"/>
    <mergeCell ref="BK170:BM170"/>
    <mergeCell ref="R673:S673"/>
    <mergeCell ref="AD757:AE757"/>
    <mergeCell ref="R868:S868"/>
    <mergeCell ref="AD953:AE953"/>
    <mergeCell ref="AD180:AE180"/>
    <mergeCell ref="BH935:BJ935"/>
    <mergeCell ref="BK935:BM935"/>
    <mergeCell ref="BN935:BQ935"/>
    <mergeCell ref="BR935:BW935"/>
    <mergeCell ref="BX935:CB935"/>
    <mergeCell ref="BC866:BD866"/>
    <mergeCell ref="BC875:BD875"/>
    <mergeCell ref="BQ877:BR877"/>
    <mergeCell ref="BQ878:BR878"/>
    <mergeCell ref="BQ866:BR866"/>
    <mergeCell ref="BQ867:BR867"/>
    <mergeCell ref="BQ868:BR868"/>
    <mergeCell ref="BQ869:BR869"/>
    <mergeCell ref="BQ870:BR870"/>
    <mergeCell ref="BQ871:BR871"/>
    <mergeCell ref="BQ872:BR872"/>
    <mergeCell ref="BQ873:BR873"/>
    <mergeCell ref="BQ874:BR874"/>
    <mergeCell ref="BQ875:BR875"/>
    <mergeCell ref="BE878:BF878"/>
    <mergeCell ref="AZ877:BB877"/>
    <mergeCell ref="BE877:BF877"/>
    <mergeCell ref="BG877:BH877"/>
    <mergeCell ref="BI878:BJ878"/>
    <mergeCell ref="BK878:BL878"/>
    <mergeCell ref="BM878:BN878"/>
    <mergeCell ref="BO878:BP878"/>
  </mergeCells>
  <conditionalFormatting sqref="T132:U145 T513:U529">
    <cfRule type="expression" dxfId="46" priority="70">
      <formula>O132="kutu profil"</formula>
    </cfRule>
  </conditionalFormatting>
  <conditionalFormatting sqref="T320:U336">
    <cfRule type="expression" dxfId="45" priority="1">
      <formula>O320="kutu profil"</formula>
    </cfRule>
  </conditionalFormatting>
  <conditionalFormatting sqref="T702:U720">
    <cfRule type="expression" dxfId="44" priority="35">
      <formula>O702="kutu profil"</formula>
    </cfRule>
  </conditionalFormatting>
  <conditionalFormatting sqref="T897:U918">
    <cfRule type="expression" dxfId="43" priority="24">
      <formula>O897="kutu profil"</formula>
    </cfRule>
  </conditionalFormatting>
  <conditionalFormatting sqref="V132:V145 V513:V529">
    <cfRule type="expression" dxfId="42" priority="93">
      <formula>O132="kutu profil"</formula>
    </cfRule>
  </conditionalFormatting>
  <conditionalFormatting sqref="V320:V336">
    <cfRule type="expression" dxfId="41" priority="10">
      <formula>O320="kutu profil"</formula>
    </cfRule>
  </conditionalFormatting>
  <conditionalFormatting sqref="V702:V720">
    <cfRule type="expression" dxfId="40" priority="44">
      <formula>O702="kutu profil"</formula>
    </cfRule>
  </conditionalFormatting>
  <conditionalFormatting sqref="V897:V918">
    <cfRule type="expression" dxfId="39" priority="33">
      <formula>O897="kutu profil"</formula>
    </cfRule>
  </conditionalFormatting>
  <conditionalFormatting sqref="W132:X145 W513:X529">
    <cfRule type="expression" dxfId="38" priority="71">
      <formula>O132="kutu profil"</formula>
    </cfRule>
  </conditionalFormatting>
  <conditionalFormatting sqref="W320:X336">
    <cfRule type="expression" dxfId="37" priority="2">
      <formula>O320="kutu profil"</formula>
    </cfRule>
  </conditionalFormatting>
  <conditionalFormatting sqref="W702:X720">
    <cfRule type="expression" dxfId="36" priority="36">
      <formula>O702="kutu profil"</formula>
    </cfRule>
  </conditionalFormatting>
  <conditionalFormatting sqref="W897:X918">
    <cfRule type="expression" dxfId="35" priority="25">
      <formula>O897="kutu profil"</formula>
    </cfRule>
  </conditionalFormatting>
  <conditionalFormatting sqref="Y132:Y145 Y513:Y529">
    <cfRule type="expression" dxfId="34" priority="92">
      <formula>O132="kutu profil"</formula>
    </cfRule>
  </conditionalFormatting>
  <conditionalFormatting sqref="Y320:Y336">
    <cfRule type="expression" dxfId="33" priority="9">
      <formula>O320="kutu profil"</formula>
    </cfRule>
  </conditionalFormatting>
  <conditionalFormatting sqref="Y702:Y720">
    <cfRule type="expression" dxfId="32" priority="43">
      <formula>O702="kutu profil"</formula>
    </cfRule>
  </conditionalFormatting>
  <conditionalFormatting sqref="Y897:Y918">
    <cfRule type="expression" dxfId="31" priority="32">
      <formula>O897="kutu profil"</formula>
    </cfRule>
  </conditionalFormatting>
  <conditionalFormatting sqref="Z132:AA145 Z513:AA529">
    <cfRule type="expression" dxfId="30" priority="72">
      <formula>O132="kutu profil"</formula>
    </cfRule>
  </conditionalFormatting>
  <conditionalFormatting sqref="Z320:AA336">
    <cfRule type="expression" dxfId="29" priority="3">
      <formula>O320="kutu profil"</formula>
    </cfRule>
  </conditionalFormatting>
  <conditionalFormatting sqref="Z702:AA720">
    <cfRule type="expression" dxfId="28" priority="37">
      <formula>O702="kutu profil"</formula>
    </cfRule>
  </conditionalFormatting>
  <conditionalFormatting sqref="Z897:AA918">
    <cfRule type="expression" dxfId="27" priority="26">
      <formula>O897="kutu profil"</formula>
    </cfRule>
  </conditionalFormatting>
  <conditionalFormatting sqref="AB132:AC145 AB513:AC529">
    <cfRule type="expression" dxfId="26" priority="73">
      <formula>O132="boru profil"</formula>
    </cfRule>
  </conditionalFormatting>
  <conditionalFormatting sqref="AB320:AC336">
    <cfRule type="expression" dxfId="25" priority="4">
      <formula>O320="boru profil"</formula>
    </cfRule>
  </conditionalFormatting>
  <conditionalFormatting sqref="AB702:AC720">
    <cfRule type="expression" dxfId="24" priority="38">
      <formula>O702="boru profil"</formula>
    </cfRule>
  </conditionalFormatting>
  <conditionalFormatting sqref="AB897:AC918">
    <cfRule type="expression" dxfId="23" priority="27">
      <formula>O897="boru profil"</formula>
    </cfRule>
  </conditionalFormatting>
  <conditionalFormatting sqref="AD132:AD145 AD513:AD529">
    <cfRule type="expression" dxfId="22" priority="100">
      <formula>O132="boru profil"</formula>
    </cfRule>
  </conditionalFormatting>
  <conditionalFormatting sqref="AD320:AD336">
    <cfRule type="expression" dxfId="21" priority="11">
      <formula>O320="boru profil"</formula>
    </cfRule>
  </conditionalFormatting>
  <conditionalFormatting sqref="AD702:AD720">
    <cfRule type="expression" dxfId="20" priority="45">
      <formula>O702="boru profil"</formula>
    </cfRule>
  </conditionalFormatting>
  <conditionalFormatting sqref="AD897:AD918">
    <cfRule type="expression" dxfId="19" priority="34">
      <formula>O897="boru profil"</formula>
    </cfRule>
  </conditionalFormatting>
  <conditionalFormatting sqref="AE132:AF145 AE513:AF529">
    <cfRule type="expression" dxfId="18" priority="74">
      <formula>O132="boru profil"</formula>
    </cfRule>
  </conditionalFormatting>
  <conditionalFormatting sqref="AE320:AF336">
    <cfRule type="expression" dxfId="17" priority="5">
      <formula>O320="boru profil"</formula>
    </cfRule>
  </conditionalFormatting>
  <conditionalFormatting sqref="AE702:AF720">
    <cfRule type="expression" dxfId="16" priority="39">
      <formula>O702="boru profil"</formula>
    </cfRule>
  </conditionalFormatting>
  <conditionalFormatting sqref="AE897:AF918">
    <cfRule type="expression" dxfId="15" priority="28">
      <formula>O897="boru profil"</formula>
    </cfRule>
  </conditionalFormatting>
  <conditionalFormatting sqref="AG132:AK132 AG513:AK513">
    <cfRule type="expression" dxfId="14" priority="102">
      <formula>O132="C profil"</formula>
    </cfRule>
  </conditionalFormatting>
  <conditionalFormatting sqref="AG320:AK320">
    <cfRule type="expression" dxfId="13" priority="23">
      <formula>O320="C profil"</formula>
    </cfRule>
  </conditionalFormatting>
  <conditionalFormatting sqref="AG702:AK702 AG897:AK897">
    <cfRule type="expression" dxfId="12" priority="57">
      <formula>O702="C profil"</formula>
    </cfRule>
  </conditionalFormatting>
  <conditionalFormatting sqref="AL132:AQ145 AL513:AQ529">
    <cfRule type="expression" dxfId="11" priority="75">
      <formula>O132="I profil"</formula>
    </cfRule>
  </conditionalFormatting>
  <conditionalFormatting sqref="AL320:AQ336">
    <cfRule type="expression" dxfId="10" priority="6">
      <formula>O320="I profil"</formula>
    </cfRule>
  </conditionalFormatting>
  <conditionalFormatting sqref="AL702:AQ720">
    <cfRule type="expression" dxfId="9" priority="40">
      <formula>O702="I profil"</formula>
    </cfRule>
  </conditionalFormatting>
  <conditionalFormatting sqref="AL897:AQ918">
    <cfRule type="expression" dxfId="8" priority="29">
      <formula>O897="I profil"</formula>
    </cfRule>
  </conditionalFormatting>
  <conditionalFormatting sqref="AR132:AV145 AR513:AV529">
    <cfRule type="expression" dxfId="7" priority="76">
      <formula>O132="U profil"</formula>
    </cfRule>
  </conditionalFormatting>
  <conditionalFormatting sqref="AR320:AV336">
    <cfRule type="expression" dxfId="6" priority="7">
      <formula>O320="U profil"</formula>
    </cfRule>
  </conditionalFormatting>
  <conditionalFormatting sqref="AR702:AV720">
    <cfRule type="expression" dxfId="5" priority="41">
      <formula>O702="U profil"</formula>
    </cfRule>
  </conditionalFormatting>
  <conditionalFormatting sqref="AR897:AV918">
    <cfRule type="expression" dxfId="4" priority="30">
      <formula>O897="U profil"</formula>
    </cfRule>
  </conditionalFormatting>
  <conditionalFormatting sqref="AW132:BA145 AW513:BA529">
    <cfRule type="expression" dxfId="3" priority="77">
      <formula>O132="korniyer"</formula>
    </cfRule>
  </conditionalFormatting>
  <conditionalFormatting sqref="AW320:BA336">
    <cfRule type="expression" dxfId="2" priority="8">
      <formula>O320="korniyer"</formula>
    </cfRule>
  </conditionalFormatting>
  <conditionalFormatting sqref="AW702:BA720">
    <cfRule type="expression" dxfId="1" priority="42">
      <formula>O702="korniyer"</formula>
    </cfRule>
  </conditionalFormatting>
  <conditionalFormatting sqref="AW897:BA918">
    <cfRule type="expression" dxfId="0" priority="31">
      <formula>O897="korniyer"</formula>
    </cfRule>
  </conditionalFormatting>
  <dataValidations count="16">
    <dataValidation type="list" allowBlank="1" showInputMessage="1" showErrorMessage="1" sqref="AL33:AM33 AL603:AM603 AL221:AM221" xr:uid="{F8067BDC-A8FF-4A37-BD30-7EF660CE1BC3}">
      <formula1>"2,4,6,8,10,12,14,16,18,20"</formula1>
    </dataValidation>
    <dataValidation type="list" allowBlank="1" showInputMessage="1" showErrorMessage="1" sqref="O132 O513 O702 O897 O320" xr:uid="{C2C3634B-8BFE-43C0-810E-3BE341E54CB2}">
      <formula1>"C profil,U profil,I profil,korniyer,kutu profil,boru profil"</formula1>
    </dataValidation>
    <dataValidation type="list" allowBlank="1" showInputMessage="1" showErrorMessage="1" sqref="O321:S336 O133:S145 O514:S529 O898:S918 O703:S720" xr:uid="{37F166C8-D03E-4A92-8D15-A586822E32B3}">
      <formula1>"U profil,I profil,korniyer,kutu profil,boru profil"</formula1>
    </dataValidation>
    <dataValidation type="list" allowBlank="1" showInputMessage="1" showErrorMessage="1" sqref="J514:M517 J898:M901 J332:M335 J914:M918 J716:M720" xr:uid="{7EB4BAF5-772B-481E-B7D1-52ECDF8BE122}">
      <formula1>"tek çubuk,çift çubuk"</formula1>
    </dataValidation>
    <dataValidation type="list" allowBlank="1" showInputMessage="1" showErrorMessage="1" sqref="X395:Y395 X779:Y779" xr:uid="{03571DAC-4698-403C-B270-9E39F332CEFC}">
      <formula1>"6,8,10,12,14,16,18,20,22,24,26,28,30"</formula1>
    </dataValidation>
    <dataValidation type="list" allowBlank="1" showInputMessage="1" showErrorMessage="1" sqref="C51:C52 C239:C240" xr:uid="{CA183FE7-5530-48DF-8BF5-E7E3B77FF026}">
      <formula1>$BO$69:$BO$79</formula1>
    </dataValidation>
    <dataValidation type="list" allowBlank="1" showInputMessage="1" showErrorMessage="1" sqref="C432:C433" xr:uid="{12001AFC-E0DE-4DA5-9450-C46A960F6147}">
      <formula1>$BO$450:$BO$460</formula1>
    </dataValidation>
    <dataValidation type="list" allowBlank="1" showInputMessage="1" showErrorMessage="1" sqref="C621:C622" xr:uid="{E8DFE396-D51A-4E31-BA0D-09479E28A74F}">
      <formula1>$AY$600:$AY$610</formula1>
    </dataValidation>
    <dataValidation type="list" allowBlank="1" showInputMessage="1" showErrorMessage="1" sqref="C816:C817" xr:uid="{491C582D-AE99-4B38-ADE9-E8514E429CB3}">
      <formula1>$BM$795:$BM$805</formula1>
    </dataValidation>
    <dataValidation type="list" allowBlank="1" showInputMessage="1" showErrorMessage="1" sqref="H955:J955 H759:J759 H564:J564 H182:J182 H375:J375" xr:uid="{91F1B210-3B35-4C74-863B-7A385782C299}">
      <formula1>$AZ$869:$AZ$878</formula1>
    </dataValidation>
    <dataValidation type="list" allowBlank="1" showInputMessage="1" showErrorMessage="1" sqref="H956:J956 H760:J760 H565:J565 H183:J183 H376:J376" xr:uid="{1C5CAE5E-3097-42E1-833A-C448957D3BC3}">
      <formula1>$AZ$860:$AZ$868</formula1>
    </dataValidation>
    <dataValidation type="list" allowBlank="1" showInputMessage="1" showErrorMessage="1" sqref="AR513:AS529 AR132:AS145 AR897:AS918 AR320:AS336 AR702:AS720" xr:uid="{9AC47D85-A3F0-4580-8CB4-46CC043121AB}">
      <formula1>$CT$4:$CT$28</formula1>
    </dataValidation>
    <dataValidation type="list" allowBlank="1" showInputMessage="1" showErrorMessage="1" sqref="AG132 AG897 AG702 AG513 AG320" xr:uid="{C3BD7241-9CE4-47BF-96B3-220E23C4BAFC}">
      <formula1>$CW$4:$CW$28</formula1>
    </dataValidation>
    <dataValidation type="list" allowBlank="1" showInputMessage="1" showErrorMessage="1" sqref="AL513:AQ529 AL132:AQ145 AL897:AQ918 AL320:AQ336 AL702:AQ720" xr:uid="{A0244D8F-F1DC-4160-877E-3FFECA81A17C}">
      <formula1>$CM$4:$CM$118</formula1>
    </dataValidation>
    <dataValidation type="list" allowBlank="1" showInputMessage="1" showErrorMessage="1" sqref="AW897:AW918 AW132:AW145 AW513:AW529 AW320:AW336 AW702:AW720" xr:uid="{CD9E3FE3-7412-4BC8-9EE2-7CB40AEBA788}">
      <formula1>$CQ$4:$CQ$176</formula1>
    </dataValidation>
    <dataValidation type="list" allowBlank="1" showInputMessage="1" showErrorMessage="1" sqref="F102:G102 F290:G290 F483:G483 F672:G672 F867:G867" xr:uid="{5CC2841C-BC38-4109-9186-F5B3ABB46C48}">
      <formula1>"4,8,12,16,20,24"</formula1>
    </dataValidation>
  </dataValidations>
  <pageMargins left="0.7" right="0.7" top="0.75" bottom="0.75" header="0.3" footer="0.3"/>
  <pageSetup paperSize="9" orientation="portrait" horizontalDpi="4294967294" verticalDpi="0" r:id="rId1"/>
  <ignoredErrors>
    <ignoredError sqref="BE953:BG953 BE562:BG562 BE180:BG180 BE757:BG757 BI562:BJ562 BI757:BM757 BI953:BJ953 BI180:BJ180" formula="1"/>
    <ignoredError sqref="K955:L956 K182:L183 K759:L760 K376 K564:M565" formulaRange="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965FF9-C9B4-4F3E-B757-7FC10410449D}">
  <dimension ref="B2:BT39"/>
  <sheetViews>
    <sheetView workbookViewId="0">
      <selection activeCell="B2" sqref="B2:BU39"/>
    </sheetView>
  </sheetViews>
  <sheetFormatPr defaultRowHeight="11.25" x14ac:dyDescent="0.2"/>
  <cols>
    <col min="1" max="294" width="2.83203125" style="1" customWidth="1"/>
    <col min="295" max="16384" width="9.33203125" style="1"/>
  </cols>
  <sheetData>
    <row r="2" spans="2:40" x14ac:dyDescent="0.2">
      <c r="B2" s="121" t="s">
        <v>427</v>
      </c>
      <c r="C2" s="121" t="s">
        <v>425</v>
      </c>
      <c r="D2" s="121" t="s">
        <v>426</v>
      </c>
    </row>
    <row r="3" spans="2:40" x14ac:dyDescent="0.2">
      <c r="B3" s="121"/>
      <c r="C3" s="121"/>
      <c r="D3" s="121"/>
    </row>
    <row r="4" spans="2:40" x14ac:dyDescent="0.2">
      <c r="B4" s="121"/>
      <c r="C4" s="121"/>
      <c r="D4" s="121"/>
    </row>
    <row r="5" spans="2:40" x14ac:dyDescent="0.2">
      <c r="B5" s="121"/>
      <c r="C5" s="121"/>
      <c r="D5" s="121"/>
    </row>
    <row r="6" spans="2:40" x14ac:dyDescent="0.2">
      <c r="B6" s="121"/>
      <c r="C6" s="121"/>
      <c r="D6" s="121"/>
    </row>
    <row r="7" spans="2:40" x14ac:dyDescent="0.2">
      <c r="B7" s="121"/>
      <c r="C7" s="121"/>
      <c r="D7" s="121"/>
      <c r="E7" s="223">
        <v>1</v>
      </c>
      <c r="F7" s="223"/>
      <c r="G7" s="223">
        <v>2</v>
      </c>
      <c r="H7" s="223"/>
      <c r="I7" s="223">
        <v>3</v>
      </c>
      <c r="J7" s="223"/>
      <c r="K7" s="223">
        <v>4</v>
      </c>
      <c r="L7" s="223"/>
    </row>
    <row r="8" spans="2:40" x14ac:dyDescent="0.2">
      <c r="B8" s="1">
        <v>4</v>
      </c>
      <c r="C8" s="1">
        <v>2</v>
      </c>
      <c r="D8" s="1">
        <v>2</v>
      </c>
      <c r="E8" s="224"/>
      <c r="F8" s="225"/>
      <c r="G8" s="114"/>
      <c r="H8" s="228"/>
      <c r="I8" s="114"/>
      <c r="J8" s="228"/>
      <c r="K8" s="224"/>
      <c r="L8" s="225"/>
    </row>
    <row r="9" spans="2:40" x14ac:dyDescent="0.2">
      <c r="E9" s="226"/>
      <c r="F9" s="227"/>
      <c r="G9" s="229"/>
      <c r="H9" s="230"/>
      <c r="I9" s="229"/>
      <c r="J9" s="230"/>
      <c r="K9" s="226"/>
      <c r="L9" s="227"/>
    </row>
    <row r="10" spans="2:40" x14ac:dyDescent="0.2">
      <c r="E10" s="223">
        <v>1</v>
      </c>
      <c r="F10" s="223"/>
      <c r="G10" s="223">
        <v>2</v>
      </c>
      <c r="H10" s="223"/>
      <c r="I10" s="223">
        <v>3</v>
      </c>
      <c r="J10" s="223"/>
      <c r="K10" s="223">
        <v>4</v>
      </c>
      <c r="L10" s="223"/>
      <c r="M10" s="223">
        <v>5</v>
      </c>
      <c r="N10" s="223"/>
      <c r="O10" s="223">
        <v>6</v>
      </c>
      <c r="P10" s="223"/>
      <c r="Q10" s="223">
        <v>7</v>
      </c>
      <c r="R10" s="223"/>
      <c r="AL10" s="60"/>
      <c r="AM10" s="60"/>
      <c r="AN10" s="60"/>
    </row>
    <row r="11" spans="2:40" x14ac:dyDescent="0.2">
      <c r="B11" s="1">
        <v>7</v>
      </c>
      <c r="C11" s="1">
        <v>3</v>
      </c>
      <c r="D11" s="1">
        <v>4</v>
      </c>
      <c r="E11" s="224"/>
      <c r="F11" s="225"/>
      <c r="G11" s="114"/>
      <c r="H11" s="228"/>
      <c r="I11" s="114"/>
      <c r="J11" s="228"/>
      <c r="K11" s="224"/>
      <c r="L11" s="225"/>
      <c r="M11" s="114"/>
      <c r="N11" s="228"/>
      <c r="O11" s="114"/>
      <c r="P11" s="228"/>
      <c r="Q11" s="224"/>
      <c r="R11" s="225"/>
    </row>
    <row r="12" spans="2:40" x14ac:dyDescent="0.2">
      <c r="E12" s="226"/>
      <c r="F12" s="227"/>
      <c r="G12" s="229"/>
      <c r="H12" s="230"/>
      <c r="I12" s="229"/>
      <c r="J12" s="230"/>
      <c r="K12" s="226"/>
      <c r="L12" s="227"/>
      <c r="M12" s="229"/>
      <c r="N12" s="230"/>
      <c r="O12" s="229"/>
      <c r="P12" s="230"/>
      <c r="Q12" s="226"/>
      <c r="R12" s="227"/>
    </row>
    <row r="13" spans="2:40" x14ac:dyDescent="0.2">
      <c r="E13" s="223">
        <v>1</v>
      </c>
      <c r="F13" s="223"/>
      <c r="G13" s="223">
        <v>2</v>
      </c>
      <c r="H13" s="223"/>
      <c r="I13" s="223">
        <v>3</v>
      </c>
      <c r="J13" s="223"/>
      <c r="K13" s="223">
        <v>4</v>
      </c>
      <c r="L13" s="223"/>
      <c r="M13" s="223">
        <v>5</v>
      </c>
      <c r="N13" s="223"/>
      <c r="O13" s="223">
        <v>6</v>
      </c>
      <c r="P13" s="223"/>
      <c r="Q13" s="223">
        <v>7</v>
      </c>
      <c r="R13" s="223"/>
      <c r="S13" s="223">
        <v>8</v>
      </c>
      <c r="T13" s="223"/>
      <c r="U13" s="223">
        <v>9</v>
      </c>
      <c r="V13" s="223"/>
      <c r="W13" s="223">
        <v>10</v>
      </c>
      <c r="X13" s="223"/>
    </row>
    <row r="14" spans="2:40" x14ac:dyDescent="0.2">
      <c r="B14" s="1">
        <v>10</v>
      </c>
      <c r="C14" s="1">
        <v>4</v>
      </c>
      <c r="D14" s="1">
        <v>6</v>
      </c>
      <c r="E14" s="224"/>
      <c r="F14" s="225"/>
      <c r="G14" s="114"/>
      <c r="H14" s="228"/>
      <c r="I14" s="114"/>
      <c r="J14" s="228"/>
      <c r="K14" s="224"/>
      <c r="L14" s="225"/>
      <c r="M14" s="114"/>
      <c r="N14" s="228"/>
      <c r="O14" s="114"/>
      <c r="P14" s="228"/>
      <c r="Q14" s="224"/>
      <c r="R14" s="225"/>
      <c r="S14" s="114"/>
      <c r="T14" s="228"/>
      <c r="U14" s="114"/>
      <c r="V14" s="228"/>
      <c r="W14" s="224"/>
      <c r="X14" s="225"/>
    </row>
    <row r="15" spans="2:40" x14ac:dyDescent="0.2">
      <c r="E15" s="226"/>
      <c r="F15" s="227"/>
      <c r="G15" s="229"/>
      <c r="H15" s="230"/>
      <c r="I15" s="229"/>
      <c r="J15" s="230"/>
      <c r="K15" s="226"/>
      <c r="L15" s="227"/>
      <c r="M15" s="229"/>
      <c r="N15" s="230"/>
      <c r="O15" s="229"/>
      <c r="P15" s="230"/>
      <c r="Q15" s="226"/>
      <c r="R15" s="227"/>
      <c r="S15" s="229"/>
      <c r="T15" s="230"/>
      <c r="U15" s="229"/>
      <c r="V15" s="230"/>
      <c r="W15" s="226"/>
      <c r="X15" s="227"/>
    </row>
    <row r="16" spans="2:40" x14ac:dyDescent="0.2">
      <c r="E16" s="223">
        <v>1</v>
      </c>
      <c r="F16" s="223"/>
      <c r="G16" s="223">
        <v>2</v>
      </c>
      <c r="H16" s="223"/>
      <c r="I16" s="223">
        <v>3</v>
      </c>
      <c r="J16" s="223"/>
      <c r="K16" s="223">
        <v>4</v>
      </c>
      <c r="L16" s="223"/>
      <c r="M16" s="223">
        <v>5</v>
      </c>
      <c r="N16" s="223"/>
      <c r="O16" s="223">
        <v>6</v>
      </c>
      <c r="P16" s="223"/>
      <c r="Q16" s="223">
        <v>7</v>
      </c>
      <c r="R16" s="223"/>
      <c r="S16" s="223">
        <v>8</v>
      </c>
      <c r="T16" s="223"/>
      <c r="U16" s="223">
        <v>9</v>
      </c>
      <c r="V16" s="223"/>
      <c r="W16" s="223">
        <v>10</v>
      </c>
      <c r="X16" s="223"/>
      <c r="Y16" s="223">
        <v>11</v>
      </c>
      <c r="Z16" s="223"/>
      <c r="AA16" s="223">
        <v>12</v>
      </c>
      <c r="AB16" s="223"/>
      <c r="AC16" s="223">
        <v>13</v>
      </c>
      <c r="AD16" s="223"/>
    </row>
    <row r="17" spans="2:60" x14ac:dyDescent="0.2">
      <c r="B17" s="1">
        <v>13</v>
      </c>
      <c r="C17" s="1">
        <v>5</v>
      </c>
      <c r="D17" s="1">
        <v>8</v>
      </c>
      <c r="E17" s="224"/>
      <c r="F17" s="225"/>
      <c r="G17" s="114"/>
      <c r="H17" s="228"/>
      <c r="I17" s="114"/>
      <c r="J17" s="228"/>
      <c r="K17" s="224"/>
      <c r="L17" s="225"/>
      <c r="M17" s="114"/>
      <c r="N17" s="228"/>
      <c r="O17" s="114"/>
      <c r="P17" s="228"/>
      <c r="Q17" s="224"/>
      <c r="R17" s="225"/>
      <c r="S17" s="114"/>
      <c r="T17" s="228"/>
      <c r="U17" s="114"/>
      <c r="V17" s="228"/>
      <c r="W17" s="224"/>
      <c r="X17" s="225"/>
      <c r="Y17" s="114"/>
      <c r="Z17" s="228"/>
      <c r="AA17" s="114"/>
      <c r="AB17" s="228"/>
      <c r="AC17" s="224"/>
      <c r="AD17" s="225"/>
    </row>
    <row r="18" spans="2:60" x14ac:dyDescent="0.2">
      <c r="E18" s="226"/>
      <c r="F18" s="227"/>
      <c r="G18" s="229"/>
      <c r="H18" s="230"/>
      <c r="I18" s="229"/>
      <c r="J18" s="230"/>
      <c r="K18" s="226"/>
      <c r="L18" s="227"/>
      <c r="M18" s="229"/>
      <c r="N18" s="230"/>
      <c r="O18" s="229"/>
      <c r="P18" s="230"/>
      <c r="Q18" s="226"/>
      <c r="R18" s="227"/>
      <c r="S18" s="229"/>
      <c r="T18" s="230"/>
      <c r="U18" s="229"/>
      <c r="V18" s="230"/>
      <c r="W18" s="226"/>
      <c r="X18" s="227"/>
      <c r="Y18" s="229"/>
      <c r="Z18" s="230"/>
      <c r="AA18" s="229"/>
      <c r="AB18" s="230"/>
      <c r="AC18" s="226"/>
      <c r="AD18" s="227"/>
    </row>
    <row r="19" spans="2:60" x14ac:dyDescent="0.2">
      <c r="E19" s="223">
        <v>1</v>
      </c>
      <c r="F19" s="223"/>
      <c r="G19" s="223">
        <v>2</v>
      </c>
      <c r="H19" s="223"/>
      <c r="I19" s="223">
        <v>3</v>
      </c>
      <c r="J19" s="223"/>
      <c r="K19" s="223">
        <v>4</v>
      </c>
      <c r="L19" s="223"/>
      <c r="M19" s="223">
        <v>5</v>
      </c>
      <c r="N19" s="223"/>
      <c r="O19" s="223">
        <v>6</v>
      </c>
      <c r="P19" s="223"/>
      <c r="Q19" s="223">
        <v>7</v>
      </c>
      <c r="R19" s="223"/>
      <c r="S19" s="223">
        <v>8</v>
      </c>
      <c r="T19" s="223"/>
      <c r="U19" s="223">
        <v>9</v>
      </c>
      <c r="V19" s="223"/>
      <c r="W19" s="223">
        <v>10</v>
      </c>
      <c r="X19" s="223"/>
      <c r="Y19" s="223">
        <v>11</v>
      </c>
      <c r="Z19" s="223"/>
      <c r="AA19" s="223">
        <v>12</v>
      </c>
      <c r="AB19" s="223"/>
      <c r="AC19" s="223">
        <v>13</v>
      </c>
      <c r="AD19" s="223"/>
      <c r="AE19" s="223">
        <v>14</v>
      </c>
      <c r="AF19" s="223"/>
      <c r="AG19" s="223">
        <v>15</v>
      </c>
      <c r="AH19" s="223"/>
      <c r="AI19" s="223">
        <v>16</v>
      </c>
      <c r="AJ19" s="223"/>
    </row>
    <row r="20" spans="2:60" x14ac:dyDescent="0.2">
      <c r="B20" s="1">
        <v>16</v>
      </c>
      <c r="C20" s="1">
        <v>6</v>
      </c>
      <c r="D20" s="1">
        <v>10</v>
      </c>
      <c r="E20" s="224"/>
      <c r="F20" s="225"/>
      <c r="G20" s="114"/>
      <c r="H20" s="228"/>
      <c r="I20" s="114"/>
      <c r="J20" s="228"/>
      <c r="K20" s="224"/>
      <c r="L20" s="225"/>
      <c r="M20" s="114"/>
      <c r="N20" s="228"/>
      <c r="O20" s="114"/>
      <c r="P20" s="228"/>
      <c r="Q20" s="224"/>
      <c r="R20" s="225"/>
      <c r="S20" s="114"/>
      <c r="T20" s="228"/>
      <c r="U20" s="114"/>
      <c r="V20" s="228"/>
      <c r="W20" s="224"/>
      <c r="X20" s="225"/>
      <c r="Y20" s="114"/>
      <c r="Z20" s="228"/>
      <c r="AA20" s="114"/>
      <c r="AB20" s="228"/>
      <c r="AC20" s="224"/>
      <c r="AD20" s="225"/>
      <c r="AE20" s="114"/>
      <c r="AF20" s="228"/>
      <c r="AG20" s="114"/>
      <c r="AH20" s="228"/>
      <c r="AI20" s="224"/>
      <c r="AJ20" s="225"/>
    </row>
    <row r="21" spans="2:60" x14ac:dyDescent="0.2">
      <c r="E21" s="226"/>
      <c r="F21" s="227"/>
      <c r="G21" s="229"/>
      <c r="H21" s="230"/>
      <c r="I21" s="229"/>
      <c r="J21" s="230"/>
      <c r="K21" s="226"/>
      <c r="L21" s="227"/>
      <c r="M21" s="229"/>
      <c r="N21" s="230"/>
      <c r="O21" s="229"/>
      <c r="P21" s="230"/>
      <c r="Q21" s="226"/>
      <c r="R21" s="227"/>
      <c r="S21" s="229"/>
      <c r="T21" s="230"/>
      <c r="U21" s="229"/>
      <c r="V21" s="230"/>
      <c r="W21" s="226"/>
      <c r="X21" s="227"/>
      <c r="Y21" s="229"/>
      <c r="Z21" s="230"/>
      <c r="AA21" s="229"/>
      <c r="AB21" s="230"/>
      <c r="AC21" s="226"/>
      <c r="AD21" s="227"/>
      <c r="AE21" s="229"/>
      <c r="AF21" s="230"/>
      <c r="AG21" s="229"/>
      <c r="AH21" s="230"/>
      <c r="AI21" s="226"/>
      <c r="AJ21" s="227"/>
    </row>
    <row r="22" spans="2:60" x14ac:dyDescent="0.2">
      <c r="E22" s="223">
        <v>1</v>
      </c>
      <c r="F22" s="223"/>
      <c r="G22" s="223">
        <v>2</v>
      </c>
      <c r="H22" s="223"/>
      <c r="I22" s="223">
        <v>3</v>
      </c>
      <c r="J22" s="223"/>
      <c r="K22" s="223">
        <v>4</v>
      </c>
      <c r="L22" s="223"/>
      <c r="M22" s="223">
        <v>5</v>
      </c>
      <c r="N22" s="223"/>
      <c r="O22" s="223">
        <v>6</v>
      </c>
      <c r="P22" s="223"/>
      <c r="Q22" s="223">
        <v>7</v>
      </c>
      <c r="R22" s="223"/>
      <c r="S22" s="223">
        <v>8</v>
      </c>
      <c r="T22" s="223"/>
      <c r="U22" s="223">
        <v>9</v>
      </c>
      <c r="V22" s="223"/>
      <c r="W22" s="223">
        <v>10</v>
      </c>
      <c r="X22" s="223"/>
      <c r="Y22" s="223">
        <v>11</v>
      </c>
      <c r="Z22" s="223"/>
      <c r="AA22" s="223">
        <v>12</v>
      </c>
      <c r="AB22" s="223"/>
      <c r="AC22" s="223">
        <v>13</v>
      </c>
      <c r="AD22" s="223"/>
      <c r="AE22" s="223">
        <v>14</v>
      </c>
      <c r="AF22" s="223"/>
      <c r="AG22" s="223">
        <v>15</v>
      </c>
      <c r="AH22" s="223"/>
      <c r="AI22" s="223">
        <v>16</v>
      </c>
      <c r="AJ22" s="223"/>
      <c r="AK22" s="223">
        <v>17</v>
      </c>
      <c r="AL22" s="223"/>
      <c r="AM22" s="223">
        <v>18</v>
      </c>
      <c r="AN22" s="223"/>
      <c r="AO22" s="223">
        <v>19</v>
      </c>
      <c r="AP22" s="223"/>
    </row>
    <row r="23" spans="2:60" x14ac:dyDescent="0.2">
      <c r="B23" s="1">
        <v>19</v>
      </c>
      <c r="C23" s="1">
        <v>7</v>
      </c>
      <c r="D23" s="1">
        <v>12</v>
      </c>
      <c r="E23" s="224"/>
      <c r="F23" s="225"/>
      <c r="G23" s="114"/>
      <c r="H23" s="228"/>
      <c r="I23" s="114"/>
      <c r="J23" s="228"/>
      <c r="K23" s="224"/>
      <c r="L23" s="225"/>
      <c r="M23" s="114"/>
      <c r="N23" s="228"/>
      <c r="O23" s="114"/>
      <c r="P23" s="228"/>
      <c r="Q23" s="224"/>
      <c r="R23" s="225"/>
      <c r="S23" s="114"/>
      <c r="T23" s="228"/>
      <c r="U23" s="114"/>
      <c r="V23" s="228"/>
      <c r="W23" s="224"/>
      <c r="X23" s="225"/>
      <c r="Y23" s="114"/>
      <c r="Z23" s="228"/>
      <c r="AA23" s="114"/>
      <c r="AB23" s="228"/>
      <c r="AC23" s="224"/>
      <c r="AD23" s="225"/>
      <c r="AE23" s="114"/>
      <c r="AF23" s="228"/>
      <c r="AG23" s="114"/>
      <c r="AH23" s="228"/>
      <c r="AI23" s="224"/>
      <c r="AJ23" s="225"/>
      <c r="AK23" s="114"/>
      <c r="AL23" s="228"/>
      <c r="AM23" s="114"/>
      <c r="AN23" s="228"/>
      <c r="AO23" s="224"/>
      <c r="AP23" s="225"/>
    </row>
    <row r="24" spans="2:60" x14ac:dyDescent="0.2">
      <c r="E24" s="226"/>
      <c r="F24" s="227"/>
      <c r="G24" s="229"/>
      <c r="H24" s="230"/>
      <c r="I24" s="229"/>
      <c r="J24" s="230"/>
      <c r="K24" s="226"/>
      <c r="L24" s="227"/>
      <c r="M24" s="229"/>
      <c r="N24" s="230"/>
      <c r="O24" s="229"/>
      <c r="P24" s="230"/>
      <c r="Q24" s="226"/>
      <c r="R24" s="227"/>
      <c r="S24" s="229"/>
      <c r="T24" s="230"/>
      <c r="U24" s="229"/>
      <c r="V24" s="230"/>
      <c r="W24" s="226"/>
      <c r="X24" s="227"/>
      <c r="Y24" s="229"/>
      <c r="Z24" s="230"/>
      <c r="AA24" s="229"/>
      <c r="AB24" s="230"/>
      <c r="AC24" s="226"/>
      <c r="AD24" s="227"/>
      <c r="AE24" s="229"/>
      <c r="AF24" s="230"/>
      <c r="AG24" s="229"/>
      <c r="AH24" s="230"/>
      <c r="AI24" s="226"/>
      <c r="AJ24" s="227"/>
      <c r="AK24" s="229"/>
      <c r="AL24" s="230"/>
      <c r="AM24" s="229"/>
      <c r="AN24" s="230"/>
      <c r="AO24" s="226"/>
      <c r="AP24" s="227"/>
    </row>
    <row r="25" spans="2:60" x14ac:dyDescent="0.2">
      <c r="E25" s="223">
        <v>1</v>
      </c>
      <c r="F25" s="223"/>
      <c r="G25" s="223">
        <v>2</v>
      </c>
      <c r="H25" s="223"/>
      <c r="I25" s="223">
        <v>3</v>
      </c>
      <c r="J25" s="223"/>
      <c r="K25" s="223">
        <v>4</v>
      </c>
      <c r="L25" s="223"/>
      <c r="M25" s="223">
        <v>5</v>
      </c>
      <c r="N25" s="223"/>
      <c r="O25" s="223">
        <v>6</v>
      </c>
      <c r="P25" s="223"/>
      <c r="Q25" s="223">
        <v>7</v>
      </c>
      <c r="R25" s="223"/>
      <c r="S25" s="223">
        <v>8</v>
      </c>
      <c r="T25" s="223"/>
      <c r="U25" s="223">
        <v>9</v>
      </c>
      <c r="V25" s="223"/>
      <c r="W25" s="223">
        <v>10</v>
      </c>
      <c r="X25" s="223"/>
      <c r="Y25" s="223">
        <v>11</v>
      </c>
      <c r="Z25" s="223"/>
      <c r="AA25" s="223">
        <v>12</v>
      </c>
      <c r="AB25" s="223"/>
      <c r="AC25" s="223">
        <v>13</v>
      </c>
      <c r="AD25" s="223"/>
      <c r="AE25" s="223">
        <v>14</v>
      </c>
      <c r="AF25" s="223"/>
      <c r="AG25" s="223">
        <v>15</v>
      </c>
      <c r="AH25" s="223"/>
      <c r="AI25" s="223">
        <v>16</v>
      </c>
      <c r="AJ25" s="223"/>
      <c r="AK25" s="223">
        <v>17</v>
      </c>
      <c r="AL25" s="223"/>
      <c r="AM25" s="223">
        <v>18</v>
      </c>
      <c r="AN25" s="223"/>
      <c r="AO25" s="223">
        <v>19</v>
      </c>
      <c r="AP25" s="223"/>
      <c r="AQ25" s="223">
        <v>20</v>
      </c>
      <c r="AR25" s="223"/>
      <c r="AS25" s="223">
        <v>21</v>
      </c>
      <c r="AT25" s="223"/>
      <c r="AU25" s="223">
        <v>22</v>
      </c>
      <c r="AV25" s="223"/>
    </row>
    <row r="26" spans="2:60" x14ac:dyDescent="0.2">
      <c r="B26" s="1">
        <v>22</v>
      </c>
      <c r="C26" s="1">
        <v>8</v>
      </c>
      <c r="D26" s="1">
        <v>14</v>
      </c>
      <c r="E26" s="224"/>
      <c r="F26" s="225"/>
      <c r="G26" s="114"/>
      <c r="H26" s="228"/>
      <c r="I26" s="114"/>
      <c r="J26" s="228"/>
      <c r="K26" s="224"/>
      <c r="L26" s="225"/>
      <c r="M26" s="114"/>
      <c r="N26" s="228"/>
      <c r="O26" s="114"/>
      <c r="P26" s="228"/>
      <c r="Q26" s="224"/>
      <c r="R26" s="225"/>
      <c r="S26" s="114"/>
      <c r="T26" s="228"/>
      <c r="U26" s="114"/>
      <c r="V26" s="228"/>
      <c r="W26" s="224"/>
      <c r="X26" s="225"/>
      <c r="Y26" s="114"/>
      <c r="Z26" s="228"/>
      <c r="AA26" s="114"/>
      <c r="AB26" s="228"/>
      <c r="AC26" s="224"/>
      <c r="AD26" s="225"/>
      <c r="AE26" s="114"/>
      <c r="AF26" s="228"/>
      <c r="AG26" s="114"/>
      <c r="AH26" s="228"/>
      <c r="AI26" s="224"/>
      <c r="AJ26" s="225"/>
      <c r="AK26" s="114"/>
      <c r="AL26" s="228"/>
      <c r="AM26" s="114"/>
      <c r="AN26" s="228"/>
      <c r="AO26" s="224"/>
      <c r="AP26" s="225"/>
      <c r="AQ26" s="114"/>
      <c r="AR26" s="228"/>
      <c r="AS26" s="114"/>
      <c r="AT26" s="228"/>
      <c r="AU26" s="224"/>
      <c r="AV26" s="225"/>
    </row>
    <row r="27" spans="2:60" x14ac:dyDescent="0.2">
      <c r="E27" s="226"/>
      <c r="F27" s="227"/>
      <c r="G27" s="229"/>
      <c r="H27" s="230"/>
      <c r="I27" s="229"/>
      <c r="J27" s="230"/>
      <c r="K27" s="226"/>
      <c r="L27" s="227"/>
      <c r="M27" s="229"/>
      <c r="N27" s="230"/>
      <c r="O27" s="229"/>
      <c r="P27" s="230"/>
      <c r="Q27" s="226"/>
      <c r="R27" s="227"/>
      <c r="S27" s="229"/>
      <c r="T27" s="230"/>
      <c r="U27" s="229"/>
      <c r="V27" s="230"/>
      <c r="W27" s="226"/>
      <c r="X27" s="227"/>
      <c r="Y27" s="229"/>
      <c r="Z27" s="230"/>
      <c r="AA27" s="229"/>
      <c r="AB27" s="230"/>
      <c r="AC27" s="226"/>
      <c r="AD27" s="227"/>
      <c r="AE27" s="229"/>
      <c r="AF27" s="230"/>
      <c r="AG27" s="229"/>
      <c r="AH27" s="230"/>
      <c r="AI27" s="226"/>
      <c r="AJ27" s="227"/>
      <c r="AK27" s="229"/>
      <c r="AL27" s="230"/>
      <c r="AM27" s="229"/>
      <c r="AN27" s="230"/>
      <c r="AO27" s="226"/>
      <c r="AP27" s="227"/>
      <c r="AQ27" s="229"/>
      <c r="AR27" s="230"/>
      <c r="AS27" s="229"/>
      <c r="AT27" s="230"/>
      <c r="AU27" s="226"/>
      <c r="AV27" s="227"/>
    </row>
    <row r="28" spans="2:60" x14ac:dyDescent="0.2">
      <c r="E28" s="223">
        <v>1</v>
      </c>
      <c r="F28" s="223"/>
      <c r="G28" s="223">
        <v>2</v>
      </c>
      <c r="H28" s="223"/>
      <c r="I28" s="223">
        <v>3</v>
      </c>
      <c r="J28" s="223"/>
      <c r="K28" s="223">
        <v>4</v>
      </c>
      <c r="L28" s="223"/>
      <c r="M28" s="223">
        <v>5</v>
      </c>
      <c r="N28" s="223"/>
      <c r="O28" s="223">
        <v>6</v>
      </c>
      <c r="P28" s="223"/>
      <c r="Q28" s="223">
        <v>7</v>
      </c>
      <c r="R28" s="223"/>
      <c r="S28" s="223">
        <v>8</v>
      </c>
      <c r="T28" s="223"/>
      <c r="U28" s="223">
        <v>9</v>
      </c>
      <c r="V28" s="223"/>
      <c r="W28" s="223">
        <v>10</v>
      </c>
      <c r="X28" s="223"/>
      <c r="Y28" s="223">
        <v>11</v>
      </c>
      <c r="Z28" s="223"/>
      <c r="AA28" s="223">
        <v>12</v>
      </c>
      <c r="AB28" s="223"/>
      <c r="AC28" s="223">
        <v>13</v>
      </c>
      <c r="AD28" s="223"/>
      <c r="AE28" s="223">
        <v>14</v>
      </c>
      <c r="AF28" s="223"/>
      <c r="AG28" s="223">
        <v>15</v>
      </c>
      <c r="AH28" s="223"/>
      <c r="AI28" s="223">
        <v>16</v>
      </c>
      <c r="AJ28" s="223"/>
      <c r="AK28" s="223">
        <v>17</v>
      </c>
      <c r="AL28" s="223"/>
      <c r="AM28" s="223">
        <v>18</v>
      </c>
      <c r="AN28" s="223"/>
      <c r="AO28" s="223">
        <v>19</v>
      </c>
      <c r="AP28" s="223"/>
      <c r="AQ28" s="223">
        <v>20</v>
      </c>
      <c r="AR28" s="223"/>
      <c r="AS28" s="223">
        <v>21</v>
      </c>
      <c r="AT28" s="223"/>
      <c r="AU28" s="223">
        <v>22</v>
      </c>
      <c r="AV28" s="223"/>
      <c r="AW28" s="223">
        <v>23</v>
      </c>
      <c r="AX28" s="223"/>
      <c r="AY28" s="223">
        <v>24</v>
      </c>
      <c r="AZ28" s="223"/>
      <c r="BA28" s="223">
        <v>25</v>
      </c>
      <c r="BB28" s="223"/>
    </row>
    <row r="29" spans="2:60" x14ac:dyDescent="0.2">
      <c r="B29" s="1">
        <v>25</v>
      </c>
      <c r="C29" s="1">
        <v>9</v>
      </c>
      <c r="D29" s="1">
        <v>16</v>
      </c>
      <c r="E29" s="224"/>
      <c r="F29" s="225"/>
      <c r="G29" s="114"/>
      <c r="H29" s="228"/>
      <c r="I29" s="114"/>
      <c r="J29" s="228"/>
      <c r="K29" s="224"/>
      <c r="L29" s="225"/>
      <c r="M29" s="114"/>
      <c r="N29" s="228"/>
      <c r="O29" s="114"/>
      <c r="P29" s="228"/>
      <c r="Q29" s="224"/>
      <c r="R29" s="225"/>
      <c r="S29" s="114"/>
      <c r="T29" s="228"/>
      <c r="U29" s="114"/>
      <c r="V29" s="228"/>
      <c r="W29" s="224"/>
      <c r="X29" s="225"/>
      <c r="Y29" s="114"/>
      <c r="Z29" s="228"/>
      <c r="AA29" s="114"/>
      <c r="AB29" s="228"/>
      <c r="AC29" s="224"/>
      <c r="AD29" s="225"/>
      <c r="AE29" s="114"/>
      <c r="AF29" s="228"/>
      <c r="AG29" s="114"/>
      <c r="AH29" s="228"/>
      <c r="AI29" s="224"/>
      <c r="AJ29" s="225"/>
      <c r="AK29" s="114"/>
      <c r="AL29" s="228"/>
      <c r="AM29" s="114"/>
      <c r="AN29" s="228"/>
      <c r="AO29" s="224"/>
      <c r="AP29" s="225"/>
      <c r="AQ29" s="114"/>
      <c r="AR29" s="228"/>
      <c r="AS29" s="114"/>
      <c r="AT29" s="228"/>
      <c r="AU29" s="224"/>
      <c r="AV29" s="225"/>
      <c r="AW29" s="114"/>
      <c r="AX29" s="228"/>
      <c r="AY29" s="114"/>
      <c r="AZ29" s="228"/>
      <c r="BA29" s="224"/>
      <c r="BB29" s="225"/>
    </row>
    <row r="30" spans="2:60" x14ac:dyDescent="0.2">
      <c r="E30" s="226"/>
      <c r="F30" s="227"/>
      <c r="G30" s="229"/>
      <c r="H30" s="230"/>
      <c r="I30" s="229"/>
      <c r="J30" s="230"/>
      <c r="K30" s="226"/>
      <c r="L30" s="227"/>
      <c r="M30" s="229"/>
      <c r="N30" s="230"/>
      <c r="O30" s="229"/>
      <c r="P30" s="230"/>
      <c r="Q30" s="226"/>
      <c r="R30" s="227"/>
      <c r="S30" s="229"/>
      <c r="T30" s="230"/>
      <c r="U30" s="229"/>
      <c r="V30" s="230"/>
      <c r="W30" s="226"/>
      <c r="X30" s="227"/>
      <c r="Y30" s="229"/>
      <c r="Z30" s="230"/>
      <c r="AA30" s="229"/>
      <c r="AB30" s="230"/>
      <c r="AC30" s="226"/>
      <c r="AD30" s="227"/>
      <c r="AE30" s="229"/>
      <c r="AF30" s="230"/>
      <c r="AG30" s="229"/>
      <c r="AH30" s="230"/>
      <c r="AI30" s="226"/>
      <c r="AJ30" s="227"/>
      <c r="AK30" s="229"/>
      <c r="AL30" s="230"/>
      <c r="AM30" s="229"/>
      <c r="AN30" s="230"/>
      <c r="AO30" s="226"/>
      <c r="AP30" s="227"/>
      <c r="AQ30" s="229"/>
      <c r="AR30" s="230"/>
      <c r="AS30" s="229"/>
      <c r="AT30" s="230"/>
      <c r="AU30" s="226"/>
      <c r="AV30" s="227"/>
      <c r="AW30" s="229"/>
      <c r="AX30" s="230"/>
      <c r="AY30" s="229"/>
      <c r="AZ30" s="230"/>
      <c r="BA30" s="226"/>
      <c r="BB30" s="227"/>
    </row>
    <row r="31" spans="2:60" x14ac:dyDescent="0.2">
      <c r="E31" s="223">
        <v>1</v>
      </c>
      <c r="F31" s="223"/>
      <c r="G31" s="223">
        <v>2</v>
      </c>
      <c r="H31" s="223"/>
      <c r="I31" s="223">
        <v>3</v>
      </c>
      <c r="J31" s="223"/>
      <c r="K31" s="223">
        <v>4</v>
      </c>
      <c r="L31" s="223"/>
      <c r="M31" s="223">
        <v>5</v>
      </c>
      <c r="N31" s="223"/>
      <c r="O31" s="223">
        <v>6</v>
      </c>
      <c r="P31" s="223"/>
      <c r="Q31" s="223">
        <v>7</v>
      </c>
      <c r="R31" s="223"/>
      <c r="S31" s="223">
        <v>8</v>
      </c>
      <c r="T31" s="223"/>
      <c r="U31" s="223">
        <v>9</v>
      </c>
      <c r="V31" s="223"/>
      <c r="W31" s="223">
        <v>10</v>
      </c>
      <c r="X31" s="223"/>
      <c r="Y31" s="223">
        <v>11</v>
      </c>
      <c r="Z31" s="223"/>
      <c r="AA31" s="223">
        <v>12</v>
      </c>
      <c r="AB31" s="223"/>
      <c r="AC31" s="223">
        <v>13</v>
      </c>
      <c r="AD31" s="223"/>
      <c r="AE31" s="223">
        <v>14</v>
      </c>
      <c r="AF31" s="223"/>
      <c r="AG31" s="223">
        <v>15</v>
      </c>
      <c r="AH31" s="223"/>
      <c r="AI31" s="223">
        <v>16</v>
      </c>
      <c r="AJ31" s="223"/>
      <c r="AK31" s="223">
        <v>17</v>
      </c>
      <c r="AL31" s="223"/>
      <c r="AM31" s="223">
        <v>18</v>
      </c>
      <c r="AN31" s="223"/>
      <c r="AO31" s="223">
        <v>19</v>
      </c>
      <c r="AP31" s="223"/>
      <c r="AQ31" s="223">
        <v>20</v>
      </c>
      <c r="AR31" s="223"/>
      <c r="AS31" s="223">
        <v>21</v>
      </c>
      <c r="AT31" s="223"/>
      <c r="AU31" s="223">
        <v>22</v>
      </c>
      <c r="AV31" s="223"/>
      <c r="AW31" s="223">
        <v>23</v>
      </c>
      <c r="AX31" s="223"/>
      <c r="AY31" s="223">
        <v>24</v>
      </c>
      <c r="AZ31" s="223"/>
      <c r="BA31" s="223">
        <v>25</v>
      </c>
      <c r="BB31" s="223"/>
      <c r="BC31" s="223">
        <v>26</v>
      </c>
      <c r="BD31" s="223"/>
      <c r="BE31" s="223">
        <v>27</v>
      </c>
      <c r="BF31" s="223"/>
      <c r="BG31" s="223">
        <v>28</v>
      </c>
      <c r="BH31" s="223"/>
    </row>
    <row r="32" spans="2:60" x14ac:dyDescent="0.2">
      <c r="B32" s="1">
        <v>28</v>
      </c>
      <c r="C32" s="1">
        <v>10</v>
      </c>
      <c r="D32" s="1">
        <v>18</v>
      </c>
      <c r="E32" s="224"/>
      <c r="F32" s="225"/>
      <c r="G32" s="114"/>
      <c r="H32" s="228"/>
      <c r="I32" s="114"/>
      <c r="J32" s="228"/>
      <c r="K32" s="224"/>
      <c r="L32" s="225"/>
      <c r="M32" s="114"/>
      <c r="N32" s="228"/>
      <c r="O32" s="114"/>
      <c r="P32" s="228"/>
      <c r="Q32" s="224"/>
      <c r="R32" s="225"/>
      <c r="S32" s="114"/>
      <c r="T32" s="228"/>
      <c r="U32" s="114"/>
      <c r="V32" s="228"/>
      <c r="W32" s="224"/>
      <c r="X32" s="225"/>
      <c r="Y32" s="114"/>
      <c r="Z32" s="228"/>
      <c r="AA32" s="114"/>
      <c r="AB32" s="228"/>
      <c r="AC32" s="224"/>
      <c r="AD32" s="225"/>
      <c r="AE32" s="114"/>
      <c r="AF32" s="228"/>
      <c r="AG32" s="114"/>
      <c r="AH32" s="228"/>
      <c r="AI32" s="224"/>
      <c r="AJ32" s="225"/>
      <c r="AK32" s="114"/>
      <c r="AL32" s="228"/>
      <c r="AM32" s="114"/>
      <c r="AN32" s="228"/>
      <c r="AO32" s="224"/>
      <c r="AP32" s="225"/>
      <c r="AQ32" s="114"/>
      <c r="AR32" s="228"/>
      <c r="AS32" s="114"/>
      <c r="AT32" s="228"/>
      <c r="AU32" s="224"/>
      <c r="AV32" s="225"/>
      <c r="AW32" s="114"/>
      <c r="AX32" s="228"/>
      <c r="AY32" s="114"/>
      <c r="AZ32" s="228"/>
      <c r="BA32" s="224"/>
      <c r="BB32" s="225"/>
      <c r="BC32" s="114"/>
      <c r="BD32" s="228"/>
      <c r="BE32" s="114"/>
      <c r="BF32" s="228"/>
      <c r="BG32" s="224"/>
      <c r="BH32" s="225"/>
    </row>
    <row r="33" spans="2:72" x14ac:dyDescent="0.2">
      <c r="E33" s="226"/>
      <c r="F33" s="227"/>
      <c r="G33" s="229"/>
      <c r="H33" s="230"/>
      <c r="I33" s="229"/>
      <c r="J33" s="230"/>
      <c r="K33" s="226"/>
      <c r="L33" s="227"/>
      <c r="M33" s="229"/>
      <c r="N33" s="230"/>
      <c r="O33" s="229"/>
      <c r="P33" s="230"/>
      <c r="Q33" s="226"/>
      <c r="R33" s="227"/>
      <c r="S33" s="229"/>
      <c r="T33" s="230"/>
      <c r="U33" s="229"/>
      <c r="V33" s="230"/>
      <c r="W33" s="226"/>
      <c r="X33" s="227"/>
      <c r="Y33" s="229"/>
      <c r="Z33" s="230"/>
      <c r="AA33" s="229"/>
      <c r="AB33" s="230"/>
      <c r="AC33" s="226"/>
      <c r="AD33" s="227"/>
      <c r="AE33" s="229"/>
      <c r="AF33" s="230"/>
      <c r="AG33" s="229"/>
      <c r="AH33" s="230"/>
      <c r="AI33" s="226"/>
      <c r="AJ33" s="227"/>
      <c r="AK33" s="229"/>
      <c r="AL33" s="230"/>
      <c r="AM33" s="229"/>
      <c r="AN33" s="230"/>
      <c r="AO33" s="226"/>
      <c r="AP33" s="227"/>
      <c r="AQ33" s="229"/>
      <c r="AR33" s="230"/>
      <c r="AS33" s="229"/>
      <c r="AT33" s="230"/>
      <c r="AU33" s="226"/>
      <c r="AV33" s="227"/>
      <c r="AW33" s="229"/>
      <c r="AX33" s="230"/>
      <c r="AY33" s="229"/>
      <c r="AZ33" s="230"/>
      <c r="BA33" s="226"/>
      <c r="BB33" s="227"/>
      <c r="BC33" s="229"/>
      <c r="BD33" s="230"/>
      <c r="BE33" s="229"/>
      <c r="BF33" s="230"/>
      <c r="BG33" s="226"/>
      <c r="BH33" s="227"/>
    </row>
    <row r="34" spans="2:72" x14ac:dyDescent="0.2">
      <c r="E34" s="223">
        <v>1</v>
      </c>
      <c r="F34" s="223"/>
      <c r="G34" s="223">
        <v>2</v>
      </c>
      <c r="H34" s="223"/>
      <c r="I34" s="223">
        <v>3</v>
      </c>
      <c r="J34" s="223"/>
      <c r="K34" s="223">
        <v>4</v>
      </c>
      <c r="L34" s="223"/>
      <c r="M34" s="223">
        <v>5</v>
      </c>
      <c r="N34" s="223"/>
      <c r="O34" s="223">
        <v>6</v>
      </c>
      <c r="P34" s="223"/>
      <c r="Q34" s="223">
        <v>7</v>
      </c>
      <c r="R34" s="223"/>
      <c r="S34" s="223">
        <v>8</v>
      </c>
      <c r="T34" s="223"/>
      <c r="U34" s="223">
        <v>9</v>
      </c>
      <c r="V34" s="223"/>
      <c r="W34" s="223">
        <v>10</v>
      </c>
      <c r="X34" s="223"/>
      <c r="Y34" s="223">
        <v>11</v>
      </c>
      <c r="Z34" s="223"/>
      <c r="AA34" s="223">
        <v>12</v>
      </c>
      <c r="AB34" s="223"/>
      <c r="AC34" s="223">
        <v>13</v>
      </c>
      <c r="AD34" s="223"/>
      <c r="AE34" s="223">
        <v>14</v>
      </c>
      <c r="AF34" s="223"/>
      <c r="AG34" s="223">
        <v>15</v>
      </c>
      <c r="AH34" s="223"/>
      <c r="AI34" s="223">
        <v>16</v>
      </c>
      <c r="AJ34" s="223"/>
      <c r="AK34" s="223">
        <v>17</v>
      </c>
      <c r="AL34" s="223"/>
      <c r="AM34" s="223">
        <v>18</v>
      </c>
      <c r="AN34" s="223"/>
      <c r="AO34" s="223">
        <v>19</v>
      </c>
      <c r="AP34" s="223"/>
      <c r="AQ34" s="223">
        <v>20</v>
      </c>
      <c r="AR34" s="223"/>
      <c r="AS34" s="223">
        <v>21</v>
      </c>
      <c r="AT34" s="223"/>
      <c r="AU34" s="223">
        <v>22</v>
      </c>
      <c r="AV34" s="223"/>
      <c r="AW34" s="223">
        <v>23</v>
      </c>
      <c r="AX34" s="223"/>
      <c r="AY34" s="223">
        <v>24</v>
      </c>
      <c r="AZ34" s="223"/>
      <c r="BA34" s="223">
        <v>25</v>
      </c>
      <c r="BB34" s="223"/>
      <c r="BC34" s="223">
        <v>26</v>
      </c>
      <c r="BD34" s="223"/>
      <c r="BE34" s="223">
        <v>27</v>
      </c>
      <c r="BF34" s="223"/>
      <c r="BG34" s="223">
        <v>28</v>
      </c>
      <c r="BH34" s="223"/>
      <c r="BI34" s="223">
        <v>29</v>
      </c>
      <c r="BJ34" s="223"/>
      <c r="BK34" s="223">
        <v>30</v>
      </c>
      <c r="BL34" s="223"/>
      <c r="BM34" s="223">
        <v>31</v>
      </c>
      <c r="BN34" s="223"/>
    </row>
    <row r="35" spans="2:72" x14ac:dyDescent="0.2">
      <c r="B35" s="1">
        <v>31</v>
      </c>
      <c r="C35" s="1">
        <v>11</v>
      </c>
      <c r="D35" s="1">
        <v>20</v>
      </c>
      <c r="E35" s="224"/>
      <c r="F35" s="225"/>
      <c r="G35" s="114"/>
      <c r="H35" s="228"/>
      <c r="I35" s="114"/>
      <c r="J35" s="228"/>
      <c r="K35" s="224"/>
      <c r="L35" s="225"/>
      <c r="M35" s="114"/>
      <c r="N35" s="228"/>
      <c r="O35" s="114"/>
      <c r="P35" s="228"/>
      <c r="Q35" s="224"/>
      <c r="R35" s="225"/>
      <c r="S35" s="114"/>
      <c r="T35" s="228"/>
      <c r="U35" s="114"/>
      <c r="V35" s="228"/>
      <c r="W35" s="224"/>
      <c r="X35" s="225"/>
      <c r="Y35" s="114"/>
      <c r="Z35" s="228"/>
      <c r="AA35" s="114"/>
      <c r="AB35" s="228"/>
      <c r="AC35" s="224"/>
      <c r="AD35" s="225"/>
      <c r="AE35" s="114"/>
      <c r="AF35" s="228"/>
      <c r="AG35" s="114"/>
      <c r="AH35" s="228"/>
      <c r="AI35" s="224"/>
      <c r="AJ35" s="225"/>
      <c r="AK35" s="114"/>
      <c r="AL35" s="228"/>
      <c r="AM35" s="114"/>
      <c r="AN35" s="228"/>
      <c r="AO35" s="224"/>
      <c r="AP35" s="225"/>
      <c r="AQ35" s="114"/>
      <c r="AR35" s="228"/>
      <c r="AS35" s="114"/>
      <c r="AT35" s="228"/>
      <c r="AU35" s="224"/>
      <c r="AV35" s="225"/>
      <c r="AW35" s="114"/>
      <c r="AX35" s="228"/>
      <c r="AY35" s="114"/>
      <c r="AZ35" s="228"/>
      <c r="BA35" s="224"/>
      <c r="BB35" s="225"/>
      <c r="BC35" s="114"/>
      <c r="BD35" s="228"/>
      <c r="BE35" s="114"/>
      <c r="BF35" s="228"/>
      <c r="BG35" s="224"/>
      <c r="BH35" s="225"/>
      <c r="BI35" s="114"/>
      <c r="BJ35" s="228"/>
      <c r="BK35" s="114"/>
      <c r="BL35" s="228"/>
      <c r="BM35" s="224"/>
      <c r="BN35" s="225"/>
    </row>
    <row r="36" spans="2:72" x14ac:dyDescent="0.2">
      <c r="E36" s="226"/>
      <c r="F36" s="227"/>
      <c r="G36" s="229"/>
      <c r="H36" s="230"/>
      <c r="I36" s="229"/>
      <c r="J36" s="230"/>
      <c r="K36" s="226"/>
      <c r="L36" s="227"/>
      <c r="M36" s="229"/>
      <c r="N36" s="230"/>
      <c r="O36" s="229"/>
      <c r="P36" s="230"/>
      <c r="Q36" s="226"/>
      <c r="R36" s="227"/>
      <c r="S36" s="229"/>
      <c r="T36" s="230"/>
      <c r="U36" s="229"/>
      <c r="V36" s="230"/>
      <c r="W36" s="226"/>
      <c r="X36" s="227"/>
      <c r="Y36" s="229"/>
      <c r="Z36" s="230"/>
      <c r="AA36" s="229"/>
      <c r="AB36" s="230"/>
      <c r="AC36" s="226"/>
      <c r="AD36" s="227"/>
      <c r="AE36" s="229"/>
      <c r="AF36" s="230"/>
      <c r="AG36" s="229"/>
      <c r="AH36" s="230"/>
      <c r="AI36" s="226"/>
      <c r="AJ36" s="227"/>
      <c r="AK36" s="229"/>
      <c r="AL36" s="230"/>
      <c r="AM36" s="229"/>
      <c r="AN36" s="230"/>
      <c r="AO36" s="226"/>
      <c r="AP36" s="227"/>
      <c r="AQ36" s="229"/>
      <c r="AR36" s="230"/>
      <c r="AS36" s="229"/>
      <c r="AT36" s="230"/>
      <c r="AU36" s="226"/>
      <c r="AV36" s="227"/>
      <c r="AW36" s="229"/>
      <c r="AX36" s="230"/>
      <c r="AY36" s="229"/>
      <c r="AZ36" s="230"/>
      <c r="BA36" s="226"/>
      <c r="BB36" s="227"/>
      <c r="BC36" s="229"/>
      <c r="BD36" s="230"/>
      <c r="BE36" s="229"/>
      <c r="BF36" s="230"/>
      <c r="BG36" s="226"/>
      <c r="BH36" s="227"/>
      <c r="BI36" s="229"/>
      <c r="BJ36" s="230"/>
      <c r="BK36" s="229"/>
      <c r="BL36" s="230"/>
      <c r="BM36" s="226"/>
      <c r="BN36" s="227"/>
    </row>
    <row r="37" spans="2:72" x14ac:dyDescent="0.2">
      <c r="E37" s="223">
        <v>1</v>
      </c>
      <c r="F37" s="223"/>
      <c r="G37" s="223">
        <v>2</v>
      </c>
      <c r="H37" s="223"/>
      <c r="I37" s="223">
        <v>3</v>
      </c>
      <c r="J37" s="223"/>
      <c r="K37" s="223">
        <v>4</v>
      </c>
      <c r="L37" s="223"/>
      <c r="M37" s="223">
        <v>5</v>
      </c>
      <c r="N37" s="223"/>
      <c r="O37" s="223">
        <v>6</v>
      </c>
      <c r="P37" s="223"/>
      <c r="Q37" s="223">
        <v>7</v>
      </c>
      <c r="R37" s="223"/>
      <c r="S37" s="223">
        <v>8</v>
      </c>
      <c r="T37" s="223"/>
      <c r="U37" s="223">
        <v>9</v>
      </c>
      <c r="V37" s="223"/>
      <c r="W37" s="223">
        <v>10</v>
      </c>
      <c r="X37" s="223"/>
      <c r="Y37" s="223">
        <v>11</v>
      </c>
      <c r="Z37" s="223"/>
      <c r="AA37" s="223">
        <v>12</v>
      </c>
      <c r="AB37" s="223"/>
      <c r="AC37" s="223">
        <v>13</v>
      </c>
      <c r="AD37" s="223"/>
      <c r="AE37" s="223">
        <v>14</v>
      </c>
      <c r="AF37" s="223"/>
      <c r="AG37" s="223">
        <v>15</v>
      </c>
      <c r="AH37" s="223"/>
      <c r="AI37" s="223">
        <v>16</v>
      </c>
      <c r="AJ37" s="223"/>
      <c r="AK37" s="223">
        <v>17</v>
      </c>
      <c r="AL37" s="223"/>
      <c r="AM37" s="223">
        <v>18</v>
      </c>
      <c r="AN37" s="223"/>
      <c r="AO37" s="223">
        <v>19</v>
      </c>
      <c r="AP37" s="223"/>
      <c r="AQ37" s="223">
        <v>20</v>
      </c>
      <c r="AR37" s="223"/>
      <c r="AS37" s="223">
        <v>21</v>
      </c>
      <c r="AT37" s="223"/>
      <c r="AU37" s="223">
        <v>22</v>
      </c>
      <c r="AV37" s="223"/>
      <c r="AW37" s="223">
        <v>23</v>
      </c>
      <c r="AX37" s="223"/>
      <c r="AY37" s="223">
        <v>24</v>
      </c>
      <c r="AZ37" s="223"/>
      <c r="BA37" s="223">
        <v>25</v>
      </c>
      <c r="BB37" s="223"/>
      <c r="BC37" s="223">
        <v>26</v>
      </c>
      <c r="BD37" s="223"/>
      <c r="BE37" s="223">
        <v>27</v>
      </c>
      <c r="BF37" s="223"/>
      <c r="BG37" s="223">
        <v>28</v>
      </c>
      <c r="BH37" s="223"/>
      <c r="BI37" s="223">
        <v>29</v>
      </c>
      <c r="BJ37" s="223"/>
      <c r="BK37" s="223">
        <v>30</v>
      </c>
      <c r="BL37" s="223"/>
      <c r="BM37" s="223">
        <v>31</v>
      </c>
      <c r="BN37" s="223"/>
      <c r="BO37" s="223">
        <v>32</v>
      </c>
      <c r="BP37" s="223"/>
      <c r="BQ37" s="223">
        <v>33</v>
      </c>
      <c r="BR37" s="223"/>
      <c r="BS37" s="223">
        <v>34</v>
      </c>
      <c r="BT37" s="223"/>
    </row>
    <row r="38" spans="2:72" x14ac:dyDescent="0.2">
      <c r="B38" s="1">
        <v>34</v>
      </c>
      <c r="C38" s="1">
        <v>12</v>
      </c>
      <c r="D38" s="1">
        <v>22</v>
      </c>
      <c r="E38" s="224"/>
      <c r="F38" s="225"/>
      <c r="G38" s="114"/>
      <c r="H38" s="228"/>
      <c r="I38" s="114"/>
      <c r="J38" s="228"/>
      <c r="K38" s="224"/>
      <c r="L38" s="225"/>
      <c r="M38" s="114"/>
      <c r="N38" s="228"/>
      <c r="O38" s="114"/>
      <c r="P38" s="228"/>
      <c r="Q38" s="224"/>
      <c r="R38" s="225"/>
      <c r="S38" s="114"/>
      <c r="T38" s="228"/>
      <c r="U38" s="114"/>
      <c r="V38" s="228"/>
      <c r="W38" s="224"/>
      <c r="X38" s="225"/>
      <c r="Y38" s="114"/>
      <c r="Z38" s="228"/>
      <c r="AA38" s="114"/>
      <c r="AB38" s="228"/>
      <c r="AC38" s="224"/>
      <c r="AD38" s="225"/>
      <c r="AE38" s="114"/>
      <c r="AF38" s="228"/>
      <c r="AG38" s="114"/>
      <c r="AH38" s="228"/>
      <c r="AI38" s="224"/>
      <c r="AJ38" s="225"/>
      <c r="AK38" s="114"/>
      <c r="AL38" s="228"/>
      <c r="AM38" s="114"/>
      <c r="AN38" s="228"/>
      <c r="AO38" s="224"/>
      <c r="AP38" s="225"/>
      <c r="AQ38" s="114"/>
      <c r="AR38" s="228"/>
      <c r="AS38" s="114"/>
      <c r="AT38" s="228"/>
      <c r="AU38" s="224"/>
      <c r="AV38" s="225"/>
      <c r="AW38" s="114"/>
      <c r="AX38" s="228"/>
      <c r="AY38" s="114"/>
      <c r="AZ38" s="228"/>
      <c r="BA38" s="224"/>
      <c r="BB38" s="225"/>
      <c r="BC38" s="114"/>
      <c r="BD38" s="228"/>
      <c r="BE38" s="114"/>
      <c r="BF38" s="228"/>
      <c r="BG38" s="224"/>
      <c r="BH38" s="225"/>
      <c r="BI38" s="114"/>
      <c r="BJ38" s="228"/>
      <c r="BK38" s="114"/>
      <c r="BL38" s="228"/>
      <c r="BM38" s="224"/>
      <c r="BN38" s="225"/>
      <c r="BO38" s="114"/>
      <c r="BP38" s="228"/>
      <c r="BQ38" s="114"/>
      <c r="BR38" s="228"/>
      <c r="BS38" s="224"/>
      <c r="BT38" s="225"/>
    </row>
    <row r="39" spans="2:72" x14ac:dyDescent="0.2">
      <c r="E39" s="226"/>
      <c r="F39" s="227"/>
      <c r="G39" s="229"/>
      <c r="H39" s="230"/>
      <c r="I39" s="229"/>
      <c r="J39" s="230"/>
      <c r="K39" s="226"/>
      <c r="L39" s="227"/>
      <c r="M39" s="229"/>
      <c r="N39" s="230"/>
      <c r="O39" s="229"/>
      <c r="P39" s="230"/>
      <c r="Q39" s="226"/>
      <c r="R39" s="227"/>
      <c r="S39" s="229"/>
      <c r="T39" s="230"/>
      <c r="U39" s="229"/>
      <c r="V39" s="230"/>
      <c r="W39" s="226"/>
      <c r="X39" s="227"/>
      <c r="Y39" s="229"/>
      <c r="Z39" s="230"/>
      <c r="AA39" s="229"/>
      <c r="AB39" s="230"/>
      <c r="AC39" s="226"/>
      <c r="AD39" s="227"/>
      <c r="AE39" s="229"/>
      <c r="AF39" s="230"/>
      <c r="AG39" s="229"/>
      <c r="AH39" s="230"/>
      <c r="AI39" s="226"/>
      <c r="AJ39" s="227"/>
      <c r="AK39" s="229"/>
      <c r="AL39" s="230"/>
      <c r="AM39" s="229"/>
      <c r="AN39" s="230"/>
      <c r="AO39" s="226"/>
      <c r="AP39" s="227"/>
      <c r="AQ39" s="229"/>
      <c r="AR39" s="230"/>
      <c r="AS39" s="229"/>
      <c r="AT39" s="230"/>
      <c r="AU39" s="226"/>
      <c r="AV39" s="227"/>
      <c r="AW39" s="229"/>
      <c r="AX39" s="230"/>
      <c r="AY39" s="229"/>
      <c r="AZ39" s="230"/>
      <c r="BA39" s="226"/>
      <c r="BB39" s="227"/>
      <c r="BC39" s="229"/>
      <c r="BD39" s="230"/>
      <c r="BE39" s="229"/>
      <c r="BF39" s="230"/>
      <c r="BG39" s="226"/>
      <c r="BH39" s="227"/>
      <c r="BI39" s="229"/>
      <c r="BJ39" s="230"/>
      <c r="BK39" s="229"/>
      <c r="BL39" s="230"/>
      <c r="BM39" s="226"/>
      <c r="BN39" s="227"/>
      <c r="BO39" s="229"/>
      <c r="BP39" s="230"/>
      <c r="BQ39" s="229"/>
      <c r="BR39" s="230"/>
      <c r="BS39" s="226"/>
      <c r="BT39" s="227"/>
    </row>
  </sheetData>
  <mergeCells count="422">
    <mergeCell ref="E31:F31"/>
    <mergeCell ref="G31:H31"/>
    <mergeCell ref="I31:J31"/>
    <mergeCell ref="K31:L31"/>
    <mergeCell ref="M31:N31"/>
    <mergeCell ref="E35:F36"/>
    <mergeCell ref="G35:H36"/>
    <mergeCell ref="I35:J36"/>
    <mergeCell ref="AA38:AB39"/>
    <mergeCell ref="E34:F34"/>
    <mergeCell ref="G34:H34"/>
    <mergeCell ref="I34:J34"/>
    <mergeCell ref="K34:L34"/>
    <mergeCell ref="M34:N34"/>
    <mergeCell ref="U32:V33"/>
    <mergeCell ref="W32:X33"/>
    <mergeCell ref="E32:F33"/>
    <mergeCell ref="G32:H33"/>
    <mergeCell ref="I32:J33"/>
    <mergeCell ref="K32:L33"/>
    <mergeCell ref="M32:N33"/>
    <mergeCell ref="O32:P33"/>
    <mergeCell ref="O38:P39"/>
    <mergeCell ref="Q38:R39"/>
    <mergeCell ref="W38:X39"/>
    <mergeCell ref="Y38:Z39"/>
    <mergeCell ref="AQ38:AR39"/>
    <mergeCell ref="AE37:AF37"/>
    <mergeCell ref="AG37:AH37"/>
    <mergeCell ref="AI37:AJ37"/>
    <mergeCell ref="AK37:AL37"/>
    <mergeCell ref="K35:L36"/>
    <mergeCell ref="M35:N36"/>
    <mergeCell ref="AM38:AN39"/>
    <mergeCell ref="AO38:AP39"/>
    <mergeCell ref="AG38:AH39"/>
    <mergeCell ref="AI38:AJ39"/>
    <mergeCell ref="AK38:AL39"/>
    <mergeCell ref="S38:T39"/>
    <mergeCell ref="U38:V39"/>
    <mergeCell ref="E37:F37"/>
    <mergeCell ref="G37:H37"/>
    <mergeCell ref="I37:J37"/>
    <mergeCell ref="K37:L37"/>
    <mergeCell ref="M37:N37"/>
    <mergeCell ref="E38:F39"/>
    <mergeCell ref="G38:H39"/>
    <mergeCell ref="I38:J39"/>
    <mergeCell ref="K38:L39"/>
    <mergeCell ref="M38:N39"/>
    <mergeCell ref="BQ38:BR39"/>
    <mergeCell ref="BS38:BT39"/>
    <mergeCell ref="O37:P37"/>
    <mergeCell ref="Q37:R37"/>
    <mergeCell ref="S37:T37"/>
    <mergeCell ref="U37:V37"/>
    <mergeCell ref="W37:X37"/>
    <mergeCell ref="Y37:Z37"/>
    <mergeCell ref="AA37:AB37"/>
    <mergeCell ref="AC37:AD37"/>
    <mergeCell ref="BE38:BF39"/>
    <mergeCell ref="BG38:BH39"/>
    <mergeCell ref="BI38:BJ39"/>
    <mergeCell ref="BK38:BL39"/>
    <mergeCell ref="BM38:BN39"/>
    <mergeCell ref="BO38:BP39"/>
    <mergeCell ref="AS38:AT39"/>
    <mergeCell ref="AU38:AV39"/>
    <mergeCell ref="AW38:AX39"/>
    <mergeCell ref="AY38:AZ39"/>
    <mergeCell ref="BA38:BB39"/>
    <mergeCell ref="BC38:BD39"/>
    <mergeCell ref="AC38:AD39"/>
    <mergeCell ref="AE38:AF39"/>
    <mergeCell ref="BK37:BL37"/>
    <mergeCell ref="BM37:BN37"/>
    <mergeCell ref="BO37:BP37"/>
    <mergeCell ref="BQ37:BR37"/>
    <mergeCell ref="BS37:BT37"/>
    <mergeCell ref="U34:V34"/>
    <mergeCell ref="W34:X34"/>
    <mergeCell ref="Y34:Z34"/>
    <mergeCell ref="AA34:AB34"/>
    <mergeCell ref="AC34:AD34"/>
    <mergeCell ref="AY37:AZ37"/>
    <mergeCell ref="BA37:BB37"/>
    <mergeCell ref="BC37:BD37"/>
    <mergeCell ref="BE37:BF37"/>
    <mergeCell ref="BG37:BH37"/>
    <mergeCell ref="BI37:BJ37"/>
    <mergeCell ref="AM37:AN37"/>
    <mergeCell ref="AO37:AP37"/>
    <mergeCell ref="AQ37:AR37"/>
    <mergeCell ref="AS37:AT37"/>
    <mergeCell ref="AU37:AV37"/>
    <mergeCell ref="AW37:AX37"/>
    <mergeCell ref="BI34:BJ34"/>
    <mergeCell ref="BK34:BL34"/>
    <mergeCell ref="BM34:BN34"/>
    <mergeCell ref="AQ34:AR34"/>
    <mergeCell ref="AS34:AT34"/>
    <mergeCell ref="AU34:AV34"/>
    <mergeCell ref="AW34:AX34"/>
    <mergeCell ref="AY34:AZ34"/>
    <mergeCell ref="BA34:BB34"/>
    <mergeCell ref="O35:P36"/>
    <mergeCell ref="Q35:R36"/>
    <mergeCell ref="S35:T36"/>
    <mergeCell ref="U35:V36"/>
    <mergeCell ref="W35:X36"/>
    <mergeCell ref="Y35:Z36"/>
    <mergeCell ref="BC34:BD34"/>
    <mergeCell ref="BE34:BF34"/>
    <mergeCell ref="BG34:BH34"/>
    <mergeCell ref="AE34:AF34"/>
    <mergeCell ref="AG34:AH34"/>
    <mergeCell ref="AI34:AJ34"/>
    <mergeCell ref="AK34:AL34"/>
    <mergeCell ref="AM34:AN34"/>
    <mergeCell ref="AO34:AP34"/>
    <mergeCell ref="AQ35:AR36"/>
    <mergeCell ref="AS35:AT36"/>
    <mergeCell ref="AU35:AV36"/>
    <mergeCell ref="AW35:AX36"/>
    <mergeCell ref="AA35:AB36"/>
    <mergeCell ref="AC35:AD36"/>
    <mergeCell ref="AE35:AF36"/>
    <mergeCell ref="AG35:AH36"/>
    <mergeCell ref="AI35:AJ36"/>
    <mergeCell ref="AK35:AL36"/>
    <mergeCell ref="Y31:Z31"/>
    <mergeCell ref="AA31:AB31"/>
    <mergeCell ref="AC31:AD31"/>
    <mergeCell ref="AE31:AF31"/>
    <mergeCell ref="AG31:AH31"/>
    <mergeCell ref="AI31:AJ31"/>
    <mergeCell ref="AK31:AL31"/>
    <mergeCell ref="AM31:AN31"/>
    <mergeCell ref="AO31:AP31"/>
    <mergeCell ref="AQ31:AR31"/>
    <mergeCell ref="AS31:AT31"/>
    <mergeCell ref="AU31:AV31"/>
    <mergeCell ref="Y32:Z33"/>
    <mergeCell ref="AA32:AB33"/>
    <mergeCell ref="BK35:BL36"/>
    <mergeCell ref="BM35:BN36"/>
    <mergeCell ref="O34:P34"/>
    <mergeCell ref="Q34:R34"/>
    <mergeCell ref="S34:T34"/>
    <mergeCell ref="O31:P31"/>
    <mergeCell ref="Q31:R31"/>
    <mergeCell ref="S31:T31"/>
    <mergeCell ref="U31:V31"/>
    <mergeCell ref="W31:X31"/>
    <mergeCell ref="AY35:AZ36"/>
    <mergeCell ref="BA35:BB36"/>
    <mergeCell ref="BC35:BD36"/>
    <mergeCell ref="BE35:BF36"/>
    <mergeCell ref="BG35:BH36"/>
    <mergeCell ref="BI35:BJ36"/>
    <mergeCell ref="AM35:AN36"/>
    <mergeCell ref="AO35:AP36"/>
    <mergeCell ref="AW31:AX31"/>
    <mergeCell ref="AY31:AZ31"/>
    <mergeCell ref="BA31:BB31"/>
    <mergeCell ref="BC31:BD31"/>
    <mergeCell ref="BE31:BF31"/>
    <mergeCell ref="BG31:BH31"/>
    <mergeCell ref="BA32:BB33"/>
    <mergeCell ref="BC32:BD33"/>
    <mergeCell ref="BE32:BF33"/>
    <mergeCell ref="BG32:BH33"/>
    <mergeCell ref="E28:F28"/>
    <mergeCell ref="G28:H28"/>
    <mergeCell ref="I28:J28"/>
    <mergeCell ref="K28:L28"/>
    <mergeCell ref="M28:N28"/>
    <mergeCell ref="O28:P28"/>
    <mergeCell ref="AO32:AP33"/>
    <mergeCell ref="AQ32:AR33"/>
    <mergeCell ref="AS32:AT33"/>
    <mergeCell ref="AU32:AV33"/>
    <mergeCell ref="AW32:AX33"/>
    <mergeCell ref="AY32:AZ33"/>
    <mergeCell ref="AC32:AD33"/>
    <mergeCell ref="AE32:AF33"/>
    <mergeCell ref="AG32:AH33"/>
    <mergeCell ref="AI32:AJ33"/>
    <mergeCell ref="AK32:AL33"/>
    <mergeCell ref="AM32:AN33"/>
    <mergeCell ref="Q32:R33"/>
    <mergeCell ref="S32:T33"/>
    <mergeCell ref="AI28:AJ28"/>
    <mergeCell ref="AK28:AL28"/>
    <mergeCell ref="AM28:AN28"/>
    <mergeCell ref="Q28:R28"/>
    <mergeCell ref="S28:T28"/>
    <mergeCell ref="U28:V28"/>
    <mergeCell ref="W28:X28"/>
    <mergeCell ref="Y28:Z28"/>
    <mergeCell ref="AA28:AB28"/>
    <mergeCell ref="E29:F30"/>
    <mergeCell ref="G29:H30"/>
    <mergeCell ref="I29:J30"/>
    <mergeCell ref="K29:L30"/>
    <mergeCell ref="M29:N30"/>
    <mergeCell ref="O29:P30"/>
    <mergeCell ref="AC28:AD28"/>
    <mergeCell ref="AE28:AF28"/>
    <mergeCell ref="AG28:AH28"/>
    <mergeCell ref="AC29:AD30"/>
    <mergeCell ref="AE29:AF30"/>
    <mergeCell ref="AG29:AH30"/>
    <mergeCell ref="AI29:AJ30"/>
    <mergeCell ref="AK29:AL30"/>
    <mergeCell ref="AM29:AN30"/>
    <mergeCell ref="Q29:R30"/>
    <mergeCell ref="S29:T30"/>
    <mergeCell ref="U29:V30"/>
    <mergeCell ref="W29:X30"/>
    <mergeCell ref="Y29:Z30"/>
    <mergeCell ref="AA29:AB30"/>
    <mergeCell ref="BA29:BB30"/>
    <mergeCell ref="AO26:AP27"/>
    <mergeCell ref="AQ26:AR27"/>
    <mergeCell ref="AS26:AT27"/>
    <mergeCell ref="AU26:AV27"/>
    <mergeCell ref="AO28:AP28"/>
    <mergeCell ref="AQ28:AR28"/>
    <mergeCell ref="AS28:AT28"/>
    <mergeCell ref="AO29:AP30"/>
    <mergeCell ref="AQ29:AR30"/>
    <mergeCell ref="AS29:AT30"/>
    <mergeCell ref="AU29:AV30"/>
    <mergeCell ref="AW29:AX30"/>
    <mergeCell ref="AY29:AZ30"/>
    <mergeCell ref="AU28:AV28"/>
    <mergeCell ref="AW28:AX28"/>
    <mergeCell ref="AY28:AZ28"/>
    <mergeCell ref="BA28:BB28"/>
    <mergeCell ref="AE25:AF25"/>
    <mergeCell ref="AO25:AP25"/>
    <mergeCell ref="AQ25:AR25"/>
    <mergeCell ref="AS25:AT25"/>
    <mergeCell ref="AU25:AV25"/>
    <mergeCell ref="AM25:AN25"/>
    <mergeCell ref="Q25:R25"/>
    <mergeCell ref="S25:T25"/>
    <mergeCell ref="U25:V25"/>
    <mergeCell ref="W25:X25"/>
    <mergeCell ref="Y25:Z25"/>
    <mergeCell ref="AA25:AB25"/>
    <mergeCell ref="Q26:R27"/>
    <mergeCell ref="S26:T27"/>
    <mergeCell ref="U26:V27"/>
    <mergeCell ref="E25:F25"/>
    <mergeCell ref="G25:H25"/>
    <mergeCell ref="I25:J25"/>
    <mergeCell ref="K25:L25"/>
    <mergeCell ref="M25:N25"/>
    <mergeCell ref="AC25:AD25"/>
    <mergeCell ref="E26:F27"/>
    <mergeCell ref="G26:H27"/>
    <mergeCell ref="I26:J27"/>
    <mergeCell ref="K26:L27"/>
    <mergeCell ref="M26:N27"/>
    <mergeCell ref="AI26:AJ27"/>
    <mergeCell ref="AK26:AL27"/>
    <mergeCell ref="AM26:AN27"/>
    <mergeCell ref="O25:P25"/>
    <mergeCell ref="E22:F22"/>
    <mergeCell ref="G22:H22"/>
    <mergeCell ref="I22:J22"/>
    <mergeCell ref="AE22:AF22"/>
    <mergeCell ref="E23:F24"/>
    <mergeCell ref="G23:H24"/>
    <mergeCell ref="W26:X27"/>
    <mergeCell ref="Y26:Z27"/>
    <mergeCell ref="AA26:AB27"/>
    <mergeCell ref="AC26:AD27"/>
    <mergeCell ref="AE26:AF27"/>
    <mergeCell ref="AG26:AH27"/>
    <mergeCell ref="AE23:AF24"/>
    <mergeCell ref="AG23:AH24"/>
    <mergeCell ref="AI23:AJ24"/>
    <mergeCell ref="AK23:AL24"/>
    <mergeCell ref="AG25:AH25"/>
    <mergeCell ref="AI25:AJ25"/>
    <mergeCell ref="AK25:AL25"/>
    <mergeCell ref="O26:P27"/>
    <mergeCell ref="AO22:AP22"/>
    <mergeCell ref="AM23:AN24"/>
    <mergeCell ref="AG22:AH22"/>
    <mergeCell ref="AI22:AJ22"/>
    <mergeCell ref="AK22:AL22"/>
    <mergeCell ref="AM22:AN22"/>
    <mergeCell ref="AO23:AP24"/>
    <mergeCell ref="W19:X19"/>
    <mergeCell ref="Y19:Z19"/>
    <mergeCell ref="AA19:AB19"/>
    <mergeCell ref="AC19:AD19"/>
    <mergeCell ref="AE19:AF19"/>
    <mergeCell ref="W22:X22"/>
    <mergeCell ref="Y22:Z22"/>
    <mergeCell ref="AA22:AB22"/>
    <mergeCell ref="AC22:AD22"/>
    <mergeCell ref="AA23:AB24"/>
    <mergeCell ref="AC23:AD24"/>
    <mergeCell ref="E17:F18"/>
    <mergeCell ref="G17:H18"/>
    <mergeCell ref="I17:J18"/>
    <mergeCell ref="K17:L18"/>
    <mergeCell ref="E19:F19"/>
    <mergeCell ref="AG19:AH19"/>
    <mergeCell ref="AI19:AJ19"/>
    <mergeCell ref="K22:L22"/>
    <mergeCell ref="M22:N22"/>
    <mergeCell ref="AG20:AH21"/>
    <mergeCell ref="AI20:AJ21"/>
    <mergeCell ref="O19:P19"/>
    <mergeCell ref="Q19:R19"/>
    <mergeCell ref="S19:T19"/>
    <mergeCell ref="U19:V19"/>
    <mergeCell ref="O22:P22"/>
    <mergeCell ref="Q22:R22"/>
    <mergeCell ref="S22:T22"/>
    <mergeCell ref="U22:V22"/>
    <mergeCell ref="AC20:AD21"/>
    <mergeCell ref="AE20:AF21"/>
    <mergeCell ref="G19:H19"/>
    <mergeCell ref="I19:J19"/>
    <mergeCell ref="K19:L19"/>
    <mergeCell ref="I23:J24"/>
    <mergeCell ref="K23:L24"/>
    <mergeCell ref="M23:N24"/>
    <mergeCell ref="O23:P24"/>
    <mergeCell ref="Q23:R24"/>
    <mergeCell ref="S23:T24"/>
    <mergeCell ref="E20:F21"/>
    <mergeCell ref="G20:H21"/>
    <mergeCell ref="I20:J21"/>
    <mergeCell ref="O20:P21"/>
    <mergeCell ref="Q20:R21"/>
    <mergeCell ref="S20:T21"/>
    <mergeCell ref="U23:V24"/>
    <mergeCell ref="W23:X24"/>
    <mergeCell ref="Y23:Z24"/>
    <mergeCell ref="K20:L21"/>
    <mergeCell ref="M20:N21"/>
    <mergeCell ref="U20:V21"/>
    <mergeCell ref="W20:X21"/>
    <mergeCell ref="Y20:Z21"/>
    <mergeCell ref="AA20:AB21"/>
    <mergeCell ref="S16:T16"/>
    <mergeCell ref="U16:V16"/>
    <mergeCell ref="W16:X16"/>
    <mergeCell ref="Y16:Z16"/>
    <mergeCell ref="AA16:AB16"/>
    <mergeCell ref="AC16:AD16"/>
    <mergeCell ref="S17:T18"/>
    <mergeCell ref="U17:V18"/>
    <mergeCell ref="W17:X18"/>
    <mergeCell ref="Y17:Z18"/>
    <mergeCell ref="AA17:AB18"/>
    <mergeCell ref="AC17:AD18"/>
    <mergeCell ref="M19:N19"/>
    <mergeCell ref="M17:N18"/>
    <mergeCell ref="O17:P18"/>
    <mergeCell ref="Q17:R18"/>
    <mergeCell ref="Q16:R16"/>
    <mergeCell ref="W13:X13"/>
    <mergeCell ref="E14:F15"/>
    <mergeCell ref="G14:H15"/>
    <mergeCell ref="I14:J15"/>
    <mergeCell ref="K14:L15"/>
    <mergeCell ref="M14:N15"/>
    <mergeCell ref="O14:P15"/>
    <mergeCell ref="Q14:R15"/>
    <mergeCell ref="S14:T15"/>
    <mergeCell ref="E16:F16"/>
    <mergeCell ref="G16:H16"/>
    <mergeCell ref="I16:J16"/>
    <mergeCell ref="K16:L16"/>
    <mergeCell ref="M16:N16"/>
    <mergeCell ref="O16:P16"/>
    <mergeCell ref="U14:V15"/>
    <mergeCell ref="W14:X15"/>
    <mergeCell ref="E13:F13"/>
    <mergeCell ref="G13:H13"/>
    <mergeCell ref="I13:J13"/>
    <mergeCell ref="K13:L13"/>
    <mergeCell ref="M13:N13"/>
    <mergeCell ref="O13:P13"/>
    <mergeCell ref="Q13:R13"/>
    <mergeCell ref="S13:T13"/>
    <mergeCell ref="U13:V13"/>
    <mergeCell ref="O10:P10"/>
    <mergeCell ref="Q10:R10"/>
    <mergeCell ref="AL10:AN10"/>
    <mergeCell ref="E11:F12"/>
    <mergeCell ref="G11:H12"/>
    <mergeCell ref="I11:J12"/>
    <mergeCell ref="K11:L12"/>
    <mergeCell ref="M11:N12"/>
    <mergeCell ref="O11:P12"/>
    <mergeCell ref="K7:L7"/>
    <mergeCell ref="C2:C7"/>
    <mergeCell ref="D2:D7"/>
    <mergeCell ref="B2:B7"/>
    <mergeCell ref="E7:F7"/>
    <mergeCell ref="G7:H7"/>
    <mergeCell ref="I7:J7"/>
    <mergeCell ref="Q11:R12"/>
    <mergeCell ref="E8:F9"/>
    <mergeCell ref="G8:H9"/>
    <mergeCell ref="I8:J9"/>
    <mergeCell ref="K8:L9"/>
    <mergeCell ref="E10:F10"/>
    <mergeCell ref="G10:H10"/>
    <mergeCell ref="I10:J10"/>
    <mergeCell ref="K10:L10"/>
    <mergeCell ref="M10:N1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Gurcan Berberoglu</dc:creator>
  <cp:lastModifiedBy>Gurcan Berberoglu</cp:lastModifiedBy>
  <dcterms:created xsi:type="dcterms:W3CDTF">2024-12-18T07:02:33Z</dcterms:created>
  <dcterms:modified xsi:type="dcterms:W3CDTF">2024-12-30T08:33:25Z</dcterms:modified>
</cp:coreProperties>
</file>