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702705FE-3F8B-41AE-A97E-41CAD65084F6}" xr6:coauthVersionLast="47" xr6:coauthVersionMax="47" xr10:uidLastSave="{00000000-0000-0000-0000-000000000000}"/>
  <workbookProtection workbookAlgorithmName="SHA-512" workbookHashValue="C46wJDQQwTr8+885DVzmrfoWqElHWuLECQD4NfEBmphDgmbpkRjakK8LkybXzimarCX58Ar3Z+yRoz1h+l/2Ng==" workbookSaltValue="SY1lmK+v5mU/FdTExQnJwg==" workbookSpinCount="100000" lockStructure="1"/>
  <bookViews>
    <workbookView xWindow="-120" yWindow="-120" windowWidth="29040" windowHeight="15840" xr2:uid="{00000000-000D-0000-FFFF-FFFF00000000}"/>
  </bookViews>
  <sheets>
    <sheet name="Sheet1" sheetId="9" r:id="rId1"/>
    <sheet name="HARF" sheetId="2" state="hidden" r:id="rId2"/>
    <sheet name="Deprem" sheetId="3" state="hidden" r:id="rId3"/>
    <sheet name="Düşey" sheetId="6" state="hidden" r:id="rId4"/>
    <sheet name="Rüzgar" sheetId="7" state="hidden" r:id="rId5"/>
    <sheet name="Numaralandırma" sheetId="8" state="hidden" r:id="rId6"/>
  </sheets>
  <definedNames>
    <definedName name="_xlnm.Print_Area" localSheetId="1">HARF!$A$2:$AO$74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11" i="2" l="1"/>
  <c r="BP39" i="2" s="1"/>
  <c r="BJ10" i="2"/>
  <c r="BP38" i="2" s="1"/>
  <c r="BJ9" i="2"/>
  <c r="BP30" i="2" s="1"/>
  <c r="BJ8" i="2"/>
  <c r="AH17" i="9"/>
  <c r="BJ24" i="2"/>
  <c r="D16" i="3" s="1"/>
  <c r="D37" i="3" s="1"/>
  <c r="P49" i="3" s="1"/>
  <c r="BJ23" i="2"/>
  <c r="D13" i="3" s="1"/>
  <c r="D34" i="3" s="1"/>
  <c r="P46" i="3" s="1"/>
  <c r="BJ20" i="2"/>
  <c r="BJ17" i="2"/>
  <c r="BJ16" i="2"/>
  <c r="BJ15" i="2"/>
  <c r="BJ14" i="2"/>
  <c r="BJ7" i="2"/>
  <c r="BP37" i="2" s="1"/>
  <c r="BJ6" i="2"/>
  <c r="BJ5" i="2"/>
  <c r="CC6" i="2" s="1"/>
  <c r="H2" i="7" s="1"/>
  <c r="G119" i="7" s="1"/>
  <c r="BJ4" i="2"/>
  <c r="BJ48" i="2" s="1"/>
  <c r="BJ55" i="2" s="1"/>
  <c r="AA24" i="9"/>
  <c r="O14" i="9" s="1"/>
  <c r="Z14" i="9" s="1"/>
  <c r="Z12" i="9"/>
  <c r="I13" i="9"/>
  <c r="Z13" i="9"/>
  <c r="AG17" i="9"/>
  <c r="AI37" i="9"/>
  <c r="AI61" i="9" s="1"/>
  <c r="AJ43" i="9"/>
  <c r="AJ67" i="9" s="1"/>
  <c r="M50" i="9"/>
  <c r="AA50" i="9" s="1"/>
  <c r="AD63" i="9"/>
  <c r="BJ25" i="2" s="1"/>
  <c r="D19" i="3" s="1"/>
  <c r="D40" i="3" s="1"/>
  <c r="P52" i="3" s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L13" i="3"/>
  <c r="M13" i="3"/>
  <c r="M34" i="3"/>
  <c r="N13" i="3"/>
  <c r="N34" i="3"/>
  <c r="R13" i="3"/>
  <c r="S13" i="3"/>
  <c r="T13" i="3"/>
  <c r="U13" i="3"/>
  <c r="L14" i="3"/>
  <c r="M14" i="3"/>
  <c r="M35" i="3"/>
  <c r="N14" i="3"/>
  <c r="N35" i="3"/>
  <c r="R14" i="3"/>
  <c r="S14" i="3"/>
  <c r="T14" i="3"/>
  <c r="U14" i="3"/>
  <c r="L15" i="3"/>
  <c r="M15" i="3"/>
  <c r="M36" i="3"/>
  <c r="N15" i="3"/>
  <c r="N36" i="3"/>
  <c r="R15" i="3"/>
  <c r="S15" i="3"/>
  <c r="T15" i="3"/>
  <c r="U15" i="3"/>
  <c r="O16" i="3"/>
  <c r="P16" i="3"/>
  <c r="Q16" i="3"/>
  <c r="R16" i="3"/>
  <c r="S16" i="3"/>
  <c r="T16" i="3"/>
  <c r="U16" i="3"/>
  <c r="O17" i="3"/>
  <c r="P17" i="3"/>
  <c r="Q17" i="3"/>
  <c r="R17" i="3"/>
  <c r="S17" i="3"/>
  <c r="T17" i="3"/>
  <c r="U17" i="3"/>
  <c r="O18" i="3"/>
  <c r="P18" i="3"/>
  <c r="Q18" i="3"/>
  <c r="R18" i="3"/>
  <c r="S18" i="3"/>
  <c r="T18" i="3"/>
  <c r="U18" i="3"/>
  <c r="O19" i="3"/>
  <c r="P19" i="3"/>
  <c r="Q19" i="3"/>
  <c r="U19" i="3"/>
  <c r="O20" i="3"/>
  <c r="P20" i="3"/>
  <c r="Q20" i="3"/>
  <c r="U20" i="3"/>
  <c r="O21" i="3"/>
  <c r="P21" i="3"/>
  <c r="Q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U25" i="3"/>
  <c r="U26" i="3"/>
  <c r="U27" i="3"/>
  <c r="L34" i="3"/>
  <c r="P34" i="3"/>
  <c r="D35" i="3"/>
  <c r="L35" i="3"/>
  <c r="P35" i="3"/>
  <c r="D36" i="3"/>
  <c r="P48" i="3"/>
  <c r="L36" i="3"/>
  <c r="P36" i="3"/>
  <c r="P37" i="3"/>
  <c r="D38" i="3"/>
  <c r="P38" i="3"/>
  <c r="D39" i="3"/>
  <c r="P39" i="3"/>
  <c r="P40" i="3"/>
  <c r="D41" i="3"/>
  <c r="P53" i="3"/>
  <c r="P41" i="3"/>
  <c r="D42" i="3"/>
  <c r="P42" i="3"/>
  <c r="P47" i="3"/>
  <c r="P50" i="3"/>
  <c r="P51" i="3"/>
  <c r="P54" i="3"/>
  <c r="G87" i="3"/>
  <c r="H87" i="3"/>
  <c r="J87" i="3"/>
  <c r="K87" i="3"/>
  <c r="O87" i="3"/>
  <c r="P87" i="3"/>
  <c r="Q87" i="3"/>
  <c r="R87" i="3"/>
  <c r="U87" i="3"/>
  <c r="F88" i="3"/>
  <c r="I88" i="3"/>
  <c r="O88" i="3"/>
  <c r="P88" i="3"/>
  <c r="Q88" i="3"/>
  <c r="R88" i="3"/>
  <c r="U88" i="3"/>
  <c r="F89" i="3"/>
  <c r="I89" i="3"/>
  <c r="M89" i="3"/>
  <c r="N89" i="3"/>
  <c r="O89" i="3"/>
  <c r="P89" i="3"/>
  <c r="Q89" i="3"/>
  <c r="R89" i="3"/>
  <c r="U89" i="3"/>
  <c r="G90" i="3"/>
  <c r="H90" i="3"/>
  <c r="J90" i="3"/>
  <c r="K90" i="3"/>
  <c r="M90" i="3"/>
  <c r="N90" i="3"/>
  <c r="O90" i="3"/>
  <c r="U90" i="3"/>
  <c r="F91" i="3"/>
  <c r="I91" i="3"/>
  <c r="M91" i="3"/>
  <c r="N91" i="3"/>
  <c r="O91" i="3"/>
  <c r="U91" i="3"/>
  <c r="F92" i="3"/>
  <c r="I92" i="3"/>
  <c r="M92" i="3"/>
  <c r="N92" i="3"/>
  <c r="O92" i="3"/>
  <c r="U92" i="3"/>
  <c r="M95" i="3"/>
  <c r="M96" i="3"/>
  <c r="M97" i="3"/>
  <c r="G113" i="3"/>
  <c r="H113" i="3"/>
  <c r="J113" i="3"/>
  <c r="K113" i="3"/>
  <c r="O113" i="3"/>
  <c r="P113" i="3"/>
  <c r="Q113" i="3"/>
  <c r="R113" i="3"/>
  <c r="U113" i="3"/>
  <c r="F114" i="3"/>
  <c r="I114" i="3"/>
  <c r="O114" i="3"/>
  <c r="P114" i="3"/>
  <c r="Q114" i="3"/>
  <c r="R114" i="3"/>
  <c r="U114" i="3"/>
  <c r="F115" i="3"/>
  <c r="I115" i="3"/>
  <c r="M115" i="3"/>
  <c r="N115" i="3"/>
  <c r="O115" i="3"/>
  <c r="P115" i="3"/>
  <c r="Q115" i="3"/>
  <c r="R115" i="3"/>
  <c r="U115" i="3"/>
  <c r="G116" i="3"/>
  <c r="H116" i="3"/>
  <c r="J116" i="3"/>
  <c r="K116" i="3"/>
  <c r="M116" i="3"/>
  <c r="N116" i="3"/>
  <c r="O116" i="3"/>
  <c r="U116" i="3"/>
  <c r="F117" i="3"/>
  <c r="I117" i="3"/>
  <c r="M117" i="3"/>
  <c r="N117" i="3"/>
  <c r="O117" i="3"/>
  <c r="U117" i="3"/>
  <c r="F118" i="3"/>
  <c r="I118" i="3"/>
  <c r="M118" i="3"/>
  <c r="N118" i="3"/>
  <c r="O118" i="3"/>
  <c r="U118" i="3"/>
  <c r="G138" i="3"/>
  <c r="H138" i="3"/>
  <c r="J138" i="3"/>
  <c r="K138" i="3"/>
  <c r="O138" i="3"/>
  <c r="P138" i="3"/>
  <c r="Q138" i="3"/>
  <c r="R138" i="3"/>
  <c r="U138" i="3"/>
  <c r="F139" i="3"/>
  <c r="I139" i="3"/>
  <c r="O139" i="3"/>
  <c r="P139" i="3"/>
  <c r="Q139" i="3"/>
  <c r="R139" i="3"/>
  <c r="U139" i="3"/>
  <c r="F140" i="3"/>
  <c r="I140" i="3"/>
  <c r="M140" i="3"/>
  <c r="N140" i="3"/>
  <c r="O140" i="3"/>
  <c r="P140" i="3"/>
  <c r="Q140" i="3"/>
  <c r="R140" i="3"/>
  <c r="U140" i="3"/>
  <c r="G141" i="3"/>
  <c r="H141" i="3"/>
  <c r="J141" i="3"/>
  <c r="K141" i="3"/>
  <c r="M141" i="3"/>
  <c r="N141" i="3"/>
  <c r="O141" i="3"/>
  <c r="U141" i="3"/>
  <c r="F142" i="3"/>
  <c r="I142" i="3"/>
  <c r="M142" i="3"/>
  <c r="N142" i="3"/>
  <c r="O142" i="3"/>
  <c r="U142" i="3"/>
  <c r="F143" i="3"/>
  <c r="I143" i="3"/>
  <c r="M143" i="3"/>
  <c r="N143" i="3"/>
  <c r="O143" i="3"/>
  <c r="U143" i="3"/>
  <c r="G163" i="3"/>
  <c r="H163" i="3"/>
  <c r="J163" i="3"/>
  <c r="K163" i="3"/>
  <c r="O163" i="3"/>
  <c r="P163" i="3"/>
  <c r="Q163" i="3"/>
  <c r="R163" i="3"/>
  <c r="U163" i="3"/>
  <c r="F164" i="3"/>
  <c r="I164" i="3"/>
  <c r="O164" i="3"/>
  <c r="P164" i="3"/>
  <c r="Q164" i="3"/>
  <c r="R164" i="3"/>
  <c r="U164" i="3"/>
  <c r="F165" i="3"/>
  <c r="I165" i="3"/>
  <c r="M165" i="3"/>
  <c r="N165" i="3"/>
  <c r="O165" i="3"/>
  <c r="P165" i="3"/>
  <c r="Q165" i="3"/>
  <c r="R165" i="3"/>
  <c r="U165" i="3"/>
  <c r="G166" i="3"/>
  <c r="H166" i="3"/>
  <c r="J166" i="3"/>
  <c r="K166" i="3"/>
  <c r="M166" i="3"/>
  <c r="N166" i="3"/>
  <c r="O166" i="3"/>
  <c r="U166" i="3"/>
  <c r="F167" i="3"/>
  <c r="I167" i="3"/>
  <c r="M167" i="3"/>
  <c r="N167" i="3"/>
  <c r="O167" i="3"/>
  <c r="U167" i="3"/>
  <c r="F168" i="3"/>
  <c r="I168" i="3"/>
  <c r="M168" i="3"/>
  <c r="N168" i="3"/>
  <c r="O168" i="3"/>
  <c r="U168" i="3"/>
  <c r="M174" i="3"/>
  <c r="M175" i="3"/>
  <c r="M176" i="3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L13" i="6"/>
  <c r="M13" i="6"/>
  <c r="N13" i="6"/>
  <c r="R13" i="6"/>
  <c r="S13" i="6"/>
  <c r="T13" i="6"/>
  <c r="U13" i="6"/>
  <c r="L14" i="6"/>
  <c r="M14" i="6"/>
  <c r="N14" i="6"/>
  <c r="R14" i="6"/>
  <c r="S14" i="6"/>
  <c r="T14" i="6"/>
  <c r="U14" i="6"/>
  <c r="L15" i="6"/>
  <c r="M15" i="6"/>
  <c r="M36" i="6"/>
  <c r="N15" i="6"/>
  <c r="N36" i="6"/>
  <c r="R15" i="6"/>
  <c r="S15" i="6"/>
  <c r="T15" i="6"/>
  <c r="U15" i="6"/>
  <c r="O16" i="6"/>
  <c r="P16" i="6"/>
  <c r="Q16" i="6"/>
  <c r="R16" i="6"/>
  <c r="S16" i="6"/>
  <c r="T16" i="6"/>
  <c r="U16" i="6"/>
  <c r="O17" i="6"/>
  <c r="P17" i="6"/>
  <c r="Q17" i="6"/>
  <c r="R17" i="6"/>
  <c r="S17" i="6"/>
  <c r="T17" i="6"/>
  <c r="U17" i="6"/>
  <c r="O18" i="6"/>
  <c r="P18" i="6"/>
  <c r="Q18" i="6"/>
  <c r="R18" i="6"/>
  <c r="S18" i="6"/>
  <c r="T18" i="6"/>
  <c r="U18" i="6"/>
  <c r="O19" i="6"/>
  <c r="P19" i="6"/>
  <c r="Q19" i="6"/>
  <c r="U19" i="6"/>
  <c r="O20" i="6"/>
  <c r="P20" i="6"/>
  <c r="Q20" i="6"/>
  <c r="U20" i="6"/>
  <c r="O21" i="6"/>
  <c r="P21" i="6"/>
  <c r="Q21" i="6"/>
  <c r="U21" i="6"/>
  <c r="R22" i="6"/>
  <c r="S22" i="6"/>
  <c r="T22" i="6"/>
  <c r="U22" i="6"/>
  <c r="R23" i="6"/>
  <c r="S23" i="6"/>
  <c r="T23" i="6"/>
  <c r="U23" i="6"/>
  <c r="R24" i="6"/>
  <c r="S24" i="6"/>
  <c r="T24" i="6"/>
  <c r="U24" i="6"/>
  <c r="U25" i="6"/>
  <c r="U26" i="6"/>
  <c r="U27" i="6"/>
  <c r="D34" i="6"/>
  <c r="L34" i="6"/>
  <c r="M34" i="6"/>
  <c r="N34" i="6"/>
  <c r="P34" i="6"/>
  <c r="L35" i="6"/>
  <c r="M35" i="6"/>
  <c r="N35" i="6"/>
  <c r="P35" i="6"/>
  <c r="L36" i="6"/>
  <c r="P36" i="6"/>
  <c r="D37" i="6"/>
  <c r="P49" i="6"/>
  <c r="P37" i="6"/>
  <c r="P38" i="6"/>
  <c r="D39" i="6"/>
  <c r="P39" i="6"/>
  <c r="D40" i="6"/>
  <c r="P40" i="6"/>
  <c r="P41" i="6"/>
  <c r="P42" i="6"/>
  <c r="P46" i="6"/>
  <c r="P51" i="6"/>
  <c r="P52" i="6"/>
  <c r="G87" i="6"/>
  <c r="H87" i="6"/>
  <c r="J87" i="6"/>
  <c r="K87" i="6"/>
  <c r="O87" i="6"/>
  <c r="P87" i="6"/>
  <c r="Q87" i="6"/>
  <c r="R87" i="6"/>
  <c r="U87" i="6"/>
  <c r="F88" i="6"/>
  <c r="I88" i="6"/>
  <c r="O88" i="6"/>
  <c r="P88" i="6"/>
  <c r="Q88" i="6"/>
  <c r="R88" i="6"/>
  <c r="U88" i="6"/>
  <c r="F89" i="6"/>
  <c r="I89" i="6"/>
  <c r="M89" i="6"/>
  <c r="N89" i="6"/>
  <c r="O89" i="6"/>
  <c r="P89" i="6"/>
  <c r="Q89" i="6"/>
  <c r="R89" i="6"/>
  <c r="U89" i="6"/>
  <c r="G90" i="6"/>
  <c r="H90" i="6"/>
  <c r="J90" i="6"/>
  <c r="K90" i="6"/>
  <c r="M90" i="6"/>
  <c r="N90" i="6"/>
  <c r="O90" i="6"/>
  <c r="U90" i="6"/>
  <c r="F91" i="6"/>
  <c r="I91" i="6"/>
  <c r="M91" i="6"/>
  <c r="N91" i="6"/>
  <c r="O91" i="6"/>
  <c r="U91" i="6"/>
  <c r="F92" i="6"/>
  <c r="I92" i="6"/>
  <c r="M92" i="6"/>
  <c r="N92" i="6"/>
  <c r="O92" i="6"/>
  <c r="U92" i="6"/>
  <c r="M95" i="6"/>
  <c r="M96" i="6"/>
  <c r="M97" i="6"/>
  <c r="G113" i="6"/>
  <c r="H113" i="6"/>
  <c r="J113" i="6"/>
  <c r="K113" i="6"/>
  <c r="O113" i="6"/>
  <c r="P113" i="6"/>
  <c r="Q113" i="6"/>
  <c r="R113" i="6"/>
  <c r="U113" i="6"/>
  <c r="F114" i="6"/>
  <c r="I114" i="6"/>
  <c r="O114" i="6"/>
  <c r="P114" i="6"/>
  <c r="Q114" i="6"/>
  <c r="R114" i="6"/>
  <c r="U114" i="6"/>
  <c r="F115" i="6"/>
  <c r="I115" i="6"/>
  <c r="M115" i="6"/>
  <c r="N115" i="6"/>
  <c r="O115" i="6"/>
  <c r="P115" i="6"/>
  <c r="Q115" i="6"/>
  <c r="R115" i="6"/>
  <c r="U115" i="6"/>
  <c r="G116" i="6"/>
  <c r="H116" i="6"/>
  <c r="J116" i="6"/>
  <c r="K116" i="6"/>
  <c r="M116" i="6"/>
  <c r="N116" i="6"/>
  <c r="O116" i="6"/>
  <c r="U116" i="6"/>
  <c r="F117" i="6"/>
  <c r="I117" i="6"/>
  <c r="M117" i="6"/>
  <c r="N117" i="6"/>
  <c r="O117" i="6"/>
  <c r="U117" i="6"/>
  <c r="F118" i="6"/>
  <c r="I118" i="6"/>
  <c r="M118" i="6"/>
  <c r="N118" i="6"/>
  <c r="O118" i="6"/>
  <c r="U118" i="6"/>
  <c r="I140" i="6"/>
  <c r="J140" i="6"/>
  <c r="K140" i="6"/>
  <c r="L140" i="6"/>
  <c r="I141" i="6"/>
  <c r="J141" i="6"/>
  <c r="K141" i="6"/>
  <c r="L141" i="6"/>
  <c r="G142" i="6"/>
  <c r="H142" i="6"/>
  <c r="I142" i="6"/>
  <c r="J142" i="6"/>
  <c r="K142" i="6"/>
  <c r="L142" i="6"/>
  <c r="G143" i="6"/>
  <c r="H143" i="6"/>
  <c r="I143" i="6"/>
  <c r="G144" i="6"/>
  <c r="H144" i="6"/>
  <c r="I144" i="6"/>
  <c r="G145" i="6"/>
  <c r="H145" i="6"/>
  <c r="I145" i="6"/>
  <c r="G163" i="6"/>
  <c r="H163" i="6"/>
  <c r="J163" i="6"/>
  <c r="K163" i="6"/>
  <c r="O163" i="6"/>
  <c r="P163" i="6"/>
  <c r="Q163" i="6"/>
  <c r="R163" i="6"/>
  <c r="U163" i="6"/>
  <c r="F164" i="6"/>
  <c r="I164" i="6"/>
  <c r="O164" i="6"/>
  <c r="P164" i="6"/>
  <c r="Q164" i="6"/>
  <c r="R164" i="6"/>
  <c r="U164" i="6"/>
  <c r="F165" i="6"/>
  <c r="I165" i="6"/>
  <c r="M165" i="6"/>
  <c r="N165" i="6"/>
  <c r="O165" i="6"/>
  <c r="P165" i="6"/>
  <c r="Q165" i="6"/>
  <c r="R165" i="6"/>
  <c r="U165" i="6"/>
  <c r="G166" i="6"/>
  <c r="H166" i="6"/>
  <c r="J166" i="6"/>
  <c r="K166" i="6"/>
  <c r="M166" i="6"/>
  <c r="N166" i="6"/>
  <c r="O166" i="6"/>
  <c r="U166" i="6"/>
  <c r="F167" i="6"/>
  <c r="I167" i="6"/>
  <c r="M167" i="6"/>
  <c r="N167" i="6"/>
  <c r="O167" i="6"/>
  <c r="U167" i="6"/>
  <c r="F168" i="6"/>
  <c r="I168" i="6"/>
  <c r="M168" i="6"/>
  <c r="N168" i="6"/>
  <c r="O168" i="6"/>
  <c r="U168" i="6"/>
  <c r="I190" i="6"/>
  <c r="J190" i="6"/>
  <c r="K190" i="6"/>
  <c r="L190" i="6"/>
  <c r="N190" i="6"/>
  <c r="I191" i="6"/>
  <c r="J191" i="6"/>
  <c r="K191" i="6"/>
  <c r="L191" i="6"/>
  <c r="G192" i="6"/>
  <c r="H192" i="6"/>
  <c r="I192" i="6"/>
  <c r="J192" i="6"/>
  <c r="K192" i="6"/>
  <c r="L192" i="6"/>
  <c r="G193" i="6"/>
  <c r="H193" i="6"/>
  <c r="I193" i="6"/>
  <c r="N193" i="6"/>
  <c r="G194" i="6"/>
  <c r="H194" i="6"/>
  <c r="I194" i="6"/>
  <c r="G195" i="6"/>
  <c r="H195" i="6"/>
  <c r="I195" i="6"/>
  <c r="K195" i="6"/>
  <c r="G214" i="6"/>
  <c r="H214" i="6"/>
  <c r="J214" i="6"/>
  <c r="K214" i="6"/>
  <c r="O214" i="6"/>
  <c r="P214" i="6"/>
  <c r="Q214" i="6"/>
  <c r="R214" i="6"/>
  <c r="U214" i="6"/>
  <c r="F215" i="6"/>
  <c r="I215" i="6"/>
  <c r="O215" i="6"/>
  <c r="P215" i="6"/>
  <c r="Q215" i="6"/>
  <c r="R215" i="6"/>
  <c r="U215" i="6"/>
  <c r="F216" i="6"/>
  <c r="I216" i="6"/>
  <c r="M216" i="6"/>
  <c r="N216" i="6"/>
  <c r="O216" i="6"/>
  <c r="P216" i="6"/>
  <c r="Q216" i="6"/>
  <c r="R216" i="6"/>
  <c r="U216" i="6"/>
  <c r="G217" i="6"/>
  <c r="H217" i="6"/>
  <c r="J217" i="6"/>
  <c r="K217" i="6"/>
  <c r="M217" i="6"/>
  <c r="N217" i="6"/>
  <c r="O217" i="6"/>
  <c r="U217" i="6"/>
  <c r="F218" i="6"/>
  <c r="I218" i="6"/>
  <c r="M218" i="6"/>
  <c r="N218" i="6"/>
  <c r="O218" i="6"/>
  <c r="U218" i="6"/>
  <c r="F219" i="6"/>
  <c r="I219" i="6"/>
  <c r="M219" i="6"/>
  <c r="N219" i="6"/>
  <c r="O219" i="6"/>
  <c r="U219" i="6"/>
  <c r="M225" i="6"/>
  <c r="M226" i="6"/>
  <c r="M227" i="6"/>
  <c r="T5" i="2"/>
  <c r="Z13" i="2"/>
  <c r="I14" i="2"/>
  <c r="O15" i="2"/>
  <c r="Z15" i="2"/>
  <c r="AH18" i="2"/>
  <c r="DA28" i="2"/>
  <c r="DB28" i="2"/>
  <c r="DC28" i="2"/>
  <c r="DD28" i="2"/>
  <c r="DM28" i="2"/>
  <c r="BP29" i="2"/>
  <c r="DA29" i="2"/>
  <c r="DB29" i="2"/>
  <c r="DC29" i="2"/>
  <c r="DD29" i="2"/>
  <c r="DM29" i="2"/>
  <c r="CY30" i="2"/>
  <c r="CZ30" i="2"/>
  <c r="DA30" i="2"/>
  <c r="DB30" i="2"/>
  <c r="DC30" i="2"/>
  <c r="DD30" i="2"/>
  <c r="DM30" i="2"/>
  <c r="DG27" i="2" a="1"/>
  <c r="CO31" i="2"/>
  <c r="CY31" i="2"/>
  <c r="CZ31" i="2"/>
  <c r="DA31" i="2"/>
  <c r="DD31" i="2"/>
  <c r="DM31" i="2"/>
  <c r="CO32" i="2"/>
  <c r="DD32" i="2"/>
  <c r="CY32" i="2"/>
  <c r="CZ32" i="2"/>
  <c r="DA32" i="2"/>
  <c r="DM32" i="2"/>
  <c r="CM33" i="2"/>
  <c r="CN33" i="2"/>
  <c r="DC33" i="2"/>
  <c r="CO33" i="2"/>
  <c r="CY33" i="2"/>
  <c r="CZ33" i="2"/>
  <c r="DA33" i="2"/>
  <c r="DB33" i="2"/>
  <c r="DM33" i="2"/>
  <c r="AI34" i="2"/>
  <c r="N35" i="2"/>
  <c r="Z35" i="2"/>
  <c r="Z37" i="2"/>
  <c r="DA37" i="2"/>
  <c r="DB37" i="2"/>
  <c r="DC37" i="2"/>
  <c r="DD37" i="2"/>
  <c r="DM37" i="2"/>
  <c r="DA38" i="2"/>
  <c r="DB38" i="2"/>
  <c r="DC38" i="2"/>
  <c r="DD38" i="2"/>
  <c r="DM38" i="2"/>
  <c r="CY39" i="2"/>
  <c r="CZ39" i="2"/>
  <c r="DA39" i="2"/>
  <c r="DB39" i="2"/>
  <c r="DC39" i="2"/>
  <c r="DD39" i="2"/>
  <c r="DM39" i="2"/>
  <c r="F40" i="2"/>
  <c r="AH40" i="2"/>
  <c r="AJ40" i="2"/>
  <c r="CO40" i="2"/>
  <c r="CY40" i="2"/>
  <c r="CZ40" i="2"/>
  <c r="DA40" i="2"/>
  <c r="DM40" i="2"/>
  <c r="CO41" i="2"/>
  <c r="CY41" i="2"/>
  <c r="CZ41" i="2"/>
  <c r="DA41" i="2"/>
  <c r="DD41" i="2"/>
  <c r="DM41" i="2"/>
  <c r="CM42" i="2"/>
  <c r="CN42" i="2"/>
  <c r="CO42" i="2"/>
  <c r="CY42" i="2"/>
  <c r="CZ42" i="2"/>
  <c r="DA42" i="2"/>
  <c r="DB42" i="2"/>
  <c r="DC42" i="2"/>
  <c r="DM42" i="2"/>
  <c r="DA46" i="2"/>
  <c r="DB46" i="2"/>
  <c r="DC46" i="2"/>
  <c r="DD46" i="2"/>
  <c r="DM46" i="2"/>
  <c r="M47" i="2"/>
  <c r="N37" i="2"/>
  <c r="AA47" i="2"/>
  <c r="AA71" i="2"/>
  <c r="Z61" i="2"/>
  <c r="BP47" i="2"/>
  <c r="DA47" i="2"/>
  <c r="DB47" i="2"/>
  <c r="DC47" i="2"/>
  <c r="DD47" i="2"/>
  <c r="DM47" i="2"/>
  <c r="CY48" i="2"/>
  <c r="CZ48" i="2"/>
  <c r="DA48" i="2"/>
  <c r="DB48" i="2"/>
  <c r="DC48" i="2"/>
  <c r="DD48" i="2"/>
  <c r="DM48" i="2"/>
  <c r="DG45" i="2" a="1"/>
  <c r="T49" i="2"/>
  <c r="CO49" i="2"/>
  <c r="CY49" i="2"/>
  <c r="CZ49" i="2"/>
  <c r="DA49" i="2"/>
  <c r="DD49" i="2"/>
  <c r="DM49" i="2"/>
  <c r="ED49" i="2"/>
  <c r="ED49" i="2" a="1"/>
  <c r="ED51" i="2"/>
  <c r="CO50" i="2"/>
  <c r="CY50" i="2"/>
  <c r="CZ50" i="2"/>
  <c r="DA50" i="2"/>
  <c r="DD50" i="2"/>
  <c r="DM50" i="2"/>
  <c r="ED50" i="2"/>
  <c r="CM51" i="2"/>
  <c r="CN51" i="2"/>
  <c r="CO51" i="2"/>
  <c r="CY51" i="2"/>
  <c r="CZ51" i="2"/>
  <c r="DA51" i="2"/>
  <c r="DC51" i="2"/>
  <c r="DD51" i="2"/>
  <c r="DM51" i="2"/>
  <c r="DA55" i="2"/>
  <c r="DB55" i="2"/>
  <c r="DC55" i="2"/>
  <c r="DD55" i="2"/>
  <c r="DM55" i="2"/>
  <c r="BP56" i="2"/>
  <c r="DA56" i="2"/>
  <c r="DB56" i="2"/>
  <c r="DC56" i="2"/>
  <c r="DD56" i="2"/>
  <c r="DM56" i="2"/>
  <c r="CY57" i="2"/>
  <c r="CZ57" i="2"/>
  <c r="DA57" i="2"/>
  <c r="DB57" i="2"/>
  <c r="DC57" i="2"/>
  <c r="DD57" i="2"/>
  <c r="DM57" i="2"/>
  <c r="AI58" i="2"/>
  <c r="CO58" i="2"/>
  <c r="CY58" i="2"/>
  <c r="CZ58" i="2"/>
  <c r="DA58" i="2"/>
  <c r="DM58" i="2"/>
  <c r="M59" i="2"/>
  <c r="Y59" i="2"/>
  <c r="CO59" i="2"/>
  <c r="CY59" i="2"/>
  <c r="CZ59" i="2"/>
  <c r="DA59" i="2"/>
  <c r="DM59" i="2"/>
  <c r="DG54" i="2" a="1"/>
  <c r="AD60" i="2"/>
  <c r="CM60" i="2"/>
  <c r="CN60" i="2"/>
  <c r="CO60" i="2"/>
  <c r="CY60" i="2"/>
  <c r="CZ60" i="2"/>
  <c r="DA60" i="2"/>
  <c r="DB60" i="2"/>
  <c r="DD60" i="2"/>
  <c r="DM60" i="2"/>
  <c r="N61" i="2"/>
  <c r="F64" i="2"/>
  <c r="AH64" i="2"/>
  <c r="AJ64" i="2"/>
  <c r="M71" i="2"/>
  <c r="T73" i="2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L16" i="7"/>
  <c r="M16" i="7"/>
  <c r="N16" i="7"/>
  <c r="R16" i="7"/>
  <c r="S16" i="7"/>
  <c r="T16" i="7"/>
  <c r="U16" i="7"/>
  <c r="L17" i="7"/>
  <c r="L38" i="7"/>
  <c r="M17" i="7"/>
  <c r="M38" i="7"/>
  <c r="N17" i="7"/>
  <c r="N38" i="7"/>
  <c r="R17" i="7"/>
  <c r="S17" i="7"/>
  <c r="T17" i="7"/>
  <c r="U17" i="7"/>
  <c r="L18" i="7"/>
  <c r="L39" i="7"/>
  <c r="M18" i="7"/>
  <c r="N18" i="7"/>
  <c r="N39" i="7"/>
  <c r="R18" i="7"/>
  <c r="S18" i="7"/>
  <c r="T18" i="7"/>
  <c r="U18" i="7"/>
  <c r="O19" i="7"/>
  <c r="P19" i="7"/>
  <c r="Q19" i="7"/>
  <c r="R19" i="7"/>
  <c r="S19" i="7"/>
  <c r="T19" i="7"/>
  <c r="U19" i="7"/>
  <c r="O20" i="7"/>
  <c r="P20" i="7"/>
  <c r="Q20" i="7"/>
  <c r="R20" i="7"/>
  <c r="S20" i="7"/>
  <c r="T20" i="7"/>
  <c r="U20" i="7"/>
  <c r="O21" i="7"/>
  <c r="P21" i="7"/>
  <c r="Q21" i="7"/>
  <c r="R21" i="7"/>
  <c r="S21" i="7"/>
  <c r="T21" i="7"/>
  <c r="U21" i="7"/>
  <c r="O22" i="7"/>
  <c r="P22" i="7"/>
  <c r="Q22" i="7"/>
  <c r="U22" i="7"/>
  <c r="O23" i="7"/>
  <c r="P23" i="7"/>
  <c r="Q23" i="7"/>
  <c r="U23" i="7"/>
  <c r="O24" i="7"/>
  <c r="P24" i="7"/>
  <c r="Q24" i="7"/>
  <c r="U24" i="7"/>
  <c r="R25" i="7"/>
  <c r="S25" i="7"/>
  <c r="T25" i="7"/>
  <c r="U25" i="7"/>
  <c r="R26" i="7"/>
  <c r="S26" i="7"/>
  <c r="T26" i="7"/>
  <c r="U26" i="7"/>
  <c r="R27" i="7"/>
  <c r="S27" i="7"/>
  <c r="T27" i="7"/>
  <c r="U27" i="7"/>
  <c r="U28" i="7"/>
  <c r="Q29" i="7"/>
  <c r="U29" i="7"/>
  <c r="U30" i="7"/>
  <c r="L37" i="7"/>
  <c r="M37" i="7"/>
  <c r="N37" i="7"/>
  <c r="P37" i="7"/>
  <c r="P38" i="7"/>
  <c r="M39" i="7"/>
  <c r="P39" i="7"/>
  <c r="P40" i="7"/>
  <c r="P41" i="7"/>
  <c r="P42" i="7"/>
  <c r="P43" i="7"/>
  <c r="P44" i="7"/>
  <c r="P45" i="7"/>
  <c r="G91" i="7"/>
  <c r="H91" i="7"/>
  <c r="J91" i="7"/>
  <c r="K91" i="7"/>
  <c r="O91" i="7"/>
  <c r="P91" i="7"/>
  <c r="Q91" i="7"/>
  <c r="R91" i="7"/>
  <c r="U91" i="7"/>
  <c r="F92" i="7"/>
  <c r="I92" i="7"/>
  <c r="O92" i="7"/>
  <c r="P92" i="7"/>
  <c r="Q92" i="7"/>
  <c r="R92" i="7"/>
  <c r="U92" i="7"/>
  <c r="F93" i="7"/>
  <c r="I93" i="7"/>
  <c r="M93" i="7"/>
  <c r="N93" i="7"/>
  <c r="O93" i="7"/>
  <c r="P93" i="7"/>
  <c r="Q93" i="7"/>
  <c r="R93" i="7"/>
  <c r="U93" i="7"/>
  <c r="G94" i="7"/>
  <c r="H94" i="7"/>
  <c r="J94" i="7"/>
  <c r="K94" i="7"/>
  <c r="M94" i="7"/>
  <c r="N94" i="7"/>
  <c r="O94" i="7"/>
  <c r="R94" i="7"/>
  <c r="U94" i="7"/>
  <c r="F95" i="7"/>
  <c r="I95" i="7"/>
  <c r="M95" i="7"/>
  <c r="N95" i="7"/>
  <c r="O95" i="7"/>
  <c r="R95" i="7"/>
  <c r="U95" i="7"/>
  <c r="F96" i="7"/>
  <c r="I96" i="7"/>
  <c r="M96" i="7"/>
  <c r="N96" i="7"/>
  <c r="O96" i="7"/>
  <c r="P96" i="7"/>
  <c r="Q96" i="7"/>
  <c r="R96" i="7"/>
  <c r="U96" i="7"/>
  <c r="M99" i="7"/>
  <c r="M100" i="7"/>
  <c r="M101" i="7"/>
  <c r="H124" i="7"/>
  <c r="H127" i="7"/>
  <c r="G138" i="7"/>
  <c r="H138" i="7"/>
  <c r="J138" i="7"/>
  <c r="K138" i="7"/>
  <c r="O138" i="7"/>
  <c r="P138" i="7"/>
  <c r="Q138" i="7"/>
  <c r="R138" i="7"/>
  <c r="U138" i="7"/>
  <c r="F139" i="7"/>
  <c r="I139" i="7"/>
  <c r="O139" i="7"/>
  <c r="P139" i="7"/>
  <c r="Q139" i="7"/>
  <c r="R139" i="7"/>
  <c r="U139" i="7"/>
  <c r="F140" i="7"/>
  <c r="I140" i="7"/>
  <c r="M140" i="7"/>
  <c r="N140" i="7"/>
  <c r="O140" i="7"/>
  <c r="P140" i="7"/>
  <c r="Q140" i="7"/>
  <c r="R140" i="7"/>
  <c r="U140" i="7"/>
  <c r="G141" i="7"/>
  <c r="H141" i="7"/>
  <c r="J141" i="7"/>
  <c r="K141" i="7"/>
  <c r="M141" i="7"/>
  <c r="N141" i="7"/>
  <c r="O141" i="7"/>
  <c r="R141" i="7"/>
  <c r="U141" i="7"/>
  <c r="F142" i="7"/>
  <c r="I142" i="7"/>
  <c r="M142" i="7"/>
  <c r="N142" i="7"/>
  <c r="O142" i="7"/>
  <c r="R142" i="7"/>
  <c r="U142" i="7"/>
  <c r="F143" i="7"/>
  <c r="I143" i="7"/>
  <c r="M143" i="7"/>
  <c r="N143" i="7"/>
  <c r="O143" i="7"/>
  <c r="P143" i="7"/>
  <c r="Q143" i="7"/>
  <c r="R143" i="7"/>
  <c r="U143" i="7"/>
  <c r="H170" i="7"/>
  <c r="H173" i="7"/>
  <c r="G179" i="7"/>
  <c r="H179" i="7"/>
  <c r="J179" i="7"/>
  <c r="K179" i="7"/>
  <c r="O179" i="7"/>
  <c r="P179" i="7"/>
  <c r="Q179" i="7"/>
  <c r="R179" i="7"/>
  <c r="U179" i="7"/>
  <c r="F180" i="7"/>
  <c r="I180" i="7"/>
  <c r="O180" i="7"/>
  <c r="P180" i="7"/>
  <c r="Q180" i="7"/>
  <c r="R180" i="7"/>
  <c r="U180" i="7"/>
  <c r="F181" i="7"/>
  <c r="I181" i="7"/>
  <c r="M181" i="7"/>
  <c r="N181" i="7"/>
  <c r="O181" i="7"/>
  <c r="P181" i="7"/>
  <c r="Q181" i="7"/>
  <c r="R181" i="7"/>
  <c r="U181" i="7"/>
  <c r="G182" i="7"/>
  <c r="H182" i="7"/>
  <c r="J182" i="7"/>
  <c r="K182" i="7"/>
  <c r="M182" i="7"/>
  <c r="N182" i="7"/>
  <c r="O182" i="7"/>
  <c r="R182" i="7"/>
  <c r="U182" i="7"/>
  <c r="F183" i="7"/>
  <c r="I183" i="7"/>
  <c r="M183" i="7"/>
  <c r="N183" i="7"/>
  <c r="O183" i="7"/>
  <c r="R183" i="7"/>
  <c r="U183" i="7"/>
  <c r="F184" i="7"/>
  <c r="I184" i="7"/>
  <c r="M184" i="7"/>
  <c r="N184" i="7"/>
  <c r="O184" i="7"/>
  <c r="P184" i="7"/>
  <c r="Q184" i="7"/>
  <c r="R184" i="7"/>
  <c r="U184" i="7"/>
  <c r="H211" i="7"/>
  <c r="H214" i="7"/>
  <c r="G221" i="7"/>
  <c r="H221" i="7"/>
  <c r="J221" i="7"/>
  <c r="K221" i="7"/>
  <c r="O221" i="7"/>
  <c r="P221" i="7"/>
  <c r="Q221" i="7"/>
  <c r="R221" i="7"/>
  <c r="U221" i="7"/>
  <c r="F222" i="7"/>
  <c r="I222" i="7"/>
  <c r="O222" i="7"/>
  <c r="P222" i="7"/>
  <c r="Q222" i="7"/>
  <c r="R222" i="7"/>
  <c r="U222" i="7"/>
  <c r="F223" i="7"/>
  <c r="I223" i="7"/>
  <c r="M223" i="7"/>
  <c r="N223" i="7"/>
  <c r="O223" i="7"/>
  <c r="P223" i="7"/>
  <c r="Q223" i="7"/>
  <c r="R223" i="7"/>
  <c r="U223" i="7"/>
  <c r="G224" i="7"/>
  <c r="H224" i="7"/>
  <c r="J224" i="7"/>
  <c r="K224" i="7"/>
  <c r="M224" i="7"/>
  <c r="N224" i="7"/>
  <c r="O224" i="7"/>
  <c r="U224" i="7"/>
  <c r="F225" i="7"/>
  <c r="I225" i="7"/>
  <c r="M225" i="7"/>
  <c r="N225" i="7"/>
  <c r="O225" i="7"/>
  <c r="U225" i="7"/>
  <c r="F226" i="7"/>
  <c r="I226" i="7"/>
  <c r="M226" i="7"/>
  <c r="N226" i="7"/>
  <c r="O226" i="7"/>
  <c r="P226" i="7"/>
  <c r="Q226" i="7"/>
  <c r="R226" i="7"/>
  <c r="U226" i="7"/>
  <c r="M232" i="7"/>
  <c r="M233" i="7"/>
  <c r="M234" i="7"/>
  <c r="H254" i="7"/>
  <c r="H257" i="7"/>
  <c r="DI54" i="2"/>
  <c r="DK54" i="2"/>
  <c r="DH54" i="2"/>
  <c r="DJ54" i="2"/>
  <c r="DL54" i="2"/>
  <c r="DG54" i="2"/>
  <c r="R167" i="3"/>
  <c r="R218" i="6"/>
  <c r="DD59" i="2"/>
  <c r="R225" i="7"/>
  <c r="R166" i="3"/>
  <c r="R217" i="6"/>
  <c r="DD58" i="2"/>
  <c r="R224" i="7"/>
  <c r="Q27" i="3"/>
  <c r="Q27" i="6"/>
  <c r="Q30" i="7"/>
  <c r="R168" i="3"/>
  <c r="R219" i="6"/>
  <c r="DI45" i="2"/>
  <c r="DJ45" i="2"/>
  <c r="DK45" i="2"/>
  <c r="DL45" i="2"/>
  <c r="DG45" i="2"/>
  <c r="DH45" i="2"/>
  <c r="J60" i="2"/>
  <c r="P143" i="3"/>
  <c r="J195" i="6"/>
  <c r="P168" i="6"/>
  <c r="DB51" i="2"/>
  <c r="R118" i="3"/>
  <c r="R118" i="6"/>
  <c r="L145" i="6"/>
  <c r="DD42" i="2"/>
  <c r="R116" i="3"/>
  <c r="R116" i="6"/>
  <c r="L143" i="6"/>
  <c r="DD40" i="2"/>
  <c r="DG27" i="2"/>
  <c r="DH27" i="2"/>
  <c r="DI27" i="2"/>
  <c r="DK27" i="2"/>
  <c r="DL27" i="2"/>
  <c r="Q168" i="3"/>
  <c r="Q219" i="6"/>
  <c r="DC60" i="2"/>
  <c r="Q25" i="3"/>
  <c r="Q25" i="6"/>
  <c r="DG36" i="2" a="1"/>
  <c r="Q28" i="7"/>
  <c r="P168" i="3"/>
  <c r="P219" i="6"/>
  <c r="Q26" i="3"/>
  <c r="Q26" i="6"/>
  <c r="R143" i="3"/>
  <c r="R168" i="6"/>
  <c r="L195" i="6"/>
  <c r="DJ27" i="2"/>
  <c r="J36" i="2"/>
  <c r="Q118" i="3"/>
  <c r="Q118" i="6"/>
  <c r="K145" i="6"/>
  <c r="P118" i="3"/>
  <c r="J145" i="6"/>
  <c r="R92" i="3"/>
  <c r="DD33" i="2"/>
  <c r="R92" i="6"/>
  <c r="Q143" i="3"/>
  <c r="Q168" i="6"/>
  <c r="R142" i="3"/>
  <c r="R167" i="6"/>
  <c r="L194" i="6"/>
  <c r="R117" i="3"/>
  <c r="R117" i="6"/>
  <c r="L144" i="6"/>
  <c r="Q92" i="3"/>
  <c r="Q92" i="6"/>
  <c r="R91" i="3"/>
  <c r="R91" i="6"/>
  <c r="R90" i="3"/>
  <c r="R90" i="6"/>
  <c r="R141" i="3"/>
  <c r="L193" i="6"/>
  <c r="R166" i="6"/>
  <c r="P92" i="3"/>
  <c r="P92" i="6"/>
  <c r="P118" i="6"/>
  <c r="DI36" i="2"/>
  <c r="DJ36" i="2"/>
  <c r="DH36" i="2"/>
  <c r="DK36" i="2"/>
  <c r="DL36" i="2"/>
  <c r="DG36" i="2"/>
  <c r="BP57" i="2" l="1"/>
  <c r="CC14" i="2"/>
  <c r="H10" i="7" s="1"/>
  <c r="G248" i="7" s="1"/>
  <c r="H255" i="7" s="1"/>
  <c r="BJ57" i="2"/>
  <c r="BJ39" i="2"/>
  <c r="BJ46" i="2" s="1"/>
  <c r="BP48" i="2"/>
  <c r="M74" i="9"/>
  <c r="J63" i="9" s="1"/>
  <c r="N64" i="9"/>
  <c r="T26" i="9"/>
  <c r="T52" i="9" s="1"/>
  <c r="T76" i="9" s="1"/>
  <c r="N40" i="9"/>
  <c r="Z40" i="9"/>
  <c r="AA74" i="9"/>
  <c r="Z64" i="9" s="1"/>
  <c r="J39" i="9"/>
  <c r="BP46" i="2"/>
  <c r="BP28" i="2"/>
  <c r="BP55" i="2"/>
  <c r="G122" i="7"/>
  <c r="H129" i="7" s="1"/>
  <c r="H126" i="7"/>
  <c r="H106" i="3"/>
  <c r="L257" i="7"/>
  <c r="BJ49" i="2"/>
  <c r="BJ40" i="2"/>
  <c r="BJ31" i="2"/>
  <c r="H106" i="6"/>
  <c r="BJ38" i="2"/>
  <c r="L127" i="7"/>
  <c r="CC5" i="2"/>
  <c r="H1" i="7" s="1"/>
  <c r="G118" i="7" s="1"/>
  <c r="CC15" i="2"/>
  <c r="H11" i="7" s="1"/>
  <c r="G249" i="7" s="1"/>
  <c r="G251" i="7" l="1"/>
  <c r="H258" i="7" s="1"/>
  <c r="H256" i="7"/>
  <c r="G252" i="7"/>
  <c r="H259" i="7" s="1"/>
  <c r="BJ56" i="2"/>
  <c r="BJ32" i="2"/>
  <c r="G121" i="7"/>
  <c r="H128" i="7" s="1"/>
  <c r="H125" i="7"/>
  <c r="BJ41" i="2"/>
  <c r="BJ47" i="2"/>
  <c r="BJ50" i="2" s="1"/>
  <c r="BJ51" i="2" l="1"/>
  <c r="CJ46" i="2" s="1"/>
  <c r="CC46" i="2"/>
  <c r="CC11" i="2"/>
  <c r="H7" i="7" s="1"/>
  <c r="G205" i="7" s="1"/>
  <c r="CC12" i="2"/>
  <c r="H8" i="7" s="1"/>
  <c r="G206" i="7" s="1"/>
  <c r="CH48" i="2"/>
  <c r="CE48" i="2"/>
  <c r="CD47" i="2"/>
  <c r="CE47" i="2"/>
  <c r="I82" i="7"/>
  <c r="CC28" i="2"/>
  <c r="BY8" i="2"/>
  <c r="CD29" i="2"/>
  <c r="BJ33" i="2"/>
  <c r="CJ28" i="2" s="1"/>
  <c r="CE29" i="2"/>
  <c r="I80" i="7"/>
  <c r="CH30" i="2"/>
  <c r="D18" i="7"/>
  <c r="D39" i="7" s="1"/>
  <c r="P51" i="7" s="1"/>
  <c r="CE30" i="2"/>
  <c r="BJ52" i="2"/>
  <c r="CK46" i="2" s="1"/>
  <c r="BY11" i="2"/>
  <c r="CC9" i="2"/>
  <c r="H5" i="7" s="1"/>
  <c r="G165" i="7" s="1"/>
  <c r="L173" i="7"/>
  <c r="L214" i="7" s="1"/>
  <c r="BJ42" i="2"/>
  <c r="CJ37" i="2" s="1"/>
  <c r="D21" i="7"/>
  <c r="D42" i="7" s="1"/>
  <c r="P54" i="7" s="1"/>
  <c r="CC8" i="2"/>
  <c r="H4" i="7" s="1"/>
  <c r="G164" i="7" s="1"/>
  <c r="CE39" i="2"/>
  <c r="D15" i="6"/>
  <c r="CE38" i="2"/>
  <c r="L157" i="6"/>
  <c r="L207" i="6" s="1"/>
  <c r="H132" i="3"/>
  <c r="H157" i="3" s="1"/>
  <c r="CH39" i="2"/>
  <c r="CD38" i="2"/>
  <c r="CC37" i="2"/>
  <c r="D14" i="6"/>
  <c r="BJ34" i="2"/>
  <c r="CK28" i="2" s="1"/>
  <c r="BJ43" i="2"/>
  <c r="CK37" i="2" s="1"/>
  <c r="BJ59" i="2"/>
  <c r="D24" i="7" s="1"/>
  <c r="D45" i="7" s="1"/>
  <c r="P57" i="7" s="1"/>
  <c r="BY6" i="2" l="1"/>
  <c r="BJ61" i="2"/>
  <c r="CK55" i="2" s="1"/>
  <c r="CJ56" i="2" s="1"/>
  <c r="BY13" i="2"/>
  <c r="BY10" i="2"/>
  <c r="BY9" i="2"/>
  <c r="CG42" i="2"/>
  <c r="CG39" i="2"/>
  <c r="CH38" i="2"/>
  <c r="CE41" i="2"/>
  <c r="H114" i="3"/>
  <c r="H114" i="6"/>
  <c r="CD39" i="2"/>
  <c r="H139" i="7"/>
  <c r="CD42" i="2"/>
  <c r="H213" i="7"/>
  <c r="G209" i="7"/>
  <c r="H216" i="7" s="1"/>
  <c r="F113" i="3"/>
  <c r="CC40" i="2"/>
  <c r="F113" i="6"/>
  <c r="F138" i="7"/>
  <c r="CF40" i="2"/>
  <c r="CF37" i="2"/>
  <c r="BY12" i="2"/>
  <c r="N142" i="6"/>
  <c r="D36" i="6"/>
  <c r="P48" i="6" s="1"/>
  <c r="D21" i="6"/>
  <c r="D42" i="6" s="1"/>
  <c r="P54" i="6" s="1"/>
  <c r="D20" i="7"/>
  <c r="D41" i="7" s="1"/>
  <c r="P53" i="7" s="1"/>
  <c r="K89" i="3"/>
  <c r="CE33" i="2"/>
  <c r="K89" i="6"/>
  <c r="K93" i="7"/>
  <c r="BY14" i="2"/>
  <c r="D17" i="6"/>
  <c r="D38" i="6" s="1"/>
  <c r="P50" i="6" s="1"/>
  <c r="D35" i="6"/>
  <c r="P47" i="6" s="1"/>
  <c r="N141" i="6"/>
  <c r="D20" i="6"/>
  <c r="D41" i="6" s="1"/>
  <c r="P53" i="6" s="1"/>
  <c r="H89" i="3"/>
  <c r="CH33" i="2"/>
  <c r="H93" i="7"/>
  <c r="H89" i="6"/>
  <c r="F91" i="7"/>
  <c r="CF31" i="2"/>
  <c r="F87" i="6"/>
  <c r="CC31" i="2"/>
  <c r="CF28" i="2"/>
  <c r="F87" i="3"/>
  <c r="G140" i="6"/>
  <c r="CM40" i="2"/>
  <c r="M113" i="3"/>
  <c r="M138" i="7"/>
  <c r="CK38" i="2"/>
  <c r="CY37" i="2"/>
  <c r="M113" i="6"/>
  <c r="G139" i="7"/>
  <c r="CD41" i="2"/>
  <c r="G114" i="3"/>
  <c r="CG41" i="2"/>
  <c r="CG38" i="2"/>
  <c r="G114" i="6"/>
  <c r="CE42" i="2"/>
  <c r="K115" i="6"/>
  <c r="K115" i="3"/>
  <c r="K140" i="7"/>
  <c r="D16" i="7"/>
  <c r="D37" i="7" s="1"/>
  <c r="P49" i="7" s="1"/>
  <c r="D17" i="7"/>
  <c r="D38" i="7" s="1"/>
  <c r="P50" i="7" s="1"/>
  <c r="CG51" i="2"/>
  <c r="CG48" i="2"/>
  <c r="CD51" i="2"/>
  <c r="CH47" i="2"/>
  <c r="H180" i="7"/>
  <c r="H139" i="3"/>
  <c r="H164" i="6"/>
  <c r="CE50" i="2"/>
  <c r="CD48" i="2"/>
  <c r="D22" i="7"/>
  <c r="D43" i="7" s="1"/>
  <c r="P55" i="7" s="1"/>
  <c r="H115" i="3"/>
  <c r="H115" i="6"/>
  <c r="CH42" i="2"/>
  <c r="H140" i="7"/>
  <c r="CG50" i="2"/>
  <c r="G139" i="3"/>
  <c r="G164" i="6"/>
  <c r="CD50" i="2"/>
  <c r="G180" i="7"/>
  <c r="CG47" i="2"/>
  <c r="CM31" i="2"/>
  <c r="M91" i="7"/>
  <c r="M87" i="6"/>
  <c r="M87" i="3"/>
  <c r="CK29" i="2"/>
  <c r="CY28" i="2"/>
  <c r="CF46" i="2"/>
  <c r="F179" i="7"/>
  <c r="CC49" i="2"/>
  <c r="F163" i="6"/>
  <c r="F138" i="3"/>
  <c r="CF49" i="2"/>
  <c r="CE32" i="2"/>
  <c r="H88" i="6"/>
  <c r="CG30" i="2"/>
  <c r="CD30" i="2"/>
  <c r="H88" i="3"/>
  <c r="CH29" i="2"/>
  <c r="CG33" i="2"/>
  <c r="CD33" i="2"/>
  <c r="H92" i="7"/>
  <c r="G208" i="7"/>
  <c r="H215" i="7" s="1"/>
  <c r="H212" i="7"/>
  <c r="G88" i="6"/>
  <c r="CG32" i="2"/>
  <c r="G92" i="7"/>
  <c r="CG29" i="2"/>
  <c r="G88" i="3"/>
  <c r="CD32" i="2"/>
  <c r="H181" i="7"/>
  <c r="H165" i="6"/>
  <c r="H140" i="3"/>
  <c r="CH51" i="2"/>
  <c r="D23" i="7"/>
  <c r="D44" i="7" s="1"/>
  <c r="P56" i="7" s="1"/>
  <c r="I83" i="7"/>
  <c r="BJ60" i="2"/>
  <c r="CJ55" i="2" s="1"/>
  <c r="I85" i="7"/>
  <c r="H182" i="3"/>
  <c r="H233" i="6"/>
  <c r="CE57" i="2"/>
  <c r="CH57" i="2"/>
  <c r="CD56" i="2"/>
  <c r="CE56" i="2"/>
  <c r="CC55" i="2"/>
  <c r="H172" i="7"/>
  <c r="G168" i="7"/>
  <c r="H175" i="7" s="1"/>
  <c r="H140" i="6"/>
  <c r="CZ37" i="2"/>
  <c r="N113" i="6"/>
  <c r="N113" i="3"/>
  <c r="CJ38" i="2"/>
  <c r="N138" i="7"/>
  <c r="CN40" i="2"/>
  <c r="G167" i="7"/>
  <c r="H174" i="7" s="1"/>
  <c r="H171" i="7"/>
  <c r="N91" i="7"/>
  <c r="N87" i="6"/>
  <c r="N87" i="3"/>
  <c r="CJ29" i="2"/>
  <c r="CZ28" i="2"/>
  <c r="CN31" i="2"/>
  <c r="D19" i="7"/>
  <c r="D40" i="7" s="1"/>
  <c r="P52" i="7" s="1"/>
  <c r="BY7" i="2"/>
  <c r="CZ46" i="2"/>
  <c r="N179" i="7"/>
  <c r="N138" i="3"/>
  <c r="H190" i="6"/>
  <c r="CN49" i="2"/>
  <c r="N163" i="6"/>
  <c r="CJ47" i="2"/>
  <c r="K181" i="7"/>
  <c r="K165" i="6"/>
  <c r="CE51" i="2"/>
  <c r="K140" i="3"/>
  <c r="M138" i="3"/>
  <c r="CY46" i="2"/>
  <c r="M179" i="7"/>
  <c r="CM49" i="2"/>
  <c r="G190" i="6"/>
  <c r="CK47" i="2"/>
  <c r="M163" i="6"/>
  <c r="CN58" i="2" l="1"/>
  <c r="Q166" i="3" s="1"/>
  <c r="N221" i="7"/>
  <c r="N163" i="3"/>
  <c r="CZ55" i="2"/>
  <c r="N214" i="6"/>
  <c r="J93" i="7"/>
  <c r="J89" i="3"/>
  <c r="J89" i="6"/>
  <c r="G181" i="7"/>
  <c r="G140" i="3"/>
  <c r="G165" i="6"/>
  <c r="N191" i="6"/>
  <c r="N144" i="6"/>
  <c r="N194" i="6" s="1"/>
  <c r="P94" i="7"/>
  <c r="P90" i="6"/>
  <c r="P90" i="3"/>
  <c r="DB31" i="2"/>
  <c r="H118" i="6"/>
  <c r="H143" i="7"/>
  <c r="H118" i="3"/>
  <c r="I91" i="7"/>
  <c r="I87" i="3"/>
  <c r="I87" i="6"/>
  <c r="I179" i="7"/>
  <c r="I163" i="6"/>
  <c r="I138" i="3"/>
  <c r="J139" i="3"/>
  <c r="J180" i="7"/>
  <c r="J164" i="6"/>
  <c r="J181" i="7"/>
  <c r="J165" i="6"/>
  <c r="J140" i="3"/>
  <c r="F90" i="6"/>
  <c r="F94" i="7"/>
  <c r="F90" i="3"/>
  <c r="G115" i="6"/>
  <c r="G140" i="7"/>
  <c r="G115" i="3"/>
  <c r="P166" i="6"/>
  <c r="P182" i="7"/>
  <c r="DB49" i="2"/>
  <c r="P141" i="3"/>
  <c r="J193" i="6"/>
  <c r="M180" i="7"/>
  <c r="CY47" i="2"/>
  <c r="M164" i="6"/>
  <c r="M139" i="3"/>
  <c r="G191" i="6"/>
  <c r="CM50" i="2"/>
  <c r="J168" i="6"/>
  <c r="J184" i="7"/>
  <c r="J143" i="3"/>
  <c r="J139" i="7"/>
  <c r="J114" i="3"/>
  <c r="J114" i="6"/>
  <c r="H141" i="6"/>
  <c r="N114" i="3"/>
  <c r="N139" i="7"/>
  <c r="CN41" i="2"/>
  <c r="N114" i="6"/>
  <c r="CZ38" i="2"/>
  <c r="Q94" i="7"/>
  <c r="DC31" i="2"/>
  <c r="Q90" i="3"/>
  <c r="Q90" i="6"/>
  <c r="Q116" i="3"/>
  <c r="K143" i="6"/>
  <c r="DC40" i="2"/>
  <c r="Q116" i="6"/>
  <c r="Q141" i="7"/>
  <c r="G91" i="3"/>
  <c r="G95" i="7"/>
  <c r="G91" i="6"/>
  <c r="H95" i="7"/>
  <c r="H91" i="3"/>
  <c r="H91" i="6"/>
  <c r="CH32" i="2"/>
  <c r="N88" i="6"/>
  <c r="CN32" i="2"/>
  <c r="N88" i="3"/>
  <c r="CZ29" i="2"/>
  <c r="N92" i="7"/>
  <c r="G183" i="7"/>
  <c r="G142" i="3"/>
  <c r="G167" i="6"/>
  <c r="CH50" i="2"/>
  <c r="H183" i="7"/>
  <c r="H167" i="6"/>
  <c r="H142" i="3"/>
  <c r="J117" i="6"/>
  <c r="J117" i="3"/>
  <c r="J142" i="7"/>
  <c r="I90" i="3"/>
  <c r="I90" i="6"/>
  <c r="I94" i="7"/>
  <c r="F116" i="6"/>
  <c r="F141" i="7"/>
  <c r="F116" i="3"/>
  <c r="M222" i="7"/>
  <c r="CY56" i="2"/>
  <c r="CM59" i="2"/>
  <c r="M215" i="6"/>
  <c r="M164" i="3"/>
  <c r="F221" i="7"/>
  <c r="CC58" i="2"/>
  <c r="CF58" i="2"/>
  <c r="F163" i="3"/>
  <c r="F214" i="6"/>
  <c r="CF55" i="2"/>
  <c r="G96" i="7"/>
  <c r="G92" i="6"/>
  <c r="G92" i="3"/>
  <c r="I166" i="6"/>
  <c r="I182" i="7"/>
  <c r="I141" i="3"/>
  <c r="H142" i="7"/>
  <c r="CH41" i="2"/>
  <c r="H117" i="6"/>
  <c r="H117" i="3"/>
  <c r="K118" i="6"/>
  <c r="K143" i="7"/>
  <c r="K118" i="3"/>
  <c r="H92" i="6"/>
  <c r="H92" i="3"/>
  <c r="H96" i="7"/>
  <c r="K193" i="6"/>
  <c r="DC49" i="2"/>
  <c r="Q182" i="7"/>
  <c r="Q141" i="3"/>
  <c r="Q166" i="6"/>
  <c r="M214" i="6"/>
  <c r="M163" i="3"/>
  <c r="M221" i="7"/>
  <c r="CY55" i="2"/>
  <c r="CM58" i="2"/>
  <c r="CK56" i="2"/>
  <c r="CY29" i="2"/>
  <c r="M88" i="6"/>
  <c r="M88" i="3"/>
  <c r="M92" i="7"/>
  <c r="CM32" i="2"/>
  <c r="CM41" i="2"/>
  <c r="G141" i="6"/>
  <c r="CY38" i="2"/>
  <c r="M114" i="3"/>
  <c r="M114" i="6"/>
  <c r="M139" i="7"/>
  <c r="CG60" i="2"/>
  <c r="H222" i="7"/>
  <c r="CG57" i="2"/>
  <c r="CD60" i="2"/>
  <c r="CH56" i="2"/>
  <c r="CE59" i="2"/>
  <c r="H164" i="3"/>
  <c r="CD57" i="2"/>
  <c r="H215" i="6"/>
  <c r="J88" i="6"/>
  <c r="J88" i="3"/>
  <c r="J92" i="7"/>
  <c r="J92" i="6"/>
  <c r="J92" i="3"/>
  <c r="J96" i="7"/>
  <c r="G142" i="7"/>
  <c r="G117" i="6"/>
  <c r="G117" i="3"/>
  <c r="P116" i="6"/>
  <c r="P116" i="3"/>
  <c r="P141" i="7"/>
  <c r="J143" i="6"/>
  <c r="DB40" i="2"/>
  <c r="N145" i="6"/>
  <c r="N195" i="6" s="1"/>
  <c r="N192" i="6"/>
  <c r="K139" i="7"/>
  <c r="K114" i="3"/>
  <c r="K114" i="6"/>
  <c r="CG59" i="2"/>
  <c r="CG56" i="2"/>
  <c r="G222" i="7"/>
  <c r="CD59" i="2"/>
  <c r="G164" i="3"/>
  <c r="G215" i="6"/>
  <c r="J183" i="7"/>
  <c r="J167" i="6"/>
  <c r="J142" i="3"/>
  <c r="J115" i="3"/>
  <c r="J140" i="7"/>
  <c r="J115" i="6"/>
  <c r="CH60" i="2"/>
  <c r="H216" i="6"/>
  <c r="H223" i="7"/>
  <c r="H165" i="3"/>
  <c r="G93" i="7"/>
  <c r="G89" i="6"/>
  <c r="G89" i="3"/>
  <c r="G168" i="6"/>
  <c r="G184" i="7"/>
  <c r="G143" i="3"/>
  <c r="I116" i="3"/>
  <c r="I116" i="6"/>
  <c r="I141" i="7"/>
  <c r="K88" i="3"/>
  <c r="K92" i="7"/>
  <c r="K88" i="6"/>
  <c r="CZ47" i="2"/>
  <c r="CN50" i="2"/>
  <c r="N180" i="7"/>
  <c r="H191" i="6"/>
  <c r="N164" i="6"/>
  <c r="N139" i="3"/>
  <c r="H184" i="7"/>
  <c r="H143" i="3"/>
  <c r="H168" i="6"/>
  <c r="K223" i="7"/>
  <c r="K165" i="3"/>
  <c r="K216" i="6"/>
  <c r="CE60" i="2"/>
  <c r="K143" i="3"/>
  <c r="K184" i="7"/>
  <c r="K168" i="6"/>
  <c r="J95" i="7"/>
  <c r="J91" i="6"/>
  <c r="J91" i="3"/>
  <c r="F166" i="6"/>
  <c r="F141" i="3"/>
  <c r="F182" i="7"/>
  <c r="K139" i="3"/>
  <c r="K180" i="7"/>
  <c r="K164" i="6"/>
  <c r="K92" i="3"/>
  <c r="K96" i="7"/>
  <c r="K92" i="6"/>
  <c r="I113" i="6"/>
  <c r="I113" i="3"/>
  <c r="I138" i="7"/>
  <c r="G118" i="3"/>
  <c r="G118" i="6"/>
  <c r="G143" i="7"/>
  <c r="J118" i="6"/>
  <c r="J118" i="3"/>
  <c r="J143" i="7"/>
  <c r="DC58" i="2" l="1"/>
  <c r="Q217" i="6"/>
  <c r="Q224" i="7"/>
  <c r="BV28" i="2" a="1"/>
  <c r="CA30" i="2" s="1"/>
  <c r="Q183" i="7"/>
  <c r="Q142" i="3"/>
  <c r="DC50" i="2"/>
  <c r="K194" i="6"/>
  <c r="Q167" i="6"/>
  <c r="J225" i="7"/>
  <c r="J218" i="6"/>
  <c r="J167" i="3"/>
  <c r="G165" i="3"/>
  <c r="G216" i="6"/>
  <c r="G223" i="7"/>
  <c r="I214" i="6"/>
  <c r="I221" i="7"/>
  <c r="I163" i="3"/>
  <c r="Q91" i="6"/>
  <c r="Q95" i="7"/>
  <c r="DC32" i="2"/>
  <c r="Q91" i="3"/>
  <c r="P225" i="7"/>
  <c r="P218" i="6"/>
  <c r="P167" i="3"/>
  <c r="DB59" i="2"/>
  <c r="J194" i="6"/>
  <c r="DB50" i="2"/>
  <c r="P167" i="6"/>
  <c r="P183" i="7"/>
  <c r="P142" i="3"/>
  <c r="BV46" i="2" a="1"/>
  <c r="K168" i="3"/>
  <c r="K219" i="6"/>
  <c r="K226" i="7"/>
  <c r="H225" i="7"/>
  <c r="CH59" i="2"/>
  <c r="H167" i="3"/>
  <c r="H218" i="6"/>
  <c r="K164" i="3"/>
  <c r="K222" i="7"/>
  <c r="K215" i="6"/>
  <c r="N164" i="3"/>
  <c r="CN59" i="2"/>
  <c r="N222" i="7"/>
  <c r="N215" i="6"/>
  <c r="CZ56" i="2"/>
  <c r="I217" i="6"/>
  <c r="I166" i="3"/>
  <c r="I224" i="7"/>
  <c r="G219" i="6"/>
  <c r="G168" i="3"/>
  <c r="G226" i="7"/>
  <c r="P217" i="6"/>
  <c r="P166" i="3"/>
  <c r="DB58" i="2"/>
  <c r="P224" i="7"/>
  <c r="F166" i="3"/>
  <c r="F224" i="7"/>
  <c r="F217" i="6"/>
  <c r="K95" i="7"/>
  <c r="K91" i="6"/>
  <c r="K91" i="3"/>
  <c r="H168" i="3"/>
  <c r="H219" i="6"/>
  <c r="H226" i="7"/>
  <c r="J144" i="6"/>
  <c r="DB41" i="2"/>
  <c r="P142" i="7"/>
  <c r="P117" i="3"/>
  <c r="P117" i="6"/>
  <c r="BV37" i="2" a="1"/>
  <c r="P91" i="3"/>
  <c r="P95" i="7"/>
  <c r="P91" i="6"/>
  <c r="DB32" i="2"/>
  <c r="K144" i="6"/>
  <c r="Q117" i="3"/>
  <c r="DC41" i="2"/>
  <c r="Q117" i="6"/>
  <c r="Q142" i="7"/>
  <c r="G167" i="3"/>
  <c r="G218" i="6"/>
  <c r="G225" i="7"/>
  <c r="J216" i="6"/>
  <c r="J223" i="7"/>
  <c r="J165" i="3"/>
  <c r="J222" i="7"/>
  <c r="J164" i="3"/>
  <c r="J215" i="6"/>
  <c r="J168" i="3"/>
  <c r="J226" i="7"/>
  <c r="J219" i="6"/>
  <c r="K117" i="6"/>
  <c r="K142" i="7"/>
  <c r="K117" i="3"/>
  <c r="K142" i="3"/>
  <c r="K183" i="7"/>
  <c r="K167" i="6"/>
  <c r="F187" i="7" l="1" a="1"/>
  <c r="H189" i="7" s="1"/>
  <c r="F95" i="6" a="1"/>
  <c r="J98" i="6" s="1"/>
  <c r="G147" i="6" a="1"/>
  <c r="G152" i="6" s="1"/>
  <c r="H159" i="6" s="1"/>
  <c r="G197" i="6" a="1"/>
  <c r="G202" i="6" s="1"/>
  <c r="H209" i="6" s="1"/>
  <c r="F121" i="3" a="1"/>
  <c r="J123" i="3" s="1"/>
  <c r="BY32" i="2"/>
  <c r="BZ31" i="2"/>
  <c r="BX31" i="2"/>
  <c r="BW30" i="2"/>
  <c r="CA31" i="2"/>
  <c r="BV28" i="2"/>
  <c r="BV29" i="2"/>
  <c r="BW28" i="2"/>
  <c r="BX29" i="2"/>
  <c r="BZ28" i="2"/>
  <c r="CA29" i="2"/>
  <c r="BZ33" i="2"/>
  <c r="BX32" i="2"/>
  <c r="BW29" i="2"/>
  <c r="BX30" i="2"/>
  <c r="CA32" i="2"/>
  <c r="BV33" i="2"/>
  <c r="BY29" i="2"/>
  <c r="BX33" i="2"/>
  <c r="CA33" i="2"/>
  <c r="BZ29" i="2"/>
  <c r="BY33" i="2"/>
  <c r="BY30" i="2"/>
  <c r="F146" i="7" a="1"/>
  <c r="F149" i="7" s="1"/>
  <c r="CA28" i="2"/>
  <c r="BV32" i="2"/>
  <c r="BY28" i="2"/>
  <c r="BV30" i="2"/>
  <c r="BZ30" i="2"/>
  <c r="BZ32" i="2"/>
  <c r="BX28" i="2"/>
  <c r="BW33" i="2"/>
  <c r="F121" i="6" a="1"/>
  <c r="J123" i="6" s="1"/>
  <c r="BV31" i="2"/>
  <c r="BY31" i="2"/>
  <c r="BW31" i="2"/>
  <c r="BW32" i="2"/>
  <c r="F171" i="6" a="1"/>
  <c r="H176" i="6" s="1"/>
  <c r="F95" i="3" a="1"/>
  <c r="K98" i="3" s="1"/>
  <c r="F99" i="7" a="1"/>
  <c r="G103" i="7" s="1"/>
  <c r="G201" i="6"/>
  <c r="H208" i="6" s="1"/>
  <c r="G151" i="6"/>
  <c r="H158" i="6" s="1"/>
  <c r="BX47" i="2"/>
  <c r="CA48" i="2"/>
  <c r="BV49" i="2"/>
  <c r="BV46" i="2"/>
  <c r="BV48" i="2"/>
  <c r="BZ46" i="2"/>
  <c r="BX49" i="2"/>
  <c r="BW47" i="2"/>
  <c r="CA49" i="2"/>
  <c r="BZ50" i="2"/>
  <c r="BW51" i="2"/>
  <c r="BZ51" i="2"/>
  <c r="BY50" i="2"/>
  <c r="CA47" i="2"/>
  <c r="CA50" i="2"/>
  <c r="BW49" i="2"/>
  <c r="BW50" i="2"/>
  <c r="BX46" i="2"/>
  <c r="BV50" i="2"/>
  <c r="BZ47" i="2"/>
  <c r="BY51" i="2"/>
  <c r="BZ48" i="2"/>
  <c r="BX51" i="2"/>
  <c r="BW46" i="2"/>
  <c r="BY49" i="2"/>
  <c r="BV51" i="2"/>
  <c r="BZ49" i="2"/>
  <c r="CA46" i="2"/>
  <c r="CA51" i="2"/>
  <c r="BV47" i="2"/>
  <c r="BX50" i="2"/>
  <c r="BY46" i="2"/>
  <c r="BY48" i="2"/>
  <c r="BY47" i="2"/>
  <c r="BX48" i="2"/>
  <c r="BW48" i="2"/>
  <c r="Q167" i="3"/>
  <c r="Q225" i="7"/>
  <c r="Q218" i="6"/>
  <c r="DC59" i="2"/>
  <c r="CA38" i="2"/>
  <c r="BX41" i="2"/>
  <c r="BY40" i="2"/>
  <c r="BV41" i="2"/>
  <c r="BX39" i="2"/>
  <c r="CA37" i="2"/>
  <c r="BZ37" i="2"/>
  <c r="BZ40" i="2"/>
  <c r="BV40" i="2"/>
  <c r="BZ38" i="2"/>
  <c r="BY41" i="2"/>
  <c r="BZ42" i="2"/>
  <c r="BY39" i="2"/>
  <c r="BZ39" i="2"/>
  <c r="BX38" i="2"/>
  <c r="BX42" i="2"/>
  <c r="CA39" i="2"/>
  <c r="BV37" i="2"/>
  <c r="BW38" i="2"/>
  <c r="BV38" i="2"/>
  <c r="BW42" i="2"/>
  <c r="BY37" i="2"/>
  <c r="CA41" i="2"/>
  <c r="BW41" i="2"/>
  <c r="CA42" i="2"/>
  <c r="BY38" i="2"/>
  <c r="BZ41" i="2"/>
  <c r="BV39" i="2"/>
  <c r="BW39" i="2"/>
  <c r="BW40" i="2"/>
  <c r="BV42" i="2"/>
  <c r="BY42" i="2"/>
  <c r="BX40" i="2"/>
  <c r="BX37" i="2"/>
  <c r="BW37" i="2"/>
  <c r="CA40" i="2"/>
  <c r="F146" i="3" a="1"/>
  <c r="BV55" i="2" a="1"/>
  <c r="K225" i="7"/>
  <c r="K218" i="6"/>
  <c r="K167" i="3"/>
  <c r="K100" i="6" l="1"/>
  <c r="G97" i="6"/>
  <c r="F99" i="6"/>
  <c r="I97" i="6"/>
  <c r="G100" i="6"/>
  <c r="J99" i="6"/>
  <c r="K190" i="7"/>
  <c r="F192" i="7"/>
  <c r="I187" i="7"/>
  <c r="J190" i="7"/>
  <c r="F187" i="7"/>
  <c r="I191" i="7"/>
  <c r="I189" i="7"/>
  <c r="G192" i="7"/>
  <c r="K187" i="7"/>
  <c r="K192" i="7"/>
  <c r="J188" i="7"/>
  <c r="I188" i="7"/>
  <c r="H188" i="7"/>
  <c r="F188" i="7"/>
  <c r="J121" i="3"/>
  <c r="H187" i="7"/>
  <c r="F191" i="7"/>
  <c r="K188" i="7"/>
  <c r="J187" i="7"/>
  <c r="G187" i="7"/>
  <c r="G198" i="6"/>
  <c r="H205" i="6" s="1"/>
  <c r="K189" i="7"/>
  <c r="H191" i="7"/>
  <c r="J189" i="7"/>
  <c r="G191" i="7"/>
  <c r="G189" i="7"/>
  <c r="G199" i="6"/>
  <c r="H206" i="6" s="1"/>
  <c r="H192" i="7"/>
  <c r="F190" i="7"/>
  <c r="G188" i="7"/>
  <c r="H190" i="7"/>
  <c r="G200" i="6"/>
  <c r="H207" i="6" s="1"/>
  <c r="J191" i="7"/>
  <c r="I190" i="7"/>
  <c r="F189" i="7"/>
  <c r="K191" i="7"/>
  <c r="G197" i="6"/>
  <c r="H204" i="6" s="1"/>
  <c r="J192" i="7"/>
  <c r="I192" i="7"/>
  <c r="G190" i="7"/>
  <c r="I125" i="3"/>
  <c r="H122" i="3"/>
  <c r="J96" i="6"/>
  <c r="F97" i="6"/>
  <c r="F95" i="6"/>
  <c r="I95" i="6"/>
  <c r="H96" i="6"/>
  <c r="G148" i="6"/>
  <c r="H155" i="6" s="1"/>
  <c r="I122" i="3"/>
  <c r="I99" i="6"/>
  <c r="I98" i="6"/>
  <c r="K97" i="6"/>
  <c r="F98" i="6"/>
  <c r="G147" i="6"/>
  <c r="H154" i="6" s="1"/>
  <c r="K98" i="6"/>
  <c r="H100" i="6"/>
  <c r="J100" i="6"/>
  <c r="H95" i="6"/>
  <c r="G150" i="6"/>
  <c r="H157" i="6" s="1"/>
  <c r="I96" i="6"/>
  <c r="H97" i="6"/>
  <c r="F96" i="6"/>
  <c r="F125" i="6"/>
  <c r="H99" i="6"/>
  <c r="J95" i="6"/>
  <c r="G95" i="6"/>
  <c r="G98" i="6"/>
  <c r="I124" i="6"/>
  <c r="F222" i="6" a="1"/>
  <c r="F222" i="6" s="1"/>
  <c r="I100" i="6"/>
  <c r="K95" i="6"/>
  <c r="G96" i="6"/>
  <c r="F100" i="6"/>
  <c r="J97" i="6"/>
  <c r="G149" i="6"/>
  <c r="H156" i="6" s="1"/>
  <c r="I122" i="6"/>
  <c r="G99" i="6"/>
  <c r="K99" i="6"/>
  <c r="H98" i="6"/>
  <c r="K96" i="6"/>
  <c r="G122" i="3"/>
  <c r="J126" i="3"/>
  <c r="CR28" i="2" a="1"/>
  <c r="CU28" i="2" s="1"/>
  <c r="I124" i="3"/>
  <c r="H121" i="3"/>
  <c r="F124" i="3"/>
  <c r="G121" i="3"/>
  <c r="H126" i="3"/>
  <c r="F126" i="3"/>
  <c r="G123" i="3"/>
  <c r="J122" i="3"/>
  <c r="J124" i="3"/>
  <c r="G126" i="3"/>
  <c r="F122" i="3"/>
  <c r="K125" i="3"/>
  <c r="F125" i="3"/>
  <c r="K123" i="3"/>
  <c r="I123" i="3"/>
  <c r="K126" i="3"/>
  <c r="F123" i="3"/>
  <c r="F121" i="3"/>
  <c r="I126" i="3"/>
  <c r="H124" i="3"/>
  <c r="K124" i="3"/>
  <c r="G124" i="3"/>
  <c r="G125" i="3"/>
  <c r="H123" i="3"/>
  <c r="I121" i="3"/>
  <c r="K121" i="3"/>
  <c r="J125" i="3"/>
  <c r="K122" i="3"/>
  <c r="H125" i="3"/>
  <c r="G124" i="6"/>
  <c r="H122" i="6"/>
  <c r="J126" i="6"/>
  <c r="G123" i="6"/>
  <c r="F124" i="6"/>
  <c r="F126" i="6"/>
  <c r="I123" i="6"/>
  <c r="K125" i="6"/>
  <c r="H125" i="6"/>
  <c r="F123" i="6"/>
  <c r="H121" i="6"/>
  <c r="G125" i="6"/>
  <c r="I150" i="7"/>
  <c r="F150" i="7"/>
  <c r="J151" i="7"/>
  <c r="H148" i="7"/>
  <c r="G148" i="7"/>
  <c r="K147" i="7"/>
  <c r="G147" i="7"/>
  <c r="G146" i="7"/>
  <c r="K149" i="7"/>
  <c r="J149" i="7"/>
  <c r="J148" i="7"/>
  <c r="F146" i="7"/>
  <c r="I148" i="7"/>
  <c r="H151" i="7"/>
  <c r="J122" i="6"/>
  <c r="K124" i="6"/>
  <c r="I125" i="6"/>
  <c r="H149" i="7"/>
  <c r="F147" i="7"/>
  <c r="K148" i="7"/>
  <c r="J146" i="7"/>
  <c r="J147" i="7"/>
  <c r="I146" i="7"/>
  <c r="G149" i="7"/>
  <c r="G150" i="7"/>
  <c r="K151" i="7"/>
  <c r="K122" i="6"/>
  <c r="F122" i="6"/>
  <c r="J150" i="7"/>
  <c r="G151" i="7"/>
  <c r="H147" i="7"/>
  <c r="I151" i="7"/>
  <c r="F151" i="7"/>
  <c r="I147" i="7"/>
  <c r="H146" i="7"/>
  <c r="H150" i="7"/>
  <c r="K123" i="6"/>
  <c r="J124" i="6"/>
  <c r="J121" i="6"/>
  <c r="K150" i="7"/>
  <c r="K146" i="7"/>
  <c r="I149" i="7"/>
  <c r="F148" i="7"/>
  <c r="F100" i="3"/>
  <c r="H99" i="3"/>
  <c r="G98" i="3"/>
  <c r="F98" i="3"/>
  <c r="G96" i="3"/>
  <c r="K96" i="3"/>
  <c r="J96" i="3"/>
  <c r="H124" i="6"/>
  <c r="G122" i="6"/>
  <c r="H123" i="6"/>
  <c r="H126" i="6"/>
  <c r="F121" i="6"/>
  <c r="J98" i="3"/>
  <c r="H100" i="3"/>
  <c r="G99" i="3"/>
  <c r="K121" i="6"/>
  <c r="G126" i="6"/>
  <c r="I121" i="6"/>
  <c r="I126" i="6"/>
  <c r="K100" i="3"/>
  <c r="G95" i="3"/>
  <c r="G100" i="3"/>
  <c r="G121" i="6"/>
  <c r="K126" i="6"/>
  <c r="J125" i="6"/>
  <c r="K99" i="3"/>
  <c r="J97" i="3"/>
  <c r="I98" i="3"/>
  <c r="H95" i="3"/>
  <c r="I100" i="7"/>
  <c r="J102" i="7"/>
  <c r="K101" i="7"/>
  <c r="I95" i="3"/>
  <c r="H102" i="7"/>
  <c r="J103" i="7"/>
  <c r="I102" i="7"/>
  <c r="I99" i="7"/>
  <c r="F99" i="7"/>
  <c r="F100" i="7"/>
  <c r="I103" i="7"/>
  <c r="H100" i="7"/>
  <c r="J100" i="7"/>
  <c r="G101" i="7"/>
  <c r="F101" i="7"/>
  <c r="K100" i="7"/>
  <c r="G97" i="3"/>
  <c r="H97" i="3"/>
  <c r="F96" i="3"/>
  <c r="F176" i="6"/>
  <c r="F171" i="6"/>
  <c r="H174" i="6"/>
  <c r="K173" i="6"/>
  <c r="F172" i="6"/>
  <c r="I171" i="6"/>
  <c r="F173" i="6"/>
  <c r="H171" i="6"/>
  <c r="H175" i="6"/>
  <c r="I172" i="6"/>
  <c r="J176" i="6"/>
  <c r="G176" i="6"/>
  <c r="F102" i="7"/>
  <c r="J99" i="7"/>
  <c r="H101" i="7"/>
  <c r="F97" i="3"/>
  <c r="I99" i="3"/>
  <c r="J99" i="3"/>
  <c r="K176" i="6"/>
  <c r="K175" i="6"/>
  <c r="I176" i="6"/>
  <c r="J171" i="6"/>
  <c r="H172" i="6"/>
  <c r="G173" i="6"/>
  <c r="J175" i="6"/>
  <c r="J172" i="6"/>
  <c r="G175" i="6"/>
  <c r="K172" i="6"/>
  <c r="G172" i="6"/>
  <c r="I173" i="6"/>
  <c r="F174" i="6"/>
  <c r="K174" i="6"/>
  <c r="J174" i="6"/>
  <c r="J173" i="6"/>
  <c r="I175" i="6"/>
  <c r="H173" i="6"/>
  <c r="G171" i="6"/>
  <c r="F175" i="6"/>
  <c r="F229" i="7" a="1"/>
  <c r="K232" i="7" s="1"/>
  <c r="K171" i="6"/>
  <c r="I174" i="6"/>
  <c r="G174" i="6"/>
  <c r="K104" i="7"/>
  <c r="K103" i="7"/>
  <c r="G104" i="7"/>
  <c r="J95" i="3"/>
  <c r="H98" i="3"/>
  <c r="I96" i="3"/>
  <c r="F95" i="3"/>
  <c r="F171" i="3" a="1"/>
  <c r="I176" i="3" s="1"/>
  <c r="G102" i="7"/>
  <c r="G100" i="7"/>
  <c r="H104" i="7"/>
  <c r="I100" i="3"/>
  <c r="I97" i="3"/>
  <c r="F99" i="3"/>
  <c r="K97" i="3"/>
  <c r="I104" i="7"/>
  <c r="K99" i="7"/>
  <c r="H103" i="7"/>
  <c r="K102" i="7"/>
  <c r="F103" i="7"/>
  <c r="J104" i="7"/>
  <c r="G99" i="7"/>
  <c r="I101" i="7"/>
  <c r="H96" i="3"/>
  <c r="J100" i="3"/>
  <c r="K95" i="3"/>
  <c r="F104" i="7"/>
  <c r="J101" i="7"/>
  <c r="H99" i="7"/>
  <c r="CR46" i="2" a="1"/>
  <c r="CA56" i="2"/>
  <c r="BX57" i="2"/>
  <c r="BW58" i="2"/>
  <c r="BY56" i="2"/>
  <c r="BX55" i="2"/>
  <c r="BW57" i="2"/>
  <c r="CA58" i="2"/>
  <c r="BW60" i="2"/>
  <c r="BV60" i="2"/>
  <c r="BZ56" i="2"/>
  <c r="BZ59" i="2"/>
  <c r="CA55" i="2"/>
  <c r="BV56" i="2"/>
  <c r="CA57" i="2"/>
  <c r="BY59" i="2"/>
  <c r="BY60" i="2"/>
  <c r="BV58" i="2"/>
  <c r="BV57" i="2"/>
  <c r="BY57" i="2"/>
  <c r="BV59" i="2"/>
  <c r="BZ58" i="2"/>
  <c r="BW55" i="2"/>
  <c r="BW59" i="2"/>
  <c r="BZ55" i="2"/>
  <c r="BX59" i="2"/>
  <c r="BZ60" i="2"/>
  <c r="CA60" i="2"/>
  <c r="BW56" i="2"/>
  <c r="BX56" i="2"/>
  <c r="BY55" i="2"/>
  <c r="CA59" i="2"/>
  <c r="BX60" i="2"/>
  <c r="BV55" i="2"/>
  <c r="BY58" i="2"/>
  <c r="BX58" i="2"/>
  <c r="BZ57" i="2"/>
  <c r="K149" i="3"/>
  <c r="G151" i="3"/>
  <c r="I148" i="3"/>
  <c r="G148" i="3"/>
  <c r="J147" i="3"/>
  <c r="K148" i="3"/>
  <c r="H146" i="3"/>
  <c r="G146" i="3"/>
  <c r="K151" i="3"/>
  <c r="F150" i="3"/>
  <c r="K146" i="3"/>
  <c r="H150" i="3"/>
  <c r="H147" i="3"/>
  <c r="I149" i="3"/>
  <c r="H149" i="3"/>
  <c r="F149" i="3"/>
  <c r="J151" i="3"/>
  <c r="G149" i="3"/>
  <c r="K150" i="3"/>
  <c r="I151" i="3"/>
  <c r="F151" i="3"/>
  <c r="K147" i="3"/>
  <c r="G147" i="3"/>
  <c r="H148" i="3"/>
  <c r="J148" i="3"/>
  <c r="I147" i="3"/>
  <c r="F148" i="3"/>
  <c r="J149" i="3"/>
  <c r="I150" i="3"/>
  <c r="J146" i="3"/>
  <c r="F146" i="3"/>
  <c r="I146" i="3"/>
  <c r="F147" i="3"/>
  <c r="G150" i="3"/>
  <c r="J150" i="3"/>
  <c r="H151" i="3"/>
  <c r="CR37" i="2" a="1"/>
  <c r="F225" i="6" l="1"/>
  <c r="G226" i="6"/>
  <c r="I224" i="6"/>
  <c r="H222" i="6"/>
  <c r="G225" i="6"/>
  <c r="F224" i="6"/>
  <c r="G224" i="6"/>
  <c r="CU33" i="2"/>
  <c r="F223" i="6"/>
  <c r="H227" i="6"/>
  <c r="J226" i="6"/>
  <c r="G222" i="6"/>
  <c r="I223" i="6"/>
  <c r="K222" i="6"/>
  <c r="H223" i="6"/>
  <c r="K225" i="6"/>
  <c r="CT31" i="2"/>
  <c r="I227" i="6"/>
  <c r="G227" i="6"/>
  <c r="I222" i="6"/>
  <c r="J223" i="6"/>
  <c r="G223" i="6"/>
  <c r="F226" i="6"/>
  <c r="I226" i="6"/>
  <c r="H224" i="6"/>
  <c r="H226" i="6"/>
  <c r="J227" i="6"/>
  <c r="K223" i="6"/>
  <c r="I225" i="6"/>
  <c r="F227" i="6"/>
  <c r="H225" i="6"/>
  <c r="J222" i="6"/>
  <c r="K224" i="6"/>
  <c r="CS29" i="2"/>
  <c r="CS33" i="2"/>
  <c r="CS30" i="2"/>
  <c r="CR28" i="2"/>
  <c r="CU31" i="2"/>
  <c r="CU30" i="2"/>
  <c r="CV30" i="2"/>
  <c r="CW30" i="2"/>
  <c r="CR29" i="2"/>
  <c r="CR30" i="2"/>
  <c r="CT28" i="2"/>
  <c r="CV29" i="2"/>
  <c r="K226" i="6"/>
  <c r="K227" i="6"/>
  <c r="J224" i="6"/>
  <c r="J225" i="6"/>
  <c r="CR31" i="2"/>
  <c r="CW28" i="2"/>
  <c r="CV31" i="2"/>
  <c r="CV32" i="2"/>
  <c r="CV28" i="2"/>
  <c r="CW32" i="2"/>
  <c r="CT33" i="2"/>
  <c r="CS28" i="2"/>
  <c r="CU29" i="2"/>
  <c r="CU32" i="2"/>
  <c r="CR32" i="2"/>
  <c r="CV33" i="2"/>
  <c r="CS32" i="2"/>
  <c r="CW31" i="2"/>
  <c r="CW33" i="2"/>
  <c r="CS31" i="2"/>
  <c r="CR33" i="2"/>
  <c r="CT32" i="2"/>
  <c r="CW29" i="2"/>
  <c r="CT30" i="2"/>
  <c r="CT29" i="2"/>
  <c r="F229" i="7"/>
  <c r="I232" i="7"/>
  <c r="I229" i="7"/>
  <c r="I233" i="7"/>
  <c r="K234" i="7"/>
  <c r="J233" i="7"/>
  <c r="H232" i="7"/>
  <c r="F234" i="7"/>
  <c r="I234" i="7"/>
  <c r="K231" i="7"/>
  <c r="H230" i="7"/>
  <c r="J234" i="7"/>
  <c r="G232" i="7"/>
  <c r="F232" i="7"/>
  <c r="G234" i="7"/>
  <c r="K229" i="7"/>
  <c r="H231" i="7"/>
  <c r="J231" i="7"/>
  <c r="G233" i="7"/>
  <c r="J230" i="7"/>
  <c r="J229" i="7"/>
  <c r="G231" i="7"/>
  <c r="G230" i="7"/>
  <c r="G229" i="7"/>
  <c r="F230" i="7"/>
  <c r="I231" i="7"/>
  <c r="H229" i="7"/>
  <c r="F233" i="7"/>
  <c r="H233" i="7"/>
  <c r="H234" i="7"/>
  <c r="F231" i="7"/>
  <c r="K230" i="7"/>
  <c r="K233" i="7"/>
  <c r="J232" i="7"/>
  <c r="I230" i="7"/>
  <c r="I171" i="3"/>
  <c r="K174" i="3"/>
  <c r="F171" i="3"/>
  <c r="K171" i="3"/>
  <c r="H175" i="3"/>
  <c r="H172" i="3"/>
  <c r="J173" i="3"/>
  <c r="G173" i="3"/>
  <c r="K176" i="3"/>
  <c r="H176" i="3"/>
  <c r="G176" i="3"/>
  <c r="G172" i="3"/>
  <c r="J171" i="3"/>
  <c r="J172" i="3"/>
  <c r="I174" i="3"/>
  <c r="K175" i="3"/>
  <c r="J174" i="3"/>
  <c r="H174" i="3"/>
  <c r="J175" i="3"/>
  <c r="G171" i="3"/>
  <c r="I173" i="3"/>
  <c r="F174" i="3"/>
  <c r="H173" i="3"/>
  <c r="F173" i="3"/>
  <c r="K172" i="3"/>
  <c r="F175" i="3"/>
  <c r="G175" i="3"/>
  <c r="H171" i="3"/>
  <c r="F172" i="3"/>
  <c r="J176" i="3"/>
  <c r="I175" i="3"/>
  <c r="I172" i="3"/>
  <c r="K173" i="3"/>
  <c r="G174" i="3"/>
  <c r="F176" i="3"/>
  <c r="CR55" i="2" a="1"/>
  <c r="CV58" i="2" s="1"/>
  <c r="CV46" i="2"/>
  <c r="CV49" i="2"/>
  <c r="CT46" i="2"/>
  <c r="CS47" i="2"/>
  <c r="CU46" i="2"/>
  <c r="CU50" i="2"/>
  <c r="CU51" i="2"/>
  <c r="CR48" i="2"/>
  <c r="CW49" i="2"/>
  <c r="CU48" i="2"/>
  <c r="CS49" i="2"/>
  <c r="CV47" i="2"/>
  <c r="CT51" i="2"/>
  <c r="CU47" i="2"/>
  <c r="CR51" i="2"/>
  <c r="CR49" i="2"/>
  <c r="CS46" i="2"/>
  <c r="CT47" i="2"/>
  <c r="CS50" i="2"/>
  <c r="CU49" i="2"/>
  <c r="CV51" i="2"/>
  <c r="CR50" i="2"/>
  <c r="CS51" i="2"/>
  <c r="CW50" i="2"/>
  <c r="CT48" i="2"/>
  <c r="CV50" i="2"/>
  <c r="CR47" i="2"/>
  <c r="CV48" i="2"/>
  <c r="CR46" i="2"/>
  <c r="CS48" i="2"/>
  <c r="CT50" i="2"/>
  <c r="CW47" i="2"/>
  <c r="CT49" i="2"/>
  <c r="CW46" i="2"/>
  <c r="CW48" i="2"/>
  <c r="CW51" i="2"/>
  <c r="CW37" i="2"/>
  <c r="CS38" i="2"/>
  <c r="CU40" i="2"/>
  <c r="CW39" i="2"/>
  <c r="CT41" i="2"/>
  <c r="CU39" i="2"/>
  <c r="CS37" i="2"/>
  <c r="CT42" i="2"/>
  <c r="CR38" i="2"/>
  <c r="CW38" i="2"/>
  <c r="CW40" i="2"/>
  <c r="CR39" i="2"/>
  <c r="CR42" i="2"/>
  <c r="CR40" i="2"/>
  <c r="CT39" i="2"/>
  <c r="CS42" i="2"/>
  <c r="CT38" i="2"/>
  <c r="CS40" i="2"/>
  <c r="CV37" i="2"/>
  <c r="CW41" i="2"/>
  <c r="CU42" i="2"/>
  <c r="CT37" i="2"/>
  <c r="CV41" i="2"/>
  <c r="CS41" i="2"/>
  <c r="CW42" i="2"/>
  <c r="CU41" i="2"/>
  <c r="CU38" i="2"/>
  <c r="CR41" i="2"/>
  <c r="CU37" i="2"/>
  <c r="CV38" i="2"/>
  <c r="CT40" i="2"/>
  <c r="CS39" i="2"/>
  <c r="CV40" i="2"/>
  <c r="CR37" i="2"/>
  <c r="CV42" i="2"/>
  <c r="CV39" i="2"/>
  <c r="DG28" i="2" l="1" a="1"/>
  <c r="DK32" i="2" s="1"/>
  <c r="CR59" i="2"/>
  <c r="CV57" i="2"/>
  <c r="CW60" i="2"/>
  <c r="CT60" i="2"/>
  <c r="CW57" i="2"/>
  <c r="CV56" i="2"/>
  <c r="CV59" i="2"/>
  <c r="CW59" i="2"/>
  <c r="CR58" i="2"/>
  <c r="CU59" i="2"/>
  <c r="CS59" i="2"/>
  <c r="CT55" i="2"/>
  <c r="CR60" i="2"/>
  <c r="CS55" i="2"/>
  <c r="CV60" i="2"/>
  <c r="CV55" i="2"/>
  <c r="CS57" i="2"/>
  <c r="CW58" i="2"/>
  <c r="CS58" i="2"/>
  <c r="CR57" i="2"/>
  <c r="CS56" i="2"/>
  <c r="CU56" i="2"/>
  <c r="CS60" i="2"/>
  <c r="CT58" i="2"/>
  <c r="CT57" i="2"/>
  <c r="CT56" i="2"/>
  <c r="CT59" i="2"/>
  <c r="CW55" i="2"/>
  <c r="CR55" i="2"/>
  <c r="CU57" i="2"/>
  <c r="CU60" i="2"/>
  <c r="CU58" i="2"/>
  <c r="CU55" i="2"/>
  <c r="CW56" i="2"/>
  <c r="CR56" i="2"/>
  <c r="DG46" i="2" a="1"/>
  <c r="DG37" i="2" a="1"/>
  <c r="DJ28" i="2" l="1"/>
  <c r="DJ33" i="2"/>
  <c r="DJ30" i="2"/>
  <c r="DJ32" i="2"/>
  <c r="DG31" i="2"/>
  <c r="EB37" i="2" s="1"/>
  <c r="O13" i="6" s="1"/>
  <c r="DL31" i="2"/>
  <c r="DH28" i="2"/>
  <c r="EC46" i="2" s="1"/>
  <c r="P22" i="3" s="1"/>
  <c r="DK33" i="2"/>
  <c r="DH29" i="2"/>
  <c r="EC47" i="2" s="1"/>
  <c r="P23" i="6" s="1"/>
  <c r="DL32" i="2"/>
  <c r="DK29" i="2"/>
  <c r="DI28" i="2"/>
  <c r="ED46" i="2" s="1"/>
  <c r="DG32" i="2"/>
  <c r="EB38" i="2" s="1"/>
  <c r="DI33" i="2"/>
  <c r="ED39" i="2" s="1"/>
  <c r="DK31" i="2"/>
  <c r="DG30" i="2"/>
  <c r="DH32" i="2"/>
  <c r="EC38" i="2" s="1"/>
  <c r="P14" i="3" s="1"/>
  <c r="DI29" i="2"/>
  <c r="ED47" i="2" s="1"/>
  <c r="DG28" i="2"/>
  <c r="EB46" i="2" s="1"/>
  <c r="O25" i="7" s="1"/>
  <c r="DL28" i="2"/>
  <c r="DL33" i="2"/>
  <c r="DH31" i="2"/>
  <c r="EC37" i="2" s="1"/>
  <c r="P16" i="7" s="1"/>
  <c r="DK28" i="2"/>
  <c r="DL30" i="2"/>
  <c r="DJ31" i="2"/>
  <c r="DI31" i="2"/>
  <c r="ED37" i="2" s="1"/>
  <c r="DG29" i="2"/>
  <c r="DH30" i="2"/>
  <c r="DJ29" i="2"/>
  <c r="DI32" i="2"/>
  <c r="ED38" i="2" s="1"/>
  <c r="Q14" i="6" s="1"/>
  <c r="DI30" i="2"/>
  <c r="ED48" i="2" s="1"/>
  <c r="DH33" i="2"/>
  <c r="EC39" i="2" s="1"/>
  <c r="DG33" i="2"/>
  <c r="EB39" i="2" s="1"/>
  <c r="DL29" i="2"/>
  <c r="DK30" i="2"/>
  <c r="O22" i="3"/>
  <c r="O22" i="6"/>
  <c r="O13" i="3"/>
  <c r="Q13" i="6"/>
  <c r="DG55" i="2" a="1"/>
  <c r="DK55" i="2" s="1"/>
  <c r="EF43" i="2" s="1"/>
  <c r="DG48" i="2"/>
  <c r="DJ50" i="2"/>
  <c r="DG50" i="2"/>
  <c r="DH47" i="2"/>
  <c r="DL51" i="2"/>
  <c r="DK46" i="2"/>
  <c r="DZ40" i="2" s="1"/>
  <c r="DJ49" i="2"/>
  <c r="DJ47" i="2"/>
  <c r="DY41" i="2" s="1"/>
  <c r="DH46" i="2"/>
  <c r="DL50" i="2"/>
  <c r="DH49" i="2"/>
  <c r="DL46" i="2"/>
  <c r="EA40" i="2" s="1"/>
  <c r="DK48" i="2"/>
  <c r="DZ42" i="2" s="1"/>
  <c r="DI46" i="2"/>
  <c r="DI51" i="2"/>
  <c r="DL47" i="2"/>
  <c r="EA41" i="2" s="1"/>
  <c r="DK49" i="2"/>
  <c r="DK51" i="2"/>
  <c r="DI49" i="2"/>
  <c r="DH51" i="2"/>
  <c r="DH48" i="2"/>
  <c r="DJ48" i="2"/>
  <c r="DY42" i="2" s="1"/>
  <c r="DH50" i="2"/>
  <c r="DG51" i="2"/>
  <c r="DL48" i="2"/>
  <c r="EA42" i="2" s="1"/>
  <c r="DI47" i="2"/>
  <c r="DK47" i="2"/>
  <c r="DZ41" i="2" s="1"/>
  <c r="DJ46" i="2"/>
  <c r="DY40" i="2" s="1"/>
  <c r="DG49" i="2"/>
  <c r="DG46" i="2"/>
  <c r="DL49" i="2"/>
  <c r="DJ51" i="2"/>
  <c r="DI50" i="2"/>
  <c r="DG47" i="2"/>
  <c r="DI48" i="2"/>
  <c r="DK50" i="2"/>
  <c r="DL37" i="2"/>
  <c r="DX37" i="2" s="1"/>
  <c r="DG39" i="2"/>
  <c r="DI38" i="2"/>
  <c r="DU38" i="2" s="1"/>
  <c r="DJ42" i="2"/>
  <c r="DI42" i="2"/>
  <c r="DJ39" i="2"/>
  <c r="DV39" i="2" s="1"/>
  <c r="DG37" i="2"/>
  <c r="DK37" i="2"/>
  <c r="DW37" i="2" s="1"/>
  <c r="DH42" i="2"/>
  <c r="DJ38" i="2"/>
  <c r="DV38" i="2" s="1"/>
  <c r="DG42" i="2"/>
  <c r="DI40" i="2"/>
  <c r="DL41" i="2"/>
  <c r="DK41" i="2"/>
  <c r="DH41" i="2"/>
  <c r="DK39" i="2"/>
  <c r="DW39" i="2" s="1"/>
  <c r="DH37" i="2"/>
  <c r="DI37" i="2"/>
  <c r="DI41" i="2"/>
  <c r="DJ41" i="2"/>
  <c r="DH38" i="2"/>
  <c r="DT38" i="2" s="1"/>
  <c r="DL40" i="2"/>
  <c r="DJ40" i="2"/>
  <c r="DG40" i="2"/>
  <c r="DH40" i="2"/>
  <c r="DK38" i="2"/>
  <c r="DW38" i="2" s="1"/>
  <c r="DI39" i="2"/>
  <c r="DU39" i="2" s="1"/>
  <c r="DG41" i="2"/>
  <c r="DL39" i="2"/>
  <c r="DX39" i="2" s="1"/>
  <c r="DL38" i="2"/>
  <c r="DX38" i="2" s="1"/>
  <c r="DK40" i="2"/>
  <c r="DG38" i="2"/>
  <c r="DL42" i="2"/>
  <c r="DH39" i="2"/>
  <c r="DJ37" i="2"/>
  <c r="DV37" i="2" s="1"/>
  <c r="DK42" i="2"/>
  <c r="P25" i="7" l="1"/>
  <c r="Q17" i="7"/>
  <c r="P13" i="3"/>
  <c r="DU37" i="2"/>
  <c r="DT37" i="2"/>
  <c r="G16" i="7" s="1"/>
  <c r="G37" i="7" s="1"/>
  <c r="EB47" i="2" a="1"/>
  <c r="EB48" i="2" s="1"/>
  <c r="O24" i="6" s="1"/>
  <c r="Q14" i="3"/>
  <c r="P18" i="7"/>
  <c r="P15" i="3"/>
  <c r="P15" i="6"/>
  <c r="Q24" i="3"/>
  <c r="Q24" i="6"/>
  <c r="Q27" i="7"/>
  <c r="P14" i="6"/>
  <c r="Q15" i="3"/>
  <c r="Q18" i="7"/>
  <c r="P22" i="6"/>
  <c r="O16" i="7"/>
  <c r="P17" i="7"/>
  <c r="Q25" i="7"/>
  <c r="Q22" i="6"/>
  <c r="Q22" i="3"/>
  <c r="O14" i="6"/>
  <c r="O17" i="7"/>
  <c r="O14" i="3"/>
  <c r="DX40" i="2"/>
  <c r="K16" i="3" s="1"/>
  <c r="K37" i="3" s="1"/>
  <c r="O18" i="7"/>
  <c r="O15" i="6"/>
  <c r="O15" i="3"/>
  <c r="P23" i="3"/>
  <c r="DS37" i="2"/>
  <c r="F13" i="6" s="1"/>
  <c r="F34" i="6" s="1"/>
  <c r="P13" i="6"/>
  <c r="Q15" i="6"/>
  <c r="P26" i="7"/>
  <c r="Q16" i="7"/>
  <c r="Q13" i="3"/>
  <c r="Q23" i="6"/>
  <c r="Q23" i="3"/>
  <c r="EC48" i="2" a="1"/>
  <c r="Q26" i="7"/>
  <c r="DW41" i="2"/>
  <c r="J20" i="7" s="1"/>
  <c r="J41" i="7" s="1"/>
  <c r="DX41" i="2"/>
  <c r="DW42" i="2" s="1" a="1"/>
  <c r="DL60" i="2"/>
  <c r="EG51" i="2" s="1"/>
  <c r="T27" i="3" s="1"/>
  <c r="DG58" i="2"/>
  <c r="DL55" i="2"/>
  <c r="EG43" i="2" s="1"/>
  <c r="T19" i="3" s="1"/>
  <c r="DG55" i="2"/>
  <c r="DY43" i="2" s="1"/>
  <c r="DH59" i="2"/>
  <c r="DK57" i="2"/>
  <c r="EF45" i="2" s="1"/>
  <c r="S21" i="6" s="1"/>
  <c r="DH56" i="2"/>
  <c r="DZ44" i="2" s="1"/>
  <c r="DJ59" i="2"/>
  <c r="DI59" i="2"/>
  <c r="DL58" i="2"/>
  <c r="EG49" i="2" s="1"/>
  <c r="T25" i="6" s="1"/>
  <c r="DG56" i="2"/>
  <c r="DJ56" i="2"/>
  <c r="EE44" i="2" s="1"/>
  <c r="R23" i="7" s="1"/>
  <c r="DI57" i="2"/>
  <c r="EA45" i="2" s="1"/>
  <c r="DI56" i="2"/>
  <c r="EA44" i="2" s="1"/>
  <c r="DL56" i="2"/>
  <c r="EG44" i="2" s="1"/>
  <c r="T20" i="6" s="1"/>
  <c r="DH58" i="2"/>
  <c r="DI60" i="2"/>
  <c r="DK58" i="2"/>
  <c r="EF49" i="2" s="1"/>
  <c r="S25" i="6" s="1"/>
  <c r="DI55" i="2"/>
  <c r="EA43" i="2" s="1"/>
  <c r="DJ55" i="2"/>
  <c r="EE43" i="2" s="1"/>
  <c r="R19" i="3" s="1"/>
  <c r="DG57" i="2"/>
  <c r="DJ58" i="2"/>
  <c r="EE49" i="2" s="1"/>
  <c r="R28" i="7" s="1"/>
  <c r="DG59" i="2"/>
  <c r="DI58" i="2"/>
  <c r="DK59" i="2"/>
  <c r="EF50" i="2" s="1"/>
  <c r="S26" i="6" s="1"/>
  <c r="DH60" i="2"/>
  <c r="DL57" i="2"/>
  <c r="EG45" i="2" s="1"/>
  <c r="T21" i="6" s="1"/>
  <c r="DH57" i="2"/>
  <c r="DG60" i="2"/>
  <c r="DK60" i="2"/>
  <c r="DJ57" i="2"/>
  <c r="EE45" i="2" s="1"/>
  <c r="R24" i="7" s="1"/>
  <c r="DJ60" i="2"/>
  <c r="DK56" i="2"/>
  <c r="EF44" i="2" s="1"/>
  <c r="S23" i="7" s="1"/>
  <c r="DL59" i="2"/>
  <c r="EG50" i="2" s="1"/>
  <c r="T29" i="7" s="1"/>
  <c r="DH55" i="2"/>
  <c r="DZ43" i="2" s="1"/>
  <c r="DV40" i="2"/>
  <c r="I19" i="7" s="1"/>
  <c r="I40" i="7" s="1"/>
  <c r="DW40" i="2"/>
  <c r="J16" i="3" s="1"/>
  <c r="J37" i="3" s="1"/>
  <c r="K14" i="3"/>
  <c r="K35" i="3" s="1"/>
  <c r="K17" i="7"/>
  <c r="K38" i="7" s="1"/>
  <c r="K14" i="6"/>
  <c r="K35" i="6" s="1"/>
  <c r="G17" i="7"/>
  <c r="G38" i="7" s="1"/>
  <c r="G14" i="6"/>
  <c r="G35" i="6" s="1"/>
  <c r="G14" i="3"/>
  <c r="G35" i="3" s="1"/>
  <c r="DX43" i="2" a="1"/>
  <c r="L18" i="6"/>
  <c r="L39" i="6" s="1"/>
  <c r="L21" i="7"/>
  <c r="L42" i="7" s="1"/>
  <c r="L18" i="3"/>
  <c r="L39" i="3" s="1"/>
  <c r="M19" i="7"/>
  <c r="M40" i="7" s="1"/>
  <c r="M16" i="3"/>
  <c r="M37" i="3" s="1"/>
  <c r="M16" i="6"/>
  <c r="M37" i="6" s="1"/>
  <c r="M21" i="7"/>
  <c r="M42" i="7" s="1"/>
  <c r="M18" i="3"/>
  <c r="M39" i="3" s="1"/>
  <c r="M18" i="6"/>
  <c r="M39" i="6" s="1"/>
  <c r="L20" i="7"/>
  <c r="L41" i="7" s="1"/>
  <c r="L17" i="3"/>
  <c r="L38" i="3" s="1"/>
  <c r="L17" i="6"/>
  <c r="L38" i="6" s="1"/>
  <c r="I15" i="6"/>
  <c r="I36" i="6" s="1"/>
  <c r="DU40" i="2" a="1"/>
  <c r="I18" i="7"/>
  <c r="I39" i="7" s="1"/>
  <c r="I15" i="3"/>
  <c r="I36" i="3" s="1"/>
  <c r="K15" i="6"/>
  <c r="K36" i="6" s="1"/>
  <c r="K15" i="3"/>
  <c r="K36" i="3" s="1"/>
  <c r="K18" i="7"/>
  <c r="K39" i="7" s="1"/>
  <c r="H15" i="3"/>
  <c r="H36" i="3" s="1"/>
  <c r="H18" i="7"/>
  <c r="H39" i="7" s="1"/>
  <c r="H15" i="6"/>
  <c r="H36" i="6" s="1"/>
  <c r="L16" i="3"/>
  <c r="L37" i="3" s="1"/>
  <c r="L19" i="7"/>
  <c r="L40" i="7" s="1"/>
  <c r="L16" i="6"/>
  <c r="L37" i="6" s="1"/>
  <c r="N16" i="3"/>
  <c r="N37" i="3" s="1"/>
  <c r="N16" i="6"/>
  <c r="N37" i="6" s="1"/>
  <c r="N19" i="7"/>
  <c r="N40" i="7" s="1"/>
  <c r="J17" i="7"/>
  <c r="J38" i="7" s="1"/>
  <c r="J14" i="6"/>
  <c r="J35" i="6" s="1"/>
  <c r="J14" i="3"/>
  <c r="J35" i="3" s="1"/>
  <c r="M17" i="3"/>
  <c r="M38" i="3" s="1"/>
  <c r="M20" i="7"/>
  <c r="M41" i="7" s="1"/>
  <c r="M17" i="6"/>
  <c r="M38" i="6" s="1"/>
  <c r="I16" i="7"/>
  <c r="I37" i="7" s="1"/>
  <c r="I13" i="3"/>
  <c r="I34" i="3" s="1"/>
  <c r="I13" i="6"/>
  <c r="I34" i="6" s="1"/>
  <c r="DT39" i="2" a="1"/>
  <c r="H14" i="6"/>
  <c r="H35" i="6" s="1"/>
  <c r="H17" i="7"/>
  <c r="H38" i="7" s="1"/>
  <c r="H14" i="3"/>
  <c r="H35" i="3" s="1"/>
  <c r="I17" i="7"/>
  <c r="I38" i="7" s="1"/>
  <c r="I14" i="6"/>
  <c r="I35" i="6" s="1"/>
  <c r="I14" i="3"/>
  <c r="I35" i="3" s="1"/>
  <c r="DX42" i="2"/>
  <c r="K13" i="6"/>
  <c r="K34" i="6" s="1"/>
  <c r="K13" i="3"/>
  <c r="K34" i="3" s="1"/>
  <c r="K16" i="7"/>
  <c r="K37" i="7" s="1"/>
  <c r="S22" i="7"/>
  <c r="S19" i="3"/>
  <c r="S19" i="6"/>
  <c r="N20" i="7"/>
  <c r="N41" i="7" s="1"/>
  <c r="N17" i="3"/>
  <c r="N38" i="3" s="1"/>
  <c r="N17" i="6"/>
  <c r="N38" i="6" s="1"/>
  <c r="H13" i="6"/>
  <c r="H34" i="6" s="1"/>
  <c r="H13" i="3"/>
  <c r="H34" i="3" s="1"/>
  <c r="H16" i="7"/>
  <c r="H37" i="7" s="1"/>
  <c r="J15" i="3"/>
  <c r="J36" i="3" s="1"/>
  <c r="J15" i="6"/>
  <c r="J36" i="6" s="1"/>
  <c r="J18" i="7"/>
  <c r="J39" i="7" s="1"/>
  <c r="J13" i="3"/>
  <c r="J34" i="3" s="1"/>
  <c r="J13" i="6"/>
  <c r="J34" i="6" s="1"/>
  <c r="J16" i="7"/>
  <c r="J37" i="7" s="1"/>
  <c r="N21" i="7"/>
  <c r="N42" i="7" s="1"/>
  <c r="N18" i="6"/>
  <c r="N39" i="6" s="1"/>
  <c r="N18" i="3"/>
  <c r="N39" i="3" s="1"/>
  <c r="R21" i="6" l="1"/>
  <c r="DS38" i="2" a="1"/>
  <c r="DS49" i="2" s="1"/>
  <c r="G13" i="3"/>
  <c r="G34" i="3" s="1"/>
  <c r="EB51" i="2"/>
  <c r="G13" i="6"/>
  <c r="G34" i="6" s="1"/>
  <c r="O27" i="7"/>
  <c r="EB50" i="2"/>
  <c r="O26" i="3" s="1"/>
  <c r="O27" i="6"/>
  <c r="EB49" i="2"/>
  <c r="K16" i="6"/>
  <c r="K37" i="6" s="1"/>
  <c r="O24" i="3"/>
  <c r="K19" i="7"/>
  <c r="K40" i="7" s="1"/>
  <c r="EB47" i="2"/>
  <c r="EC49" i="2"/>
  <c r="EC50" i="2"/>
  <c r="EC51" i="2"/>
  <c r="EC48" i="2"/>
  <c r="F13" i="3"/>
  <c r="F34" i="3" s="1"/>
  <c r="F16" i="7"/>
  <c r="F37" i="7" s="1"/>
  <c r="T30" i="7"/>
  <c r="O23" i="3"/>
  <c r="EF51" i="2"/>
  <c r="S27" i="6" s="1"/>
  <c r="T25" i="3"/>
  <c r="T20" i="3"/>
  <c r="S28" i="7"/>
  <c r="S25" i="3"/>
  <c r="T28" i="7"/>
  <c r="K17" i="6"/>
  <c r="K38" i="6" s="1"/>
  <c r="S29" i="7"/>
  <c r="T27" i="6"/>
  <c r="S20" i="3"/>
  <c r="T23" i="7"/>
  <c r="J17" i="3"/>
  <c r="J38" i="3" s="1"/>
  <c r="S20" i="6"/>
  <c r="S26" i="3"/>
  <c r="R21" i="3"/>
  <c r="T22" i="7"/>
  <c r="I16" i="3"/>
  <c r="I37" i="3" s="1"/>
  <c r="T19" i="6"/>
  <c r="R25" i="3"/>
  <c r="I16" i="6"/>
  <c r="I37" i="6" s="1"/>
  <c r="R25" i="6"/>
  <c r="T21" i="3"/>
  <c r="N19" i="6"/>
  <c r="N40" i="6" s="1"/>
  <c r="N22" i="7"/>
  <c r="N43" i="7" s="1"/>
  <c r="N19" i="3"/>
  <c r="N40" i="3" s="1"/>
  <c r="K20" i="7"/>
  <c r="K41" i="7" s="1"/>
  <c r="EE50" i="2" a="1"/>
  <c r="EE51" i="2" s="1"/>
  <c r="T24" i="7"/>
  <c r="K17" i="3"/>
  <c r="K38" i="3" s="1"/>
  <c r="J16" i="6"/>
  <c r="J37" i="6" s="1"/>
  <c r="J17" i="6"/>
  <c r="J38" i="6" s="1"/>
  <c r="M22" i="7"/>
  <c r="M43" i="7" s="1"/>
  <c r="M19" i="3"/>
  <c r="M40" i="3" s="1"/>
  <c r="DY44" i="2" a="1"/>
  <c r="DY47" i="2" s="1"/>
  <c r="M19" i="6"/>
  <c r="M40" i="6" s="1"/>
  <c r="N24" i="7"/>
  <c r="N45" i="7" s="1"/>
  <c r="N21" i="6"/>
  <c r="N42" i="6" s="1"/>
  <c r="N21" i="3"/>
  <c r="N42" i="3" s="1"/>
  <c r="DV41" i="2" a="1"/>
  <c r="DV47" i="2" s="1"/>
  <c r="T26" i="6"/>
  <c r="R19" i="6"/>
  <c r="S21" i="3"/>
  <c r="EA46" i="2" a="1"/>
  <c r="EA49" i="2" s="1"/>
  <c r="R22" i="7"/>
  <c r="T26" i="3"/>
  <c r="S24" i="7"/>
  <c r="R20" i="6"/>
  <c r="R20" i="3"/>
  <c r="J19" i="7"/>
  <c r="J40" i="7" s="1"/>
  <c r="DS51" i="2"/>
  <c r="DW51" i="2"/>
  <c r="DW43" i="2"/>
  <c r="DW49" i="2"/>
  <c r="DW45" i="2"/>
  <c r="DW50" i="2"/>
  <c r="DW47" i="2"/>
  <c r="DW46" i="2"/>
  <c r="DW44" i="2"/>
  <c r="DW48" i="2"/>
  <c r="DW42" i="2"/>
  <c r="M20" i="3"/>
  <c r="M41" i="3" s="1"/>
  <c r="M23" i="7"/>
  <c r="M44" i="7" s="1"/>
  <c r="M20" i="6"/>
  <c r="M41" i="6" s="1"/>
  <c r="DX48" i="2"/>
  <c r="DX50" i="2"/>
  <c r="DX43" i="2"/>
  <c r="DX46" i="2"/>
  <c r="DX47" i="2"/>
  <c r="DX44" i="2"/>
  <c r="DX45" i="2"/>
  <c r="DX49" i="2"/>
  <c r="DX51" i="2"/>
  <c r="DT49" i="2"/>
  <c r="DT43" i="2"/>
  <c r="DT50" i="2"/>
  <c r="DT41" i="2"/>
  <c r="DT42" i="2"/>
  <c r="DT40" i="2"/>
  <c r="DT51" i="2"/>
  <c r="DT44" i="2"/>
  <c r="DT48" i="2"/>
  <c r="DT47" i="2"/>
  <c r="DT39" i="2"/>
  <c r="DT46" i="2"/>
  <c r="DT45" i="2"/>
  <c r="DU41" i="2"/>
  <c r="DU46" i="2"/>
  <c r="DU42" i="2"/>
  <c r="DU47" i="2"/>
  <c r="DU49" i="2"/>
  <c r="DU48" i="2"/>
  <c r="DU45" i="2"/>
  <c r="DU43" i="2"/>
  <c r="DU51" i="2"/>
  <c r="DU50" i="2"/>
  <c r="DU44" i="2"/>
  <c r="DU40" i="2"/>
  <c r="N23" i="7"/>
  <c r="N44" i="7" s="1"/>
  <c r="N20" i="3"/>
  <c r="N41" i="3" s="1"/>
  <c r="N20" i="6"/>
  <c r="N41" i="6" s="1"/>
  <c r="DZ45" i="2" a="1"/>
  <c r="K18" i="6"/>
  <c r="K39" i="6" s="1"/>
  <c r="K21" i="7"/>
  <c r="K42" i="7" s="1"/>
  <c r="K18" i="3"/>
  <c r="K39" i="3" s="1"/>
  <c r="L22" i="7"/>
  <c r="L43" i="7" s="1"/>
  <c r="L19" i="3"/>
  <c r="L40" i="3" s="1"/>
  <c r="L19" i="6"/>
  <c r="L40" i="6" s="1"/>
  <c r="DS42" i="2" l="1"/>
  <c r="DS39" i="2"/>
  <c r="F15" i="6" s="1"/>
  <c r="F36" i="6" s="1"/>
  <c r="DS46" i="2"/>
  <c r="DS47" i="2"/>
  <c r="DS44" i="2"/>
  <c r="DS43" i="2"/>
  <c r="F19" i="6" s="1"/>
  <c r="F40" i="6" s="1"/>
  <c r="DS45" i="2"/>
  <c r="F24" i="7" s="1"/>
  <c r="F45" i="7" s="1"/>
  <c r="DS50" i="2"/>
  <c r="DS38" i="2"/>
  <c r="DS40" i="2"/>
  <c r="DS41" i="2"/>
  <c r="F17" i="6" s="1"/>
  <c r="F38" i="6" s="1"/>
  <c r="DS48" i="2"/>
  <c r="O26" i="6"/>
  <c r="O29" i="7"/>
  <c r="O27" i="3"/>
  <c r="O30" i="7"/>
  <c r="O23" i="6"/>
  <c r="O26" i="7"/>
  <c r="O28" i="7"/>
  <c r="O25" i="3"/>
  <c r="O25" i="6"/>
  <c r="S30" i="7"/>
  <c r="S27" i="3"/>
  <c r="P24" i="3"/>
  <c r="P27" i="7"/>
  <c r="P24" i="6"/>
  <c r="P30" i="7"/>
  <c r="P27" i="6"/>
  <c r="P27" i="3"/>
  <c r="P25" i="3"/>
  <c r="P25" i="6"/>
  <c r="P28" i="7"/>
  <c r="P26" i="6"/>
  <c r="P26" i="3"/>
  <c r="P29" i="7"/>
  <c r="DY48" i="2"/>
  <c r="L24" i="3" s="1"/>
  <c r="L70" i="3" s="1"/>
  <c r="DY46" i="2"/>
  <c r="L25" i="7" s="1"/>
  <c r="L71" i="7" s="1"/>
  <c r="EA50" i="2"/>
  <c r="N29" i="7" s="1"/>
  <c r="N75" i="7" s="1"/>
  <c r="EA48" i="2"/>
  <c r="N27" i="7" s="1"/>
  <c r="N73" i="7" s="1"/>
  <c r="DY50" i="2"/>
  <c r="L26" i="6" s="1"/>
  <c r="L72" i="6" s="1"/>
  <c r="DY49" i="2"/>
  <c r="L25" i="3" s="1"/>
  <c r="L71" i="3" s="1"/>
  <c r="DY51" i="2"/>
  <c r="L27" i="3" s="1"/>
  <c r="L73" i="3" s="1"/>
  <c r="DY45" i="2"/>
  <c r="L21" i="3" s="1"/>
  <c r="L42" i="3" s="1"/>
  <c r="EA47" i="2"/>
  <c r="N26" i="7" s="1"/>
  <c r="N72" i="7" s="1"/>
  <c r="EA51" i="2"/>
  <c r="N27" i="3" s="1"/>
  <c r="N73" i="3" s="1"/>
  <c r="EA46" i="2"/>
  <c r="N25" i="7" s="1"/>
  <c r="N71" i="7" s="1"/>
  <c r="DY44" i="2"/>
  <c r="L23" i="7" s="1"/>
  <c r="L44" i="7" s="1"/>
  <c r="EE50" i="2"/>
  <c r="R26" i="3" s="1"/>
  <c r="DV49" i="2"/>
  <c r="I28" i="7" s="1"/>
  <c r="I74" i="7" s="1"/>
  <c r="DV51" i="2"/>
  <c r="I27" i="3" s="1"/>
  <c r="I73" i="3" s="1"/>
  <c r="DV43" i="2"/>
  <c r="I19" i="3" s="1"/>
  <c r="I40" i="3" s="1"/>
  <c r="DV44" i="2"/>
  <c r="I23" i="7" s="1"/>
  <c r="I44" i="7" s="1"/>
  <c r="DV41" i="2"/>
  <c r="I20" i="7" s="1"/>
  <c r="I41" i="7" s="1"/>
  <c r="DV50" i="2"/>
  <c r="I29" i="7" s="1"/>
  <c r="I75" i="7" s="1"/>
  <c r="DV45" i="2"/>
  <c r="I24" i="7" s="1"/>
  <c r="I45" i="7" s="1"/>
  <c r="DV48" i="2"/>
  <c r="I24" i="6" s="1"/>
  <c r="I70" i="6" s="1"/>
  <c r="DV46" i="2"/>
  <c r="I25" i="7" s="1"/>
  <c r="I71" i="7" s="1"/>
  <c r="DV42" i="2"/>
  <c r="I18" i="3" s="1"/>
  <c r="I39" i="3" s="1"/>
  <c r="DZ45" i="2"/>
  <c r="DZ46" i="2"/>
  <c r="DZ51" i="2"/>
  <c r="DZ49" i="2"/>
  <c r="DZ50" i="2"/>
  <c r="DZ47" i="2"/>
  <c r="DZ48" i="2"/>
  <c r="H20" i="7"/>
  <c r="H41" i="7" s="1"/>
  <c r="H17" i="6"/>
  <c r="H38" i="6" s="1"/>
  <c r="H17" i="3"/>
  <c r="H38" i="3" s="1"/>
  <c r="G16" i="6"/>
  <c r="G37" i="6" s="1"/>
  <c r="G19" i="7"/>
  <c r="G40" i="7" s="1"/>
  <c r="G16" i="3"/>
  <c r="G37" i="3" s="1"/>
  <c r="K21" i="6"/>
  <c r="K42" i="6" s="1"/>
  <c r="K24" i="7"/>
  <c r="K45" i="7" s="1"/>
  <c r="K21" i="3"/>
  <c r="K42" i="3" s="1"/>
  <c r="N25" i="3"/>
  <c r="N71" i="3" s="1"/>
  <c r="N25" i="6"/>
  <c r="N71" i="6" s="1"/>
  <c r="N28" i="7"/>
  <c r="N74" i="7" s="1"/>
  <c r="F18" i="7"/>
  <c r="F39" i="7" s="1"/>
  <c r="F15" i="3"/>
  <c r="F36" i="3" s="1"/>
  <c r="G21" i="6"/>
  <c r="G42" i="6" s="1"/>
  <c r="G21" i="3"/>
  <c r="G42" i="3" s="1"/>
  <c r="G24" i="7"/>
  <c r="G45" i="7" s="1"/>
  <c r="J23" i="6"/>
  <c r="J69" i="6" s="1"/>
  <c r="J23" i="3"/>
  <c r="J69" i="3" s="1"/>
  <c r="J26" i="7"/>
  <c r="J72" i="7" s="1"/>
  <c r="F22" i="3"/>
  <c r="F68" i="3" s="1"/>
  <c r="F25" i="7"/>
  <c r="F71" i="7" s="1"/>
  <c r="F22" i="6"/>
  <c r="F68" i="6" s="1"/>
  <c r="F18" i="3"/>
  <c r="F39" i="3" s="1"/>
  <c r="F21" i="7"/>
  <c r="F42" i="7" s="1"/>
  <c r="F18" i="6"/>
  <c r="F39" i="6" s="1"/>
  <c r="I23" i="6"/>
  <c r="I69" i="6" s="1"/>
  <c r="I23" i="3"/>
  <c r="I69" i="3" s="1"/>
  <c r="I26" i="7"/>
  <c r="I72" i="7" s="1"/>
  <c r="H21" i="6"/>
  <c r="H42" i="6" s="1"/>
  <c r="H21" i="3"/>
  <c r="H42" i="3" s="1"/>
  <c r="H24" i="7"/>
  <c r="H45" i="7" s="1"/>
  <c r="G22" i="6"/>
  <c r="G68" i="6" s="1"/>
  <c r="G22" i="3"/>
  <c r="G68" i="3" s="1"/>
  <c r="G25" i="7"/>
  <c r="G71" i="7" s="1"/>
  <c r="G17" i="6"/>
  <c r="G38" i="6" s="1"/>
  <c r="G17" i="3"/>
  <c r="G38" i="3" s="1"/>
  <c r="G20" i="7"/>
  <c r="G41" i="7" s="1"/>
  <c r="K26" i="7"/>
  <c r="K72" i="7" s="1"/>
  <c r="K23" i="3"/>
  <c r="K69" i="3" s="1"/>
  <c r="K23" i="6"/>
  <c r="K69" i="6" s="1"/>
  <c r="J26" i="3"/>
  <c r="J72" i="3" s="1"/>
  <c r="J26" i="6"/>
  <c r="J72" i="6" s="1"/>
  <c r="J29" i="7"/>
  <c r="J75" i="7" s="1"/>
  <c r="F23" i="3"/>
  <c r="F69" i="3" s="1"/>
  <c r="F23" i="6"/>
  <c r="F69" i="6" s="1"/>
  <c r="F26" i="7"/>
  <c r="F72" i="7" s="1"/>
  <c r="F20" i="6"/>
  <c r="F41" i="6" s="1"/>
  <c r="F23" i="7"/>
  <c r="F44" i="7" s="1"/>
  <c r="F20" i="3"/>
  <c r="F41" i="3" s="1"/>
  <c r="H27" i="7"/>
  <c r="H73" i="7" s="1"/>
  <c r="H24" i="6"/>
  <c r="H70" i="6" s="1"/>
  <c r="H24" i="3"/>
  <c r="H70" i="3" s="1"/>
  <c r="G15" i="3"/>
  <c r="G36" i="3" s="1"/>
  <c r="G15" i="6"/>
  <c r="G36" i="6" s="1"/>
  <c r="G18" i="7"/>
  <c r="G39" i="7" s="1"/>
  <c r="G26" i="6"/>
  <c r="G72" i="6" s="1"/>
  <c r="G26" i="3"/>
  <c r="G72" i="3" s="1"/>
  <c r="G29" i="7"/>
  <c r="G75" i="7" s="1"/>
  <c r="K22" i="3"/>
  <c r="K68" i="3" s="1"/>
  <c r="K25" i="7"/>
  <c r="K71" i="7" s="1"/>
  <c r="K22" i="6"/>
  <c r="K68" i="6" s="1"/>
  <c r="J21" i="6"/>
  <c r="J42" i="6" s="1"/>
  <c r="J21" i="3"/>
  <c r="J42" i="3" s="1"/>
  <c r="J24" i="7"/>
  <c r="J45" i="7" s="1"/>
  <c r="F22" i="7"/>
  <c r="F43" i="7" s="1"/>
  <c r="F21" i="3"/>
  <c r="F42" i="3" s="1"/>
  <c r="L29" i="7"/>
  <c r="L75" i="7" s="1"/>
  <c r="H27" i="6"/>
  <c r="H73" i="6" s="1"/>
  <c r="H27" i="3"/>
  <c r="H73" i="3" s="1"/>
  <c r="H30" i="7"/>
  <c r="H76" i="7" s="1"/>
  <c r="J22" i="3"/>
  <c r="J68" i="3" s="1"/>
  <c r="J25" i="7"/>
  <c r="J71" i="7" s="1"/>
  <c r="J22" i="6"/>
  <c r="J68" i="6" s="1"/>
  <c r="F30" i="7"/>
  <c r="F76" i="7" s="1"/>
  <c r="F27" i="3"/>
  <c r="F73" i="3" s="1"/>
  <c r="F27" i="6"/>
  <c r="F73" i="6" s="1"/>
  <c r="H19" i="6"/>
  <c r="H40" i="6" s="1"/>
  <c r="H22" i="7"/>
  <c r="H43" i="7" s="1"/>
  <c r="H19" i="3"/>
  <c r="H40" i="3" s="1"/>
  <c r="G18" i="6"/>
  <c r="G39" i="6" s="1"/>
  <c r="G21" i="7"/>
  <c r="G42" i="7" s="1"/>
  <c r="G18" i="3"/>
  <c r="G39" i="3" s="1"/>
  <c r="K20" i="3"/>
  <c r="K41" i="3" s="1"/>
  <c r="K23" i="7"/>
  <c r="K44" i="7" s="1"/>
  <c r="K20" i="6"/>
  <c r="K41" i="6" s="1"/>
  <c r="H20" i="3"/>
  <c r="H41" i="3" s="1"/>
  <c r="H20" i="6"/>
  <c r="H41" i="6" s="1"/>
  <c r="H23" i="7"/>
  <c r="H44" i="7" s="1"/>
  <c r="H21" i="7"/>
  <c r="H42" i="7" s="1"/>
  <c r="H18" i="6"/>
  <c r="H39" i="6" s="1"/>
  <c r="H18" i="3"/>
  <c r="H39" i="3" s="1"/>
  <c r="G20" i="3"/>
  <c r="G41" i="3" s="1"/>
  <c r="G20" i="6"/>
  <c r="G41" i="6" s="1"/>
  <c r="G23" i="7"/>
  <c r="G44" i="7" s="1"/>
  <c r="K30" i="7"/>
  <c r="K76" i="7" s="1"/>
  <c r="K27" i="3"/>
  <c r="K73" i="3" s="1"/>
  <c r="K27" i="6"/>
  <c r="K73" i="6" s="1"/>
  <c r="K24" i="6"/>
  <c r="K70" i="6" s="1"/>
  <c r="K27" i="7"/>
  <c r="K73" i="7" s="1"/>
  <c r="K24" i="3"/>
  <c r="K70" i="3" s="1"/>
  <c r="J27" i="7"/>
  <c r="J73" i="7" s="1"/>
  <c r="J24" i="3"/>
  <c r="J70" i="3" s="1"/>
  <c r="J24" i="6"/>
  <c r="J70" i="6" s="1"/>
  <c r="J27" i="6"/>
  <c r="J73" i="6" s="1"/>
  <c r="J27" i="3"/>
  <c r="J73" i="3" s="1"/>
  <c r="J30" i="7"/>
  <c r="J76" i="7" s="1"/>
  <c r="F17" i="3"/>
  <c r="F38" i="3" s="1"/>
  <c r="L23" i="6"/>
  <c r="L69" i="6" s="1"/>
  <c r="L23" i="3"/>
  <c r="L69" i="3" s="1"/>
  <c r="L26" i="7"/>
  <c r="L72" i="7" s="1"/>
  <c r="H25" i="3"/>
  <c r="H71" i="3" s="1"/>
  <c r="H25" i="6"/>
  <c r="H71" i="6" s="1"/>
  <c r="H28" i="7"/>
  <c r="H74" i="7" s="1"/>
  <c r="G26" i="7"/>
  <c r="G72" i="7" s="1"/>
  <c r="G23" i="3"/>
  <c r="G69" i="3" s="1"/>
  <c r="G23" i="6"/>
  <c r="G69" i="6" s="1"/>
  <c r="G19" i="3"/>
  <c r="G40" i="3" s="1"/>
  <c r="G22" i="7"/>
  <c r="G43" i="7" s="1"/>
  <c r="G19" i="6"/>
  <c r="G40" i="6" s="1"/>
  <c r="K19" i="3"/>
  <c r="K40" i="3" s="1"/>
  <c r="K22" i="7"/>
  <c r="K43" i="7" s="1"/>
  <c r="K19" i="6"/>
  <c r="K40" i="6" s="1"/>
  <c r="R30" i="7"/>
  <c r="R27" i="6"/>
  <c r="R27" i="3"/>
  <c r="J25" i="3"/>
  <c r="J71" i="3" s="1"/>
  <c r="J25" i="6"/>
  <c r="J71" i="6" s="1"/>
  <c r="J28" i="7"/>
  <c r="J74" i="7" s="1"/>
  <c r="F26" i="3"/>
  <c r="F72" i="3" s="1"/>
  <c r="F29" i="7"/>
  <c r="F75" i="7" s="1"/>
  <c r="F26" i="6"/>
  <c r="F72" i="6" s="1"/>
  <c r="F14" i="3"/>
  <c r="F35" i="3" s="1"/>
  <c r="F14" i="6"/>
  <c r="F35" i="6" s="1"/>
  <c r="F17" i="7"/>
  <c r="F38" i="7" s="1"/>
  <c r="H16" i="6"/>
  <c r="H37" i="6" s="1"/>
  <c r="H19" i="7"/>
  <c r="H40" i="7" s="1"/>
  <c r="H16" i="3"/>
  <c r="H37" i="3" s="1"/>
  <c r="H26" i="7"/>
  <c r="H72" i="7" s="1"/>
  <c r="H23" i="3"/>
  <c r="H69" i="3" s="1"/>
  <c r="H23" i="6"/>
  <c r="H69" i="6" s="1"/>
  <c r="G24" i="6"/>
  <c r="G70" i="6" s="1"/>
  <c r="G27" i="7"/>
  <c r="G73" i="7" s="1"/>
  <c r="G24" i="3"/>
  <c r="G70" i="3" s="1"/>
  <c r="G25" i="6"/>
  <c r="G71" i="6" s="1"/>
  <c r="G28" i="7"/>
  <c r="G74" i="7" s="1"/>
  <c r="G25" i="3"/>
  <c r="G71" i="3" s="1"/>
  <c r="K26" i="6"/>
  <c r="K72" i="6" s="1"/>
  <c r="K29" i="7"/>
  <c r="K75" i="7" s="1"/>
  <c r="K26" i="3"/>
  <c r="K72" i="3" s="1"/>
  <c r="J18" i="6"/>
  <c r="J39" i="6" s="1"/>
  <c r="J18" i="3"/>
  <c r="J39" i="3" s="1"/>
  <c r="J21" i="7"/>
  <c r="J42" i="7" s="1"/>
  <c r="J19" i="6"/>
  <c r="J40" i="6" s="1"/>
  <c r="J19" i="3"/>
  <c r="J40" i="3" s="1"/>
  <c r="J22" i="7"/>
  <c r="J43" i="7" s="1"/>
  <c r="F19" i="7"/>
  <c r="F40" i="7" s="1"/>
  <c r="F16" i="6"/>
  <c r="F37" i="6" s="1"/>
  <c r="F16" i="3"/>
  <c r="F37" i="3" s="1"/>
  <c r="H26" i="3"/>
  <c r="H72" i="3" s="1"/>
  <c r="H29" i="7"/>
  <c r="H75" i="7" s="1"/>
  <c r="H26" i="6"/>
  <c r="H72" i="6" s="1"/>
  <c r="H22" i="3"/>
  <c r="H68" i="3" s="1"/>
  <c r="H25" i="7"/>
  <c r="H71" i="7" s="1"/>
  <c r="H22" i="6"/>
  <c r="H68" i="6" s="1"/>
  <c r="G30" i="7"/>
  <c r="G76" i="7" s="1"/>
  <c r="G27" i="6"/>
  <c r="G73" i="6" s="1"/>
  <c r="G27" i="3"/>
  <c r="G73" i="3" s="1"/>
  <c r="K28" i="7"/>
  <c r="K74" i="7" s="1"/>
  <c r="K25" i="3"/>
  <c r="K71" i="3" s="1"/>
  <c r="K25" i="6"/>
  <c r="K71" i="6" s="1"/>
  <c r="J20" i="3"/>
  <c r="J41" i="3" s="1"/>
  <c r="J23" i="7"/>
  <c r="J44" i="7" s="1"/>
  <c r="J20" i="6"/>
  <c r="J41" i="6" s="1"/>
  <c r="F24" i="6"/>
  <c r="F70" i="6" s="1"/>
  <c r="F24" i="3"/>
  <c r="F70" i="3" s="1"/>
  <c r="F27" i="7"/>
  <c r="F73" i="7" s="1"/>
  <c r="F28" i="7"/>
  <c r="F74" i="7" s="1"/>
  <c r="F25" i="6"/>
  <c r="F71" i="6" s="1"/>
  <c r="F25" i="3"/>
  <c r="F71" i="3" s="1"/>
  <c r="I24" i="3"/>
  <c r="I70" i="3" s="1"/>
  <c r="F21" i="6" l="1"/>
  <c r="F42" i="6" s="1"/>
  <c r="F19" i="3"/>
  <c r="F40" i="3" s="1"/>
  <c r="L20" i="6"/>
  <c r="L41" i="6" s="1"/>
  <c r="F20" i="7"/>
  <c r="F41" i="7" s="1"/>
  <c r="L27" i="7"/>
  <c r="L73" i="7" s="1"/>
  <c r="L25" i="6"/>
  <c r="L71" i="6" s="1"/>
  <c r="L24" i="6"/>
  <c r="L70" i="6" s="1"/>
  <c r="N23" i="6"/>
  <c r="N69" i="6" s="1"/>
  <c r="L26" i="3"/>
  <c r="L72" i="3" s="1"/>
  <c r="N24" i="6"/>
  <c r="N70" i="6" s="1"/>
  <c r="N24" i="3"/>
  <c r="N70" i="3" s="1"/>
  <c r="I27" i="7"/>
  <c r="I73" i="7" s="1"/>
  <c r="R26" i="6"/>
  <c r="L22" i="6"/>
  <c r="L68" i="6" s="1"/>
  <c r="L22" i="3"/>
  <c r="L68" i="3" s="1"/>
  <c r="N26" i="6"/>
  <c r="N72" i="6" s="1"/>
  <c r="L24" i="7"/>
  <c r="L45" i="7" s="1"/>
  <c r="N30" i="7"/>
  <c r="N76" i="7" s="1"/>
  <c r="L28" i="7"/>
  <c r="L74" i="7" s="1"/>
  <c r="I17" i="3"/>
  <c r="I38" i="3" s="1"/>
  <c r="I17" i="6"/>
  <c r="I38" i="6" s="1"/>
  <c r="N27" i="6"/>
  <c r="N73" i="6" s="1"/>
  <c r="I22" i="3"/>
  <c r="I68" i="3" s="1"/>
  <c r="N26" i="3"/>
  <c r="N72" i="3" s="1"/>
  <c r="I25" i="6"/>
  <c r="I71" i="6" s="1"/>
  <c r="N22" i="3"/>
  <c r="N68" i="3" s="1"/>
  <c r="I20" i="6"/>
  <c r="I41" i="6" s="1"/>
  <c r="I20" i="3"/>
  <c r="I41" i="3" s="1"/>
  <c r="L30" i="7"/>
  <c r="L76" i="7" s="1"/>
  <c r="N23" i="3"/>
  <c r="N69" i="3" s="1"/>
  <c r="L27" i="6"/>
  <c r="L73" i="6" s="1"/>
  <c r="L21" i="6"/>
  <c r="L42" i="6" s="1"/>
  <c r="L20" i="3"/>
  <c r="L41" i="3" s="1"/>
  <c r="I21" i="6"/>
  <c r="I42" i="6" s="1"/>
  <c r="I21" i="3"/>
  <c r="I42" i="3" s="1"/>
  <c r="I27" i="6"/>
  <c r="I73" i="6" s="1"/>
  <c r="I18" i="6"/>
  <c r="I39" i="6" s="1"/>
  <c r="N22" i="6"/>
  <c r="N68" i="6" s="1"/>
  <c r="I30" i="7"/>
  <c r="I76" i="7" s="1"/>
  <c r="I21" i="7"/>
  <c r="I42" i="7" s="1"/>
  <c r="I22" i="7"/>
  <c r="I43" i="7" s="1"/>
  <c r="I26" i="3"/>
  <c r="I72" i="3" s="1"/>
  <c r="R29" i="7"/>
  <c r="I22" i="6"/>
  <c r="I68" i="6" s="1"/>
  <c r="I26" i="6"/>
  <c r="I72" i="6" s="1"/>
  <c r="I25" i="3"/>
  <c r="I71" i="3" s="1"/>
  <c r="I19" i="6"/>
  <c r="I40" i="6" s="1"/>
  <c r="M26" i="7"/>
  <c r="M72" i="7" s="1"/>
  <c r="M23" i="6"/>
  <c r="M69" i="6" s="1"/>
  <c r="M23" i="3"/>
  <c r="M69" i="3" s="1"/>
  <c r="M29" i="7"/>
  <c r="M75" i="7" s="1"/>
  <c r="M26" i="6"/>
  <c r="M72" i="6" s="1"/>
  <c r="M26" i="3"/>
  <c r="M72" i="3" s="1"/>
  <c r="M24" i="6"/>
  <c r="M70" i="6" s="1"/>
  <c r="M27" i="7"/>
  <c r="M73" i="7" s="1"/>
  <c r="M24" i="3"/>
  <c r="M70" i="3" s="1"/>
  <c r="M25" i="6"/>
  <c r="M71" i="6" s="1"/>
  <c r="M25" i="3"/>
  <c r="M71" i="3" s="1"/>
  <c r="M28" i="7"/>
  <c r="M74" i="7" s="1"/>
  <c r="M30" i="7"/>
  <c r="M76" i="7" s="1"/>
  <c r="M27" i="6"/>
  <c r="M73" i="6" s="1"/>
  <c r="M27" i="3"/>
  <c r="M73" i="3" s="1"/>
  <c r="M22" i="3"/>
  <c r="M68" i="3" s="1"/>
  <c r="M25" i="7"/>
  <c r="M71" i="7" s="1"/>
  <c r="M22" i="6"/>
  <c r="M68" i="6" s="1"/>
  <c r="M21" i="6"/>
  <c r="M42" i="6" s="1"/>
  <c r="M24" i="7"/>
  <c r="M45" i="7" s="1"/>
  <c r="M21" i="3"/>
  <c r="M42" i="3" s="1"/>
  <c r="F46" i="3" l="1" a="1"/>
  <c r="M53" i="3" s="1"/>
  <c r="F49" i="7" a="1"/>
  <c r="K53" i="7" s="1"/>
  <c r="F46" i="6" a="1"/>
  <c r="N50" i="6" s="1"/>
  <c r="I51" i="3" l="1"/>
  <c r="H53" i="3"/>
  <c r="J53" i="3"/>
  <c r="N50" i="3"/>
  <c r="K54" i="3"/>
  <c r="N54" i="3"/>
  <c r="I50" i="3"/>
  <c r="F48" i="3"/>
  <c r="L53" i="3"/>
  <c r="L52" i="3"/>
  <c r="N51" i="3"/>
  <c r="G53" i="3"/>
  <c r="L46" i="3"/>
  <c r="F52" i="3"/>
  <c r="K51" i="3"/>
  <c r="F47" i="3"/>
  <c r="J47" i="3"/>
  <c r="I52" i="3"/>
  <c r="M46" i="3"/>
  <c r="H49" i="3"/>
  <c r="J48" i="3"/>
  <c r="I54" i="3"/>
  <c r="K48" i="3"/>
  <c r="L54" i="3"/>
  <c r="I53" i="3"/>
  <c r="I46" i="3"/>
  <c r="L48" i="3"/>
  <c r="J46" i="3"/>
  <c r="L51" i="3"/>
  <c r="I49" i="3"/>
  <c r="F54" i="3"/>
  <c r="J49" i="3"/>
  <c r="J51" i="3"/>
  <c r="G49" i="3"/>
  <c r="K49" i="3"/>
  <c r="L47" i="3"/>
  <c r="N47" i="3"/>
  <c r="I48" i="3"/>
  <c r="F46" i="3"/>
  <c r="J50" i="3"/>
  <c r="N53" i="3"/>
  <c r="M50" i="3"/>
  <c r="K50" i="3"/>
  <c r="J54" i="3"/>
  <c r="H47" i="3"/>
  <c r="L49" i="3"/>
  <c r="N49" i="3"/>
  <c r="G50" i="3"/>
  <c r="M54" i="3"/>
  <c r="H46" i="3"/>
  <c r="L50" i="3"/>
  <c r="N48" i="3"/>
  <c r="M52" i="3"/>
  <c r="M51" i="3"/>
  <c r="K52" i="3"/>
  <c r="M48" i="3"/>
  <c r="J52" i="3"/>
  <c r="H51" i="3"/>
  <c r="G47" i="3"/>
  <c r="G46" i="3"/>
  <c r="K47" i="3"/>
  <c r="G51" i="3"/>
  <c r="G52" i="3"/>
  <c r="K46" i="3"/>
  <c r="M47" i="3"/>
  <c r="H48" i="3"/>
  <c r="F50" i="3"/>
  <c r="N46" i="3"/>
  <c r="F53" i="3"/>
  <c r="H54" i="3"/>
  <c r="H52" i="3"/>
  <c r="I47" i="3"/>
  <c r="M49" i="3"/>
  <c r="H50" i="3"/>
  <c r="G54" i="3"/>
  <c r="K53" i="3"/>
  <c r="F49" i="3"/>
  <c r="N52" i="3"/>
  <c r="F51" i="3"/>
  <c r="G48" i="3"/>
  <c r="L54" i="6"/>
  <c r="I51" i="6"/>
  <c r="K57" i="7"/>
  <c r="G51" i="6"/>
  <c r="J52" i="6"/>
  <c r="L57" i="7"/>
  <c r="H52" i="6"/>
  <c r="K53" i="6"/>
  <c r="H57" i="7"/>
  <c r="H50" i="7"/>
  <c r="J46" i="6"/>
  <c r="L46" i="6"/>
  <c r="N51" i="6"/>
  <c r="F53" i="6"/>
  <c r="I50" i="6"/>
  <c r="J53" i="6"/>
  <c r="G50" i="6"/>
  <c r="H54" i="6"/>
  <c r="I47" i="6"/>
  <c r="G53" i="6"/>
  <c r="M51" i="7"/>
  <c r="F49" i="7"/>
  <c r="K52" i="7"/>
  <c r="J54" i="7"/>
  <c r="M54" i="7"/>
  <c r="L53" i="7"/>
  <c r="L51" i="7"/>
  <c r="I50" i="7"/>
  <c r="N56" i="7"/>
  <c r="J51" i="7"/>
  <c r="N52" i="6"/>
  <c r="M47" i="6"/>
  <c r="I49" i="6"/>
  <c r="M50" i="7"/>
  <c r="L53" i="6"/>
  <c r="M46" i="6"/>
  <c r="M50" i="6"/>
  <c r="I56" i="7"/>
  <c r="I55" i="7"/>
  <c r="G51" i="7"/>
  <c r="H53" i="6"/>
  <c r="H54" i="7"/>
  <c r="L49" i="7"/>
  <c r="J54" i="6"/>
  <c r="N47" i="6"/>
  <c r="H50" i="6"/>
  <c r="L52" i="6"/>
  <c r="K54" i="6"/>
  <c r="N53" i="6"/>
  <c r="J49" i="6"/>
  <c r="H51" i="6"/>
  <c r="K52" i="6"/>
  <c r="K50" i="6"/>
  <c r="L50" i="7"/>
  <c r="J55" i="7"/>
  <c r="K51" i="7"/>
  <c r="I51" i="7"/>
  <c r="F53" i="7"/>
  <c r="G49" i="7"/>
  <c r="M56" i="7"/>
  <c r="K54" i="7"/>
  <c r="N54" i="7"/>
  <c r="G57" i="7"/>
  <c r="I46" i="6"/>
  <c r="F49" i="6"/>
  <c r="K50" i="7"/>
  <c r="K49" i="7"/>
  <c r="L54" i="7"/>
  <c r="L56" i="7"/>
  <c r="I53" i="7"/>
  <c r="N54" i="6"/>
  <c r="F48" i="6"/>
  <c r="M53" i="7"/>
  <c r="I49" i="7"/>
  <c r="J49" i="7"/>
  <c r="G52" i="6"/>
  <c r="L51" i="6"/>
  <c r="I48" i="6"/>
  <c r="F46" i="6"/>
  <c r="J50" i="7"/>
  <c r="N55" i="7"/>
  <c r="K55" i="7"/>
  <c r="G55" i="7"/>
  <c r="I52" i="6"/>
  <c r="J51" i="6"/>
  <c r="L47" i="6"/>
  <c r="H48" i="6"/>
  <c r="L50" i="6"/>
  <c r="M49" i="6"/>
  <c r="G54" i="6"/>
  <c r="H46" i="6"/>
  <c r="K51" i="6"/>
  <c r="I53" i="6"/>
  <c r="G56" i="7"/>
  <c r="F51" i="7"/>
  <c r="F55" i="7"/>
  <c r="G53" i="7"/>
  <c r="G52" i="7"/>
  <c r="N51" i="7"/>
  <c r="J57" i="7"/>
  <c r="N53" i="7"/>
  <c r="H49" i="7"/>
  <c r="F52" i="7"/>
  <c r="M52" i="6"/>
  <c r="L49" i="6"/>
  <c r="J53" i="7"/>
  <c r="N49" i="6"/>
  <c r="J48" i="6"/>
  <c r="M55" i="7"/>
  <c r="H56" i="7"/>
  <c r="G54" i="7"/>
  <c r="I54" i="6"/>
  <c r="K48" i="6"/>
  <c r="L48" i="6"/>
  <c r="M57" i="7"/>
  <c r="I57" i="7"/>
  <c r="K49" i="6"/>
  <c r="M48" i="6"/>
  <c r="J50" i="6"/>
  <c r="F47" i="6"/>
  <c r="N48" i="6"/>
  <c r="F51" i="6"/>
  <c r="H49" i="6"/>
  <c r="M53" i="6"/>
  <c r="G49" i="6"/>
  <c r="M54" i="6"/>
  <c r="F50" i="6"/>
  <c r="K56" i="7"/>
  <c r="F54" i="7"/>
  <c r="J52" i="7"/>
  <c r="H51" i="7"/>
  <c r="H55" i="7"/>
  <c r="M49" i="7"/>
  <c r="F50" i="7"/>
  <c r="F56" i="7"/>
  <c r="N49" i="7"/>
  <c r="L55" i="7"/>
  <c r="M51" i="6"/>
  <c r="H53" i="7"/>
  <c r="I52" i="7"/>
  <c r="G48" i="6"/>
  <c r="F52" i="6"/>
  <c r="K46" i="6"/>
  <c r="N46" i="6"/>
  <c r="H47" i="6"/>
  <c r="G47" i="6"/>
  <c r="F54" i="6"/>
  <c r="K47" i="6"/>
  <c r="J47" i="6"/>
  <c r="G46" i="6"/>
  <c r="J56" i="7"/>
  <c r="G50" i="7"/>
  <c r="N57" i="7"/>
  <c r="N52" i="7"/>
  <c r="N50" i="7"/>
  <c r="I54" i="7"/>
  <c r="F57" i="7"/>
  <c r="M52" i="7"/>
  <c r="L52" i="7"/>
  <c r="H52" i="7"/>
  <c r="F57" i="3" l="1" a="1"/>
  <c r="F62" i="3" s="1"/>
  <c r="T140" i="3" s="1"/>
  <c r="M148" i="3" s="1"/>
  <c r="F57" i="6" a="1"/>
  <c r="F61" i="6" s="1"/>
  <c r="F60" i="7" a="1"/>
  <c r="F68" i="7" s="1"/>
  <c r="F60" i="3" l="1"/>
  <c r="AX73" i="9" s="1"/>
  <c r="T118" i="3"/>
  <c r="M126" i="3" s="1"/>
  <c r="F65" i="3"/>
  <c r="T143" i="3" s="1"/>
  <c r="M151" i="3" s="1"/>
  <c r="F63" i="3"/>
  <c r="Q71" i="3" s="1"/>
  <c r="F61" i="3"/>
  <c r="Q69" i="3" s="1"/>
  <c r="F57" i="3"/>
  <c r="Q65" i="3" s="1"/>
  <c r="Q70" i="3"/>
  <c r="F59" i="3"/>
  <c r="T92" i="3" s="1"/>
  <c r="M100" i="3" s="1"/>
  <c r="F59" i="6"/>
  <c r="Q67" i="6" s="1"/>
  <c r="F60" i="6"/>
  <c r="T163" i="6" s="1"/>
  <c r="M171" i="6" s="1"/>
  <c r="F64" i="7"/>
  <c r="Q72" i="7" s="1"/>
  <c r="F58" i="3"/>
  <c r="T91" i="3" s="1"/>
  <c r="M99" i="3" s="1"/>
  <c r="F60" i="7"/>
  <c r="T138" i="7" s="1"/>
  <c r="M146" i="7" s="1"/>
  <c r="F63" i="7"/>
  <c r="Q71" i="7" s="1"/>
  <c r="F67" i="7"/>
  <c r="T222" i="7" s="1"/>
  <c r="M230" i="7" s="1"/>
  <c r="F64" i="3"/>
  <c r="T142" i="3" s="1"/>
  <c r="M150" i="3" s="1"/>
  <c r="F58" i="6"/>
  <c r="Q66" i="6" s="1"/>
  <c r="F63" i="6"/>
  <c r="T214" i="6" s="1"/>
  <c r="M222" i="6" s="1"/>
  <c r="F61" i="7"/>
  <c r="T95" i="7" s="1"/>
  <c r="M103" i="7" s="1"/>
  <c r="F65" i="6"/>
  <c r="T216" i="6" s="1"/>
  <c r="M224" i="6" s="1"/>
  <c r="F62" i="7"/>
  <c r="T140" i="7" s="1"/>
  <c r="M148" i="7" s="1"/>
  <c r="F65" i="7"/>
  <c r="T181" i="7" s="1"/>
  <c r="M189" i="7" s="1"/>
  <c r="F66" i="7"/>
  <c r="T182" i="7" s="1"/>
  <c r="M190" i="7" s="1"/>
  <c r="F57" i="6"/>
  <c r="Q65" i="6" s="1"/>
  <c r="F64" i="6"/>
  <c r="T215" i="6" s="1"/>
  <c r="M223" i="6" s="1"/>
  <c r="F62" i="6"/>
  <c r="T165" i="6" s="1"/>
  <c r="M173" i="6" s="1"/>
  <c r="T165" i="3"/>
  <c r="M173" i="3" s="1"/>
  <c r="T139" i="7"/>
  <c r="M147" i="7" s="1"/>
  <c r="Q69" i="7"/>
  <c r="T223" i="7"/>
  <c r="M231" i="7" s="1"/>
  <c r="Q76" i="7"/>
  <c r="T184" i="7"/>
  <c r="M192" i="7" s="1"/>
  <c r="T117" i="6"/>
  <c r="M125" i="6" s="1"/>
  <c r="Q69" i="6"/>
  <c r="T164" i="6"/>
  <c r="M172" i="6" s="1"/>
  <c r="T142" i="7"/>
  <c r="M150" i="7" s="1"/>
  <c r="AX74" i="9" l="1"/>
  <c r="T138" i="3"/>
  <c r="M146" i="3" s="1"/>
  <c r="T167" i="6"/>
  <c r="M175" i="6" s="1"/>
  <c r="T166" i="6"/>
  <c r="M174" i="6" s="1"/>
  <c r="Q72" i="6"/>
  <c r="Q70" i="6"/>
  <c r="T116" i="3"/>
  <c r="M124" i="3" s="1"/>
  <c r="T92" i="6"/>
  <c r="M100" i="6" s="1"/>
  <c r="T91" i="6"/>
  <c r="M99" i="6" s="1"/>
  <c r="T114" i="6"/>
  <c r="M122" i="6" s="1"/>
  <c r="Q68" i="6"/>
  <c r="Q68" i="3"/>
  <c r="T115" i="6"/>
  <c r="M123" i="6" s="1"/>
  <c r="T141" i="3"/>
  <c r="M149" i="3" s="1"/>
  <c r="T143" i="7"/>
  <c r="M151" i="7" s="1"/>
  <c r="Q73" i="7"/>
  <c r="T116" i="6"/>
  <c r="M124" i="6" s="1"/>
  <c r="Q71" i="6"/>
  <c r="Q68" i="7"/>
  <c r="T114" i="3"/>
  <c r="M122" i="3" s="1"/>
  <c r="T168" i="6"/>
  <c r="M176" i="6" s="1"/>
  <c r="F179" i="6" s="1" a="1"/>
  <c r="Q70" i="7"/>
  <c r="Q73" i="6"/>
  <c r="T117" i="3"/>
  <c r="M125" i="3" s="1"/>
  <c r="Q73" i="3"/>
  <c r="T90" i="3"/>
  <c r="M98" i="3" s="1"/>
  <c r="F103" i="3" s="1" a="1"/>
  <c r="F106" i="3" s="1"/>
  <c r="I105" i="3" s="1"/>
  <c r="I106" i="3" s="1"/>
  <c r="BG64" i="9" s="1"/>
  <c r="T180" i="7"/>
  <c r="M188" i="7" s="1"/>
  <c r="T94" i="7"/>
  <c r="M102" i="7" s="1"/>
  <c r="T96" i="7"/>
  <c r="M104" i="7" s="1"/>
  <c r="T163" i="3"/>
  <c r="M171" i="3" s="1"/>
  <c r="T113" i="3"/>
  <c r="M121" i="3" s="1"/>
  <c r="T179" i="7"/>
  <c r="M187" i="7" s="1"/>
  <c r="T115" i="3"/>
  <c r="M123" i="3" s="1"/>
  <c r="Q66" i="3"/>
  <c r="T141" i="7"/>
  <c r="M149" i="7" s="1"/>
  <c r="T139" i="3"/>
  <c r="M147" i="3" s="1"/>
  <c r="Q67" i="3"/>
  <c r="T90" i="6"/>
  <c r="M98" i="6" s="1"/>
  <c r="AX72" i="9"/>
  <c r="T113" i="6"/>
  <c r="M121" i="6" s="1"/>
  <c r="Q72" i="3"/>
  <c r="T164" i="3"/>
  <c r="M172" i="3" s="1"/>
  <c r="T221" i="7"/>
  <c r="M229" i="7" s="1"/>
  <c r="F237" i="7" s="1" a="1"/>
  <c r="Q75" i="7"/>
  <c r="Q74" i="7"/>
  <c r="T183" i="7"/>
  <c r="M191" i="7" s="1"/>
  <c r="T118" i="6"/>
  <c r="M126" i="6" s="1"/>
  <c r="F230" i="6" a="1"/>
  <c r="F103" i="6" l="1" a="1"/>
  <c r="F105" i="6" s="1"/>
  <c r="K105" i="6" s="1"/>
  <c r="AQ39" i="9" s="1"/>
  <c r="F154" i="7" a="1"/>
  <c r="F76" i="6" a="1"/>
  <c r="F79" i="6" s="1"/>
  <c r="F129" i="6" a="1"/>
  <c r="F129" i="6" s="1"/>
  <c r="F154" i="6" s="1"/>
  <c r="J154" i="6" s="1"/>
  <c r="M156" i="6" s="1"/>
  <c r="BG41" i="9" s="1"/>
  <c r="F154" i="3" a="1"/>
  <c r="F156" i="3" s="1"/>
  <c r="K156" i="3" s="1"/>
  <c r="AQ67" i="9" s="1"/>
  <c r="F107" i="7" a="1"/>
  <c r="F107" i="7" s="1"/>
  <c r="F124" i="7" s="1"/>
  <c r="J124" i="7" s="1"/>
  <c r="M126" i="7" s="1"/>
  <c r="BG13" i="9" s="1"/>
  <c r="F76" i="3" a="1"/>
  <c r="F76" i="3" s="1"/>
  <c r="F80" i="7" a="1"/>
  <c r="F81" i="7" s="1"/>
  <c r="K81" i="7" s="1"/>
  <c r="F195" i="7" a="1"/>
  <c r="F196" i="7" s="1"/>
  <c r="F212" i="7" s="1"/>
  <c r="J212" i="7" s="1"/>
  <c r="N213" i="7" s="1"/>
  <c r="AY17" i="9" s="1"/>
  <c r="F103" i="3"/>
  <c r="F129" i="3" a="1"/>
  <c r="F130" i="3" s="1"/>
  <c r="J131" i="3" s="1"/>
  <c r="J132" i="3" s="1"/>
  <c r="AY66" i="9" s="1"/>
  <c r="F107" i="3"/>
  <c r="F104" i="3"/>
  <c r="J105" i="3" s="1"/>
  <c r="J106" i="3" s="1"/>
  <c r="AY64" i="9" s="1"/>
  <c r="F179" i="3" a="1"/>
  <c r="F181" i="3" s="1"/>
  <c r="K181" i="3" s="1"/>
  <c r="AQ69" i="9" s="1"/>
  <c r="BG63" i="9"/>
  <c r="F108" i="3"/>
  <c r="K106" i="3" s="1"/>
  <c r="AQ64" i="9" s="1"/>
  <c r="F105" i="3"/>
  <c r="K105" i="3" s="1"/>
  <c r="AQ63" i="9" s="1"/>
  <c r="F103" i="6"/>
  <c r="F107" i="6"/>
  <c r="F154" i="3"/>
  <c r="F159" i="3"/>
  <c r="K157" i="3" s="1"/>
  <c r="AQ68" i="9" s="1"/>
  <c r="F104" i="6"/>
  <c r="J105" i="6" s="1"/>
  <c r="J106" i="6" s="1"/>
  <c r="AY40" i="9" s="1"/>
  <c r="F80" i="6"/>
  <c r="F108" i="6"/>
  <c r="K106" i="6" s="1"/>
  <c r="AQ40" i="9" s="1"/>
  <c r="F106" i="6"/>
  <c r="I105" i="6" s="1"/>
  <c r="BG39" i="9" s="1"/>
  <c r="F77" i="6"/>
  <c r="F78" i="6"/>
  <c r="F159" i="7"/>
  <c r="F175" i="7" s="1"/>
  <c r="J175" i="7" s="1"/>
  <c r="O173" i="7" s="1"/>
  <c r="AQ16" i="9" s="1"/>
  <c r="F155" i="7"/>
  <c r="F171" i="7" s="1"/>
  <c r="J171" i="7" s="1"/>
  <c r="N172" i="7" s="1"/>
  <c r="AY15" i="9" s="1"/>
  <c r="F156" i="7"/>
  <c r="F172" i="7" s="1"/>
  <c r="J172" i="7" s="1"/>
  <c r="O172" i="7" s="1"/>
  <c r="AQ15" i="9" s="1"/>
  <c r="F157" i="7"/>
  <c r="F173" i="7" s="1"/>
  <c r="J173" i="7" s="1"/>
  <c r="M173" i="7" s="1"/>
  <c r="BG16" i="9" s="1"/>
  <c r="F158" i="7"/>
  <c r="F174" i="7" s="1"/>
  <c r="J174" i="7" s="1"/>
  <c r="N173" i="7" s="1"/>
  <c r="AY16" i="9" s="1"/>
  <c r="F154" i="7"/>
  <c r="F170" i="7" s="1"/>
  <c r="J170" i="7" s="1"/>
  <c r="M172" i="7" s="1"/>
  <c r="BG15" i="9" s="1"/>
  <c r="F132" i="6"/>
  <c r="F157" i="6" s="1"/>
  <c r="J157" i="6" s="1"/>
  <c r="M157" i="6" s="1"/>
  <c r="BG42" i="9" s="1"/>
  <c r="F131" i="6"/>
  <c r="F156" i="6" s="1"/>
  <c r="J156" i="6" s="1"/>
  <c r="O156" i="6" s="1"/>
  <c r="AQ41" i="9" s="1"/>
  <c r="F130" i="6"/>
  <c r="F155" i="6" s="1"/>
  <c r="J155" i="6" s="1"/>
  <c r="N156" i="6" s="1"/>
  <c r="AY41" i="9" s="1"/>
  <c r="F134" i="6"/>
  <c r="F159" i="6" s="1"/>
  <c r="J159" i="6" s="1"/>
  <c r="O157" i="6" s="1"/>
  <c r="AQ42" i="9" s="1"/>
  <c r="F133" i="6"/>
  <c r="F158" i="6" s="1"/>
  <c r="J158" i="6" s="1"/>
  <c r="N157" i="6" s="1"/>
  <c r="AY42" i="9" s="1"/>
  <c r="F230" i="6"/>
  <c r="F232" i="6"/>
  <c r="K232" i="6" s="1"/>
  <c r="AQ45" i="9" s="1"/>
  <c r="F233" i="6"/>
  <c r="I232" i="6" s="1"/>
  <c r="F234" i="6"/>
  <c r="F235" i="6"/>
  <c r="K233" i="6" s="1"/>
  <c r="AQ46" i="9" s="1"/>
  <c r="F231" i="6"/>
  <c r="J232" i="6" s="1"/>
  <c r="F184" i="6"/>
  <c r="F209" i="6" s="1"/>
  <c r="J209" i="6" s="1"/>
  <c r="O207" i="6" s="1"/>
  <c r="AQ44" i="9" s="1"/>
  <c r="F181" i="6"/>
  <c r="F206" i="6" s="1"/>
  <c r="J206" i="6" s="1"/>
  <c r="O206" i="6" s="1"/>
  <c r="AQ43" i="9" s="1"/>
  <c r="F183" i="6"/>
  <c r="F208" i="6" s="1"/>
  <c r="J208" i="6" s="1"/>
  <c r="N207" i="6" s="1"/>
  <c r="AY44" i="9" s="1"/>
  <c r="F182" i="6"/>
  <c r="F207" i="6" s="1"/>
  <c r="J207" i="6" s="1"/>
  <c r="M207" i="6" s="1"/>
  <c r="BG44" i="9" s="1"/>
  <c r="F180" i="6"/>
  <c r="F205" i="6" s="1"/>
  <c r="J205" i="6" s="1"/>
  <c r="N206" i="6" s="1"/>
  <c r="AY43" i="9" s="1"/>
  <c r="F179" i="6"/>
  <c r="F204" i="6" s="1"/>
  <c r="J204" i="6" s="1"/>
  <c r="M206" i="6" s="1"/>
  <c r="BG43" i="9" s="1"/>
  <c r="F242" i="7"/>
  <c r="F259" i="7" s="1"/>
  <c r="J259" i="7" s="1"/>
  <c r="O257" i="7" s="1"/>
  <c r="AQ20" i="9" s="1"/>
  <c r="F241" i="7"/>
  <c r="F258" i="7" s="1"/>
  <c r="J258" i="7" s="1"/>
  <c r="N257" i="7" s="1"/>
  <c r="AY20" i="9" s="1"/>
  <c r="F238" i="7"/>
  <c r="F255" i="7" s="1"/>
  <c r="J255" i="7" s="1"/>
  <c r="N256" i="7" s="1"/>
  <c r="AY19" i="9" s="1"/>
  <c r="F237" i="7"/>
  <c r="F254" i="7" s="1"/>
  <c r="J254" i="7" s="1"/>
  <c r="M256" i="7" s="1"/>
  <c r="BG19" i="9" s="1"/>
  <c r="F240" i="7"/>
  <c r="F257" i="7" s="1"/>
  <c r="J257" i="7" s="1"/>
  <c r="M257" i="7" s="1"/>
  <c r="BG20" i="9" s="1"/>
  <c r="F239" i="7"/>
  <c r="F256" i="7" s="1"/>
  <c r="J256" i="7" s="1"/>
  <c r="O256" i="7" s="1"/>
  <c r="AQ19" i="9" s="1"/>
  <c r="F157" i="3" l="1"/>
  <c r="I156" i="3" s="1"/>
  <c r="F108" i="7"/>
  <c r="F125" i="7" s="1"/>
  <c r="J125" i="7" s="1"/>
  <c r="N126" i="7" s="1"/>
  <c r="AY13" i="9" s="1"/>
  <c r="F81" i="6"/>
  <c r="F76" i="6"/>
  <c r="F83" i="7"/>
  <c r="K83" i="7" s="1"/>
  <c r="F80" i="7"/>
  <c r="K80" i="7" s="1"/>
  <c r="F82" i="7"/>
  <c r="K82" i="7" s="1"/>
  <c r="F158" i="3"/>
  <c r="F84" i="7"/>
  <c r="K84" i="7" s="1"/>
  <c r="F109" i="7"/>
  <c r="F126" i="7" s="1"/>
  <c r="J126" i="7" s="1"/>
  <c r="O126" i="7" s="1"/>
  <c r="AQ13" i="9" s="1"/>
  <c r="F155" i="3"/>
  <c r="J156" i="3" s="1"/>
  <c r="AY67" i="9" s="1"/>
  <c r="F111" i="7"/>
  <c r="F128" i="7" s="1"/>
  <c r="J128" i="7" s="1"/>
  <c r="N127" i="7" s="1"/>
  <c r="AY14" i="9" s="1"/>
  <c r="F85" i="7"/>
  <c r="K85" i="7" s="1"/>
  <c r="F110" i="7"/>
  <c r="F127" i="7" s="1"/>
  <c r="J127" i="7" s="1"/>
  <c r="M127" i="7" s="1"/>
  <c r="BG14" i="9" s="1"/>
  <c r="F134" i="3"/>
  <c r="K132" i="3" s="1"/>
  <c r="AQ66" i="9" s="1"/>
  <c r="F81" i="3"/>
  <c r="F77" i="3"/>
  <c r="F112" i="7"/>
  <c r="F129" i="7" s="1"/>
  <c r="J129" i="7" s="1"/>
  <c r="O127" i="7" s="1"/>
  <c r="AQ14" i="9" s="1"/>
  <c r="AY65" i="9"/>
  <c r="F79" i="3"/>
  <c r="F80" i="3"/>
  <c r="F78" i="3"/>
  <c r="F182" i="3"/>
  <c r="I181" i="3" s="1"/>
  <c r="I182" i="3" s="1"/>
  <c r="BG70" i="9" s="1"/>
  <c r="F132" i="3"/>
  <c r="I131" i="3" s="1"/>
  <c r="BG65" i="9" s="1"/>
  <c r="F197" i="7"/>
  <c r="F213" i="7" s="1"/>
  <c r="J213" i="7" s="1"/>
  <c r="O213" i="7" s="1"/>
  <c r="AQ17" i="9" s="1"/>
  <c r="F131" i="3"/>
  <c r="K131" i="3" s="1"/>
  <c r="AQ65" i="9" s="1"/>
  <c r="F200" i="7"/>
  <c r="F216" i="7" s="1"/>
  <c r="J216" i="7" s="1"/>
  <c r="O214" i="7" s="1"/>
  <c r="AQ18" i="9" s="1"/>
  <c r="F198" i="7"/>
  <c r="F214" i="7" s="1"/>
  <c r="J214" i="7" s="1"/>
  <c r="M214" i="7" s="1"/>
  <c r="BG18" i="9" s="1"/>
  <c r="F199" i="7"/>
  <c r="F215" i="7" s="1"/>
  <c r="J215" i="7" s="1"/>
  <c r="N214" i="7" s="1"/>
  <c r="AY18" i="9" s="1"/>
  <c r="F195" i="7"/>
  <c r="F211" i="7" s="1"/>
  <c r="J211" i="7" s="1"/>
  <c r="M213" i="7" s="1"/>
  <c r="BG17" i="9" s="1"/>
  <c r="F183" i="3"/>
  <c r="F180" i="3"/>
  <c r="J181" i="3" s="1"/>
  <c r="J182" i="3" s="1"/>
  <c r="AY70" i="9" s="1"/>
  <c r="F179" i="3"/>
  <c r="F184" i="3"/>
  <c r="K182" i="3" s="1"/>
  <c r="AQ70" i="9" s="1"/>
  <c r="F129" i="3"/>
  <c r="AY63" i="9"/>
  <c r="F133" i="3"/>
  <c r="I106" i="6"/>
  <c r="BG40" i="9" s="1"/>
  <c r="AY39" i="9"/>
  <c r="BG67" i="9"/>
  <c r="I157" i="3"/>
  <c r="BG68" i="9" s="1"/>
  <c r="J157" i="3"/>
  <c r="AY68" i="9" s="1"/>
  <c r="AY45" i="9"/>
  <c r="J233" i="6"/>
  <c r="AY46" i="9" s="1"/>
  <c r="BG45" i="9"/>
  <c r="I233" i="6"/>
  <c r="BG46" i="9" s="1"/>
  <c r="I132" i="3" l="1"/>
  <c r="BG66" i="9" s="1"/>
  <c r="BG69" i="9"/>
  <c r="AY69" i="9"/>
</calcChain>
</file>

<file path=xl/sharedStrings.xml><?xml version="1.0" encoding="utf-8"?>
<sst xmlns="http://schemas.openxmlformats.org/spreadsheetml/2006/main" count="1119" uniqueCount="164">
  <si>
    <t>m</t>
  </si>
  <si>
    <t>e</t>
  </si>
  <si>
    <t>a</t>
  </si>
  <si>
    <r>
      <rPr>
        <sz val="8"/>
        <color indexed="8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=</t>
    </r>
  </si>
  <si>
    <t>d</t>
  </si>
  <si>
    <t>KN</t>
  </si>
  <si>
    <t>°</t>
  </si>
  <si>
    <t>b</t>
  </si>
  <si>
    <t>c</t>
  </si>
  <si>
    <t>DEPREM YÜKÜ İÇİN</t>
  </si>
  <si>
    <t>KN/m</t>
  </si>
  <si>
    <t>DÜŞEY YÜK İÇİN</t>
  </si>
  <si>
    <t>RÜZGAR YÜKÜ İÇİN</t>
  </si>
  <si>
    <t>Dikkat sadece sarı hücrelere data girilecek.</t>
  </si>
  <si>
    <t>Kesme kuvveti ; moment ve normal kuvvet diyagramı ve değerleri ?</t>
  </si>
  <si>
    <t>Bu yükleme için b , c , d noktalarındaki yatay yerdeğiştirmeler kaç metredir.?</t>
  </si>
  <si>
    <t>kuvvet metodu veya açı metodu ile</t>
  </si>
  <si>
    <t>Qa</t>
  </si>
  <si>
    <t>Qb</t>
  </si>
  <si>
    <t>Qc</t>
  </si>
  <si>
    <t>Qd</t>
  </si>
  <si>
    <t>La</t>
  </si>
  <si>
    <t>Lb</t>
  </si>
  <si>
    <t>Lc</t>
  </si>
  <si>
    <t>A =</t>
  </si>
  <si>
    <r>
      <rPr>
        <sz val="8"/>
        <color indexed="8"/>
        <rFont val="Symbol"/>
        <family val="1"/>
        <charset val="2"/>
      </rPr>
      <t xml:space="preserve">A </t>
    </r>
    <r>
      <rPr>
        <sz val="8"/>
        <color theme="1"/>
        <rFont val="Arial"/>
        <family val="2"/>
        <charset val="162"/>
      </rPr>
      <t>=</t>
    </r>
  </si>
  <si>
    <t>1.çubuk</t>
  </si>
  <si>
    <t>Girdiler</t>
  </si>
  <si>
    <t>Geometri ve Kesit Bilgileri</t>
  </si>
  <si>
    <t>Deprem Yükü için Yük Bilgileri</t>
  </si>
  <si>
    <t>Qd-b</t>
  </si>
  <si>
    <t>Qd-c</t>
  </si>
  <si>
    <t>Qd-d</t>
  </si>
  <si>
    <t>XN</t>
  </si>
  <si>
    <t>YN</t>
  </si>
  <si>
    <t>XF</t>
  </si>
  <si>
    <t>YF</t>
  </si>
  <si>
    <t>L</t>
  </si>
  <si>
    <t>E</t>
  </si>
  <si>
    <t>kN-m-kPa</t>
  </si>
  <si>
    <t>kPa</t>
  </si>
  <si>
    <t>m4</t>
  </si>
  <si>
    <t>m2</t>
  </si>
  <si>
    <t>kN/m</t>
  </si>
  <si>
    <t>kN</t>
  </si>
  <si>
    <t>sbt</t>
  </si>
  <si>
    <t>girdi</t>
  </si>
  <si>
    <t>formül</t>
  </si>
  <si>
    <r>
      <rPr>
        <sz val="8"/>
        <color indexed="8"/>
        <rFont val="Arial Tur"/>
        <charset val="162"/>
      </rPr>
      <t>λ</t>
    </r>
    <r>
      <rPr>
        <sz val="8"/>
        <color theme="1"/>
        <rFont val="Arial"/>
        <family val="2"/>
        <charset val="162"/>
      </rPr>
      <t>x</t>
    </r>
  </si>
  <si>
    <t>λy</t>
  </si>
  <si>
    <r>
      <t>k = T</t>
    </r>
    <r>
      <rPr>
        <vertAlign val="superscript"/>
        <sz val="8"/>
        <color indexed="8"/>
        <rFont val="Arial"/>
        <family val="2"/>
        <charset val="162"/>
      </rPr>
      <t>T</t>
    </r>
    <r>
      <rPr>
        <sz val="8"/>
        <color theme="1"/>
        <rFont val="Arial"/>
        <family val="2"/>
        <charset val="162"/>
      </rPr>
      <t>k'T =</t>
    </r>
  </si>
  <si>
    <t>Kod</t>
  </si>
  <si>
    <t>I-kolon</t>
  </si>
  <si>
    <t>A-kolon</t>
  </si>
  <si>
    <t>I-kiriş</t>
  </si>
  <si>
    <t>A-kiriş</t>
  </si>
  <si>
    <t>=</t>
  </si>
  <si>
    <t>I</t>
  </si>
  <si>
    <t>A</t>
  </si>
  <si>
    <t>Düşey Yük için Yük Bilgileri</t>
  </si>
  <si>
    <t>2.çubuk</t>
  </si>
  <si>
    <t>3.çubuk</t>
  </si>
  <si>
    <t>4.çubuk</t>
  </si>
  <si>
    <t>Q=KD</t>
  </si>
  <si>
    <t>Q10</t>
  </si>
  <si>
    <t>Q11</t>
  </si>
  <si>
    <t>Q12</t>
  </si>
  <si>
    <t>Q13</t>
  </si>
  <si>
    <t>Q14</t>
  </si>
  <si>
    <t>Q15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</si>
  <si>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</si>
  <si>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</si>
  <si>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</si>
  <si>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</si>
  <si>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</si>
  <si>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</si>
  <si>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</si>
  <si>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</si>
  <si>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</si>
  <si>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rad</t>
  </si>
  <si>
    <t>kNm</t>
  </si>
  <si>
    <t>q = k' T D</t>
  </si>
  <si>
    <t>1. çubuk</t>
  </si>
  <si>
    <t>q1</t>
  </si>
  <si>
    <t>q2</t>
  </si>
  <si>
    <t>q3</t>
  </si>
  <si>
    <t>q4</t>
  </si>
  <si>
    <t>q5</t>
  </si>
  <si>
    <t>q6</t>
  </si>
  <si>
    <t>N</t>
  </si>
  <si>
    <t>Normal Kuvvet</t>
  </si>
  <si>
    <t>x</t>
  </si>
  <si>
    <t>Kesme Kuvveti</t>
  </si>
  <si>
    <t>T</t>
  </si>
  <si>
    <t>Moment</t>
  </si>
  <si>
    <t>M</t>
  </si>
  <si>
    <t>2. çubuk</t>
  </si>
  <si>
    <t>3. çubuk</t>
  </si>
  <si>
    <t>4. çubuk</t>
  </si>
  <si>
    <t>Qdsy</t>
  </si>
  <si>
    <t>q=k'TD + q0 olacaktır. q0 ın hesabı aşağıda yer almaktadır.</t>
  </si>
  <si>
    <t>q=TQ</t>
  </si>
  <si>
    <r>
      <t>q</t>
    </r>
    <r>
      <rPr>
        <vertAlign val="subscript"/>
        <sz val="8"/>
        <color indexed="8"/>
        <rFont val="Arial"/>
        <family val="2"/>
        <charset val="162"/>
      </rPr>
      <t>0</t>
    </r>
    <r>
      <rPr>
        <sz val="8"/>
        <color theme="1"/>
        <rFont val="Arial"/>
        <family val="2"/>
        <charset val="162"/>
      </rPr>
      <t>=TQ</t>
    </r>
    <r>
      <rPr>
        <vertAlign val="subscript"/>
        <sz val="8"/>
        <color indexed="8"/>
        <rFont val="Arial"/>
        <family val="2"/>
        <charset val="162"/>
      </rPr>
      <t>0</t>
    </r>
  </si>
  <si>
    <r>
      <t>q</t>
    </r>
    <r>
      <rPr>
        <vertAlign val="subscript"/>
        <sz val="8"/>
        <color indexed="8"/>
        <rFont val="Arial"/>
        <family val="2"/>
        <charset val="162"/>
      </rPr>
      <t>0</t>
    </r>
    <r>
      <rPr>
        <sz val="8"/>
        <color theme="1"/>
        <rFont val="Arial"/>
        <family val="2"/>
        <charset val="162"/>
      </rPr>
      <t/>
    </r>
  </si>
  <si>
    <t>q=k'TD + q0=</t>
  </si>
  <si>
    <t>+</t>
  </si>
  <si>
    <t>ilave edilmesi gereken mesnet tepkileri</t>
  </si>
  <si>
    <t>Nihai mesnet tepkileri</t>
  </si>
  <si>
    <t>q0</t>
  </si>
  <si>
    <t>QaLb/2</t>
  </si>
  <si>
    <t>QaLb^2/12</t>
  </si>
  <si>
    <t>QbL/2</t>
  </si>
  <si>
    <t>QbL^2/12</t>
  </si>
  <si>
    <t>QcL/2</t>
  </si>
  <si>
    <t>QcL^2/12</t>
  </si>
  <si>
    <t>QdLb/2</t>
  </si>
  <si>
    <t>QdLb^2/12</t>
  </si>
  <si>
    <t>Rüzgar- Ankastrelik Uç Tepkileri</t>
  </si>
  <si>
    <t>Rüzgar- Yük vektörü</t>
  </si>
  <si>
    <t>Deplasmanlar (Bkz. Numaraladırma)</t>
  </si>
  <si>
    <t>Mesnet Tepkileri  (Bkz. Numaraladırma)</t>
  </si>
  <si>
    <t>Rüzgar Yükü için Yük Bilgileri (şekildeki yönler pozitif kabul edilmiştir)</t>
  </si>
  <si>
    <t>A=</t>
  </si>
  <si>
    <t>N/mm²</t>
  </si>
  <si>
    <t>E=</t>
  </si>
  <si>
    <t>Mab =</t>
  </si>
  <si>
    <t>KNm</t>
  </si>
  <si>
    <t>Mba =</t>
  </si>
  <si>
    <t>Mbc =</t>
  </si>
  <si>
    <t>Mcb =</t>
  </si>
  <si>
    <t>Mcd =</t>
  </si>
  <si>
    <t>Mdc =</t>
  </si>
  <si>
    <t>Mde =</t>
  </si>
  <si>
    <t>Med =</t>
  </si>
  <si>
    <t>Vab =</t>
  </si>
  <si>
    <t>Vba =</t>
  </si>
  <si>
    <t>Vbc =</t>
  </si>
  <si>
    <t>Vcb =</t>
  </si>
  <si>
    <t>Vcd =</t>
  </si>
  <si>
    <t>Vdc =</t>
  </si>
  <si>
    <t>Vde =</t>
  </si>
  <si>
    <t>Ved =</t>
  </si>
  <si>
    <t>Nab =</t>
  </si>
  <si>
    <t>Nba =</t>
  </si>
  <si>
    <t>Nbc =</t>
  </si>
  <si>
    <t>Ncb =</t>
  </si>
  <si>
    <t>Ncd =</t>
  </si>
  <si>
    <t>Ndc =</t>
  </si>
  <si>
    <t>Nde =</t>
  </si>
  <si>
    <t>Ned =</t>
  </si>
  <si>
    <t>çubuk uç momentleri</t>
  </si>
  <si>
    <t>çubuk uç kesme kuv.</t>
  </si>
  <si>
    <t>çubuk uç normal kuv.</t>
  </si>
  <si>
    <r>
      <rPr>
        <sz val="8"/>
        <color indexed="8"/>
        <rFont val="Symbol"/>
        <family val="1"/>
        <charset val="2"/>
      </rPr>
      <t xml:space="preserve">I </t>
    </r>
    <r>
      <rPr>
        <sz val="8"/>
        <color indexed="8"/>
        <rFont val="Arial"/>
        <family val="2"/>
        <charset val="162"/>
      </rPr>
      <t>=</t>
    </r>
  </si>
  <si>
    <r>
      <rPr>
        <sz val="8"/>
        <color indexed="8"/>
        <rFont val="Symbol"/>
        <family val="1"/>
        <charset val="2"/>
      </rPr>
      <t>I</t>
    </r>
    <r>
      <rPr>
        <sz val="8"/>
        <color indexed="8"/>
        <rFont val="Arial"/>
        <family val="2"/>
        <charset val="162"/>
      </rPr>
      <t xml:space="preserve"> </t>
    </r>
    <r>
      <rPr>
        <sz val="8"/>
        <color indexed="8"/>
        <rFont val="Arial"/>
        <family val="2"/>
        <charset val="162"/>
      </rPr>
      <t>=</t>
    </r>
  </si>
  <si>
    <t>cm4</t>
  </si>
  <si>
    <t>cm²</t>
  </si>
  <si>
    <r>
      <rPr>
        <b/>
        <sz val="12"/>
        <color theme="7" tint="-0.499984740745262"/>
        <rFont val="Arial"/>
        <family val="2"/>
        <charset val="162"/>
      </rPr>
      <t>SANAYİ YAPISI ANKASTRE ÇERÇEVE STATİK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 0532 366 02 04   www.betoncelik.com )                                                                                                                                                                     </t>
    </r>
  </si>
  <si>
    <t>(elastisite modülü)</t>
  </si>
  <si>
    <t>Not: Çerçeve simetrik olup sol ve sağ kolon &amp; kiriş  için atalet &amp; enkesit alanları aynı değerdedir.</t>
  </si>
  <si>
    <t>b  noktası yatay deplasmanı =</t>
  </si>
  <si>
    <t>c  noktası yatay deplasmanı =</t>
  </si>
  <si>
    <t>d  noktası yatay deplasmanı =</t>
  </si>
  <si>
    <t>Not: Bütün iç kuvvetler SAP2000 ile tutmaktadır.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</si>
</sst>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8"/>
      <color theme="1"/>
      <name val="Arial"/>
      <family val="2"/>
      <charset val="162"/>
    </font>
    <font>
      <sz val="8"/>
      <color indexed="8"/>
      <name val="Arial"/>
      <family val="1"/>
      <charset val="2"/>
    </font>
    <font>
      <sz val="8"/>
      <color indexed="8"/>
      <name val="Symbol"/>
      <family val="1"/>
      <charset val="2"/>
    </font>
    <font>
      <b/>
      <i/>
      <u/>
      <sz val="10"/>
      <color indexed="8"/>
      <name val="Arial"/>
      <family val="2"/>
      <charset val="162"/>
    </font>
    <font>
      <sz val="8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vertAlign val="superscript"/>
      <sz val="8"/>
      <color indexed="8"/>
      <name val="Arial"/>
      <family val="2"/>
      <charset val="162"/>
    </font>
    <font>
      <vertAlign val="subscript"/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10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20"/>
      <color indexed="8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 textRotation="90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11" fontId="0" fillId="0" borderId="0" xfId="0" applyNumberForma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11" fontId="0" fillId="3" borderId="0" xfId="0" applyNumberFormat="1" applyFill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1" fontId="0" fillId="2" borderId="0" xfId="0" applyNumberForma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0" borderId="9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12" fillId="0" borderId="0" xfId="0" applyFont="1"/>
    <xf numFmtId="1" fontId="0" fillId="0" borderId="0" xfId="0" applyNumberFormat="1"/>
    <xf numFmtId="1" fontId="0" fillId="0" borderId="9" xfId="0" applyNumberFormat="1" applyBorder="1"/>
    <xf numFmtId="0" fontId="11" fillId="0" borderId="0" xfId="0" applyFont="1" applyAlignment="1">
      <alignment horizontal="center"/>
    </xf>
    <xf numFmtId="1" fontId="0" fillId="0" borderId="5" xfId="0" applyNumberFormat="1" applyBorder="1"/>
    <xf numFmtId="1" fontId="0" fillId="0" borderId="7" xfId="0" applyNumberFormat="1" applyBorder="1"/>
    <xf numFmtId="1" fontId="0" fillId="0" borderId="8" xfId="0" applyNumberFormat="1" applyBorder="1"/>
    <xf numFmtId="2" fontId="0" fillId="0" borderId="0" xfId="0" applyNumberFormat="1" applyAlignment="1" applyProtection="1">
      <alignment vertical="center"/>
      <protection hidden="1"/>
    </xf>
    <xf numFmtId="1" fontId="0" fillId="0" borderId="9" xfId="0" applyNumberFormat="1" applyBorder="1" applyAlignment="1" applyProtection="1">
      <alignment vertical="center"/>
      <protection hidden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3" borderId="0" xfId="0" applyFill="1"/>
    <xf numFmtId="0" fontId="14" fillId="0" borderId="0" xfId="0" applyFont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13" fillId="4" borderId="0" xfId="0" applyFont="1" applyFill="1"/>
    <xf numFmtId="0" fontId="0" fillId="4" borderId="0" xfId="0" applyFill="1"/>
    <xf numFmtId="0" fontId="12" fillId="4" borderId="0" xfId="0" applyFont="1" applyFill="1"/>
    <xf numFmtId="0" fontId="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 textRotation="90"/>
      <protection locked="0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textRotation="90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9" fillId="6" borderId="2" xfId="0" applyFont="1" applyFill="1" applyBorder="1" applyAlignment="1" applyProtection="1">
      <alignment horizontal="center" vertical="center" wrapText="1"/>
      <protection hidden="1"/>
    </xf>
    <xf numFmtId="0" fontId="19" fillId="6" borderId="3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textRotation="90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textRotation="90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textRotation="90"/>
      <protection locked="0"/>
    </xf>
    <xf numFmtId="0" fontId="14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Deprem!$I$105:$I$106</c:f>
              <c:numCache>
                <c:formatCode>0.00</c:formatCode>
                <c:ptCount val="2"/>
                <c:pt idx="0">
                  <c:v>3.2556132616567601</c:v>
                </c:pt>
                <c:pt idx="1">
                  <c:v>3.2556132616567601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A-41C0-A413-C7C5B839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05456"/>
        <c:axId val="1"/>
      </c:scatterChart>
      <c:valAx>
        <c:axId val="78930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9305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Deprem!$J$105:$J$106</c:f>
              <c:numCache>
                <c:formatCode>0.00</c:formatCode>
                <c:ptCount val="2"/>
                <c:pt idx="0">
                  <c:v>4.7499999999994502</c:v>
                </c:pt>
                <c:pt idx="1">
                  <c:v>4.7499999999994502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E-40AF-9822-771AE679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04624"/>
        <c:axId val="1"/>
      </c:scatterChart>
      <c:valAx>
        <c:axId val="78930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930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Deprem!$K$105:$K$106</c:f>
              <c:numCache>
                <c:formatCode>0.00</c:formatCode>
                <c:ptCount val="2"/>
                <c:pt idx="0">
                  <c:v>-22.966320430054974</c:v>
                </c:pt>
                <c:pt idx="1">
                  <c:v>15.033679569940633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51A-B78F-C707D8A6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06288"/>
        <c:axId val="1"/>
      </c:scatterChart>
      <c:valAx>
        <c:axId val="78930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93062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Deprem!$H$131:$H$132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Deprem!$I$131:$I$132</c:f>
              <c:numCache>
                <c:formatCode>0.00</c:formatCode>
                <c:ptCount val="2"/>
                <c:pt idx="0">
                  <c:v>3.1640527293642222</c:v>
                </c:pt>
                <c:pt idx="1">
                  <c:v>3.1640527293642222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F-43D0-A59B-11054189D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11280"/>
        <c:axId val="1"/>
      </c:scatterChart>
      <c:valAx>
        <c:axId val="78931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9311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Deprem!$H$131:$H$132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Deprem!$J$131:$J$132</c:f>
              <c:numCache>
                <c:formatCode>0.00</c:formatCode>
                <c:ptCount val="2"/>
                <c:pt idx="0">
                  <c:v>-2.3770334527075723</c:v>
                </c:pt>
                <c:pt idx="1">
                  <c:v>-2.3770334527075723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4-49E0-99AD-DFFE3E58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87600"/>
        <c:axId val="1"/>
      </c:scatterChart>
      <c:valAx>
        <c:axId val="58928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589287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Deprem!$H$131:$H$132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Deprem!$K$131:$K$132</c:f>
              <c:numCache>
                <c:formatCode>0.00</c:formatCode>
                <c:ptCount val="2"/>
                <c:pt idx="0">
                  <c:v>15.033679569940638</c:v>
                </c:pt>
                <c:pt idx="1">
                  <c:v>5.1514348342607263E-13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4-4CB3-B08C-8EF980C80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2784"/>
        <c:axId val="1"/>
      </c:scatterChart>
      <c:valAx>
        <c:axId val="79106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2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Deprem!$H$156:$H$157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Deprem!$I$156:$I$157</c:f>
              <c:numCache>
                <c:formatCode>0.00</c:formatCode>
                <c:ptCount val="2"/>
                <c:pt idx="0">
                  <c:v>-3.1640527293635881</c:v>
                </c:pt>
                <c:pt idx="1">
                  <c:v>-3.1640527293635881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D-46A3-900F-A9944D2C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56960"/>
        <c:axId val="1"/>
      </c:scatterChart>
      <c:valAx>
        <c:axId val="79105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56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Deprem!$H$156:$H$157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Deprem!$J$156:$J$157</c:f>
              <c:numCache>
                <c:formatCode>0.00</c:formatCode>
                <c:ptCount val="2"/>
                <c:pt idx="0">
                  <c:v>-2.3770334527078476</c:v>
                </c:pt>
                <c:pt idx="1">
                  <c:v>-2.3770334527078476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8-4B1E-85E8-63F03F1F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71936"/>
        <c:axId val="1"/>
      </c:scatterChart>
      <c:valAx>
        <c:axId val="79107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719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Deprem!$H$156:$H$157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Deprem!$K$156:$K$157</c:f>
              <c:numCache>
                <c:formatCode>0.00</c:formatCode>
                <c:ptCount val="2"/>
                <c:pt idx="0">
                  <c:v>5.0803805606847163E-13</c:v>
                </c:pt>
                <c:pt idx="1">
                  <c:v>-15.033679569941363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E-4856-9B9C-CF6F5D4A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71520"/>
        <c:axId val="1"/>
      </c:scatterChart>
      <c:valAx>
        <c:axId val="79107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715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Deprem!$H$181:$H$182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Deprem!$I$181:$I$182</c:f>
              <c:numCache>
                <c:formatCode>0.00</c:formatCode>
                <c:ptCount val="2"/>
                <c:pt idx="0">
                  <c:v>-3.2556132616567659</c:v>
                </c:pt>
                <c:pt idx="1">
                  <c:v>-3.2556132616567659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55-44C6-A4F9-B82BA661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59040"/>
        <c:axId val="1"/>
      </c:scatterChart>
      <c:valAx>
        <c:axId val="79105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590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Deprem!$H$181:$H$182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Deprem!$J$181:$J$182</c:f>
              <c:numCache>
                <c:formatCode>0.00</c:formatCode>
                <c:ptCount val="2"/>
                <c:pt idx="0">
                  <c:v>4.7499999999996039</c:v>
                </c:pt>
                <c:pt idx="1">
                  <c:v>4.7499999999996039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6-47A6-AB70-D0DF21C5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70688"/>
        <c:axId val="1"/>
      </c:scatterChart>
      <c:valAx>
        <c:axId val="79107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706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Deprem!$H$181:$H$182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Deprem!$K$181:$K$182</c:f>
              <c:numCache>
                <c:formatCode>0.00</c:formatCode>
                <c:ptCount val="2"/>
                <c:pt idx="0">
                  <c:v>-15.033679569941365</c:v>
                </c:pt>
                <c:pt idx="1">
                  <c:v>22.966320430055472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3-46FA-95AA-9D756DA6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57792"/>
        <c:axId val="1"/>
      </c:scatterChart>
      <c:valAx>
        <c:axId val="79105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57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Düşey!$I$105:$I$106</c:f>
              <c:numCache>
                <c:formatCode>0.00</c:formatCode>
                <c:ptCount val="2"/>
                <c:pt idx="0">
                  <c:v>-63.24555320336718</c:v>
                </c:pt>
                <c:pt idx="1">
                  <c:v>-63.24555320336718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6-4A2B-AC78-936CFE1E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72352"/>
        <c:axId val="1"/>
      </c:scatterChart>
      <c:valAx>
        <c:axId val="7910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72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Düşey!$J$105:$J$106</c:f>
              <c:numCache>
                <c:formatCode>0.00</c:formatCode>
                <c:ptCount val="2"/>
                <c:pt idx="0">
                  <c:v>-18.507932705492546</c:v>
                </c:pt>
                <c:pt idx="1">
                  <c:v>-18.507932705492546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7-4544-AAA9-5740F420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58624"/>
        <c:axId val="1"/>
      </c:scatterChart>
      <c:valAx>
        <c:axId val="79105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58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Düşey!$H$105:$H$106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Düşey!$K$105:$K$106</c:f>
              <c:numCache>
                <c:formatCode>0.00</c:formatCode>
                <c:ptCount val="2"/>
                <c:pt idx="0">
                  <c:v>58.286300382472859</c:v>
                </c:pt>
                <c:pt idx="1">
                  <c:v>-89.777161261467512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D-4F2B-B426-C48954A4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1536"/>
        <c:axId val="1"/>
      </c:scatterChart>
      <c:valAx>
        <c:axId val="79106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1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Düşey!$L$156:$L$157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Düşey!$M$156:$M$157</c:f>
              <c:numCache>
                <c:formatCode>0.00</c:formatCode>
                <c:ptCount val="2"/>
                <c:pt idx="0">
                  <c:v>-37.558166639144474</c:v>
                </c:pt>
                <c:pt idx="1">
                  <c:v>-17.558166639144474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D-4F2D-B0E7-E18D6895D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57376"/>
        <c:axId val="1"/>
      </c:scatterChart>
      <c:valAx>
        <c:axId val="79105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57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Düşey!$L$156:$L$157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Düşey!$N$156:$N$157</c:f>
              <c:numCache>
                <c:formatCode>0.00</c:formatCode>
                <c:ptCount val="2"/>
                <c:pt idx="0">
                  <c:v>54.14727778695169</c:v>
                </c:pt>
                <c:pt idx="1">
                  <c:v>-5.8527222130483061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9-4FFD-B25C-F4F10011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8608"/>
        <c:axId val="1"/>
      </c:scatterChart>
      <c:valAx>
        <c:axId val="7910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8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Düşey!$L$156:$L$157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Düşey!$O$156:$O$157</c:f>
              <c:numCache>
                <c:formatCode>0.00</c:formatCode>
                <c:ptCount val="2"/>
                <c:pt idx="0">
                  <c:v>-89.77716126146754</c:v>
                </c:pt>
                <c:pt idx="1">
                  <c:v>62.943632937647386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6-4693-A7B5-1CE6F8930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6528"/>
        <c:axId val="1"/>
      </c:scatterChart>
      <c:valAx>
        <c:axId val="79106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6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Düşey!$L$206:$L$207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Düşey!$M$206:$M$207</c:f>
              <c:numCache>
                <c:formatCode>0.00</c:formatCode>
                <c:ptCount val="2"/>
                <c:pt idx="0">
                  <c:v>-17.558166639146698</c:v>
                </c:pt>
                <c:pt idx="1">
                  <c:v>-37.558166639146698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6-4764-A38C-E47092A7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2368"/>
        <c:axId val="1"/>
      </c:scatterChart>
      <c:valAx>
        <c:axId val="79106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23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Düşey!$L$206:$L$207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Düşey!$N$206:$N$207</c:f>
              <c:numCache>
                <c:formatCode>0.00</c:formatCode>
                <c:ptCount val="2"/>
                <c:pt idx="0">
                  <c:v>5.8527222130478691</c:v>
                </c:pt>
                <c:pt idx="1">
                  <c:v>-54.147277786952131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1-40EE-9174-A4E521E1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0288"/>
        <c:axId val="1"/>
      </c:scatterChart>
      <c:valAx>
        <c:axId val="79106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02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Düşey!$L$206:$L$207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Düşey!$O$206:$O$207</c:f>
              <c:numCache>
                <c:formatCode>0.00</c:formatCode>
                <c:ptCount val="2"/>
                <c:pt idx="0">
                  <c:v>62.943632937647358</c:v>
                </c:pt>
                <c:pt idx="1">
                  <c:v>-89.777161261470326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7-4D5A-B5F3-24DFCF28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3616"/>
        <c:axId val="1"/>
      </c:scatterChart>
      <c:valAx>
        <c:axId val="79106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3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Düşey!$H$232:$H$233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Düşey!$I$232:$I$233</c:f>
              <c:numCache>
                <c:formatCode>0.00</c:formatCode>
                <c:ptCount val="2"/>
                <c:pt idx="0">
                  <c:v>-63.245553203368111</c:v>
                </c:pt>
                <c:pt idx="1">
                  <c:v>-63.245553203368111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9-4756-A5D1-C1E5F09E2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5696"/>
        <c:axId val="1"/>
      </c:scatterChart>
      <c:valAx>
        <c:axId val="7910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5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Düşey!$H$232:$H$233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Düşey!$J$232:$J$233</c:f>
              <c:numCache>
                <c:formatCode>0.00</c:formatCode>
                <c:ptCount val="2"/>
                <c:pt idx="0">
                  <c:v>18.507932705493445</c:v>
                </c:pt>
                <c:pt idx="1">
                  <c:v>18.507932705493445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B-4028-BE30-48CA36D4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7360"/>
        <c:axId val="1"/>
      </c:scatterChart>
      <c:valAx>
        <c:axId val="79106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7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Düşey!$H$232:$H$233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Düşey!$K$232:$K$233</c:f>
              <c:numCache>
                <c:formatCode>0.00</c:formatCode>
                <c:ptCount val="2"/>
                <c:pt idx="0">
                  <c:v>-89.777161261470354</c:v>
                </c:pt>
                <c:pt idx="1">
                  <c:v>58.286300382477187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B-4B1F-A28D-27BA6400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067776"/>
        <c:axId val="1"/>
      </c:scatterChart>
      <c:valAx>
        <c:axId val="79106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91067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Rüzgar!$L$126:$L$127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Rüzgar!$M$126:$M$127</c:f>
              <c:numCache>
                <c:formatCode>0.00</c:formatCode>
                <c:ptCount val="2"/>
                <c:pt idx="0">
                  <c:v>30.327818937547242</c:v>
                </c:pt>
                <c:pt idx="1">
                  <c:v>30.327818937547242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D6-4086-A1BE-EBBDF20F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79152"/>
        <c:axId val="1"/>
      </c:scatterChart>
      <c:valAx>
        <c:axId val="78137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1379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Rüzgar!$L$126:$L$127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Rüzgar!$N$126:$N$127</c:f>
              <c:numCache>
                <c:formatCode>0.00</c:formatCode>
                <c:ptCount val="2"/>
                <c:pt idx="0">
                  <c:v>34.985088471539086</c:v>
                </c:pt>
                <c:pt idx="1">
                  <c:v>6.9850884715390826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4-4165-A560-8CEDFD08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80816"/>
        <c:axId val="1"/>
      </c:scatterChart>
      <c:valAx>
        <c:axId val="7813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1380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Rüzgar!$L$126:$L$127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Rüzgar!$O$126:$O$127</c:f>
              <c:numCache>
                <c:formatCode>0.00</c:formatCode>
                <c:ptCount val="2"/>
                <c:pt idx="0">
                  <c:v>-103.69006612518218</c:v>
                </c:pt>
                <c:pt idx="1">
                  <c:v>64.190641647130477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8-4E11-B6E1-8DE8B4C4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84144"/>
        <c:axId val="1"/>
      </c:scatterChart>
      <c:valAx>
        <c:axId val="78138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13841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Rüzgar!$L$172:$L$173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Rüzgar!$M$172:$M$173</c:f>
              <c:numCache>
                <c:formatCode>0.00</c:formatCode>
                <c:ptCount val="2"/>
                <c:pt idx="0">
                  <c:v>16.217135199137374</c:v>
                </c:pt>
                <c:pt idx="1">
                  <c:v>16.217135199137374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4-405F-9E89-CE8328E1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4336"/>
        <c:axId val="1"/>
      </c:scatterChart>
      <c:valAx>
        <c:axId val="78699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4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Rüzgar!$L$172:$L$173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Rüzgar!$N$172:$N$173</c:f>
              <c:numCache>
                <c:formatCode>0.00</c:formatCode>
                <c:ptCount val="2"/>
                <c:pt idx="0">
                  <c:v>-26.562616369565752</c:v>
                </c:pt>
                <c:pt idx="1">
                  <c:v>-1.2643950882187145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7-4DE0-B875-D4ADDD95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1840"/>
        <c:axId val="1"/>
      </c:scatterChart>
      <c:valAx>
        <c:axId val="78699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18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Rüzgar!$L$172:$L$173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Rüzgar!$O$172:$O$173</c:f>
              <c:numCache>
                <c:formatCode>0.00</c:formatCode>
                <c:ptCount val="2"/>
                <c:pt idx="0">
                  <c:v>64.190641647130505</c:v>
                </c:pt>
                <c:pt idx="1">
                  <c:v>-23.806095035070868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B-4B93-8174-5C71B371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2256"/>
        <c:axId val="1"/>
      </c:scatterChart>
      <c:valAx>
        <c:axId val="78699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2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Rüzgar!$L$213:$L$214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Rüzgar!$M$213:$M$214</c:f>
              <c:numCache>
                <c:formatCode>0.00</c:formatCode>
                <c:ptCount val="2"/>
                <c:pt idx="0">
                  <c:v>12.215071106380247</c:v>
                </c:pt>
                <c:pt idx="1">
                  <c:v>12.215071106380247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A-4BA2-AD25-64AFD83C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0592"/>
        <c:axId val="1"/>
      </c:scatterChart>
      <c:valAx>
        <c:axId val="78699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05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Rüzgar!$L$213:$L$214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Rüzgar!$N$213:$N$214</c:f>
              <c:numCache>
                <c:formatCode>0.00</c:formatCode>
                <c:ptCount val="2"/>
                <c:pt idx="0">
                  <c:v>-10.741797190059394</c:v>
                </c:pt>
                <c:pt idx="1">
                  <c:v>20.880979411624402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0-4A1F-8862-03E5DA330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5168"/>
        <c:axId val="1"/>
      </c:scatterChart>
      <c:valAx>
        <c:axId val="78699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5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Rüzgar!$L$213:$L$214</c:f>
              <c:numCache>
                <c:formatCode>General</c:formatCode>
                <c:ptCount val="2"/>
                <c:pt idx="0">
                  <c:v>0</c:v>
                </c:pt>
                <c:pt idx="1">
                  <c:v>6.324555320336759</c:v>
                </c:pt>
              </c:numCache>
            </c:numRef>
          </c:xVal>
          <c:yVal>
            <c:numRef>
              <c:f>Rüzgar!$O$213:$O$214</c:f>
              <c:numCache>
                <c:formatCode>0.00</c:formatCode>
                <c:ptCount val="2"/>
                <c:pt idx="0">
                  <c:v>-23.806095035070886</c:v>
                </c:pt>
                <c:pt idx="1">
                  <c:v>8.2568143965606247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E-4F4C-BD3F-1C788C054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96832"/>
        <c:axId val="1"/>
      </c:scatterChart>
      <c:valAx>
        <c:axId val="78699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786996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Normal Kuvvet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Rüzgar!$L$256:$L$257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Rüzgar!$M$256:$M$257</c:f>
              <c:numCache>
                <c:formatCode>0.00</c:formatCode>
                <c:ptCount val="2"/>
                <c:pt idx="0">
                  <c:v>23.672181062452793</c:v>
                </c:pt>
                <c:pt idx="1">
                  <c:v>23.672181062452793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B-41E1-A06D-C47B8DFC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84928"/>
        <c:axId val="1"/>
      </c:scatterChart>
      <c:valAx>
        <c:axId val="88868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888684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Kesme Kuvveti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Rüzgar!$L$256:$L$257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Rüzgar!$N$256:$N$257</c:f>
              <c:numCache>
                <c:formatCode>0.00</c:formatCode>
                <c:ptCount val="2"/>
                <c:pt idx="0">
                  <c:v>-4.9850884715417845</c:v>
                </c:pt>
                <c:pt idx="1">
                  <c:v>15.014911528458216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0-49FC-A15B-425DC659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91584"/>
        <c:axId val="1"/>
      </c:scatterChart>
      <c:valAx>
        <c:axId val="88869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888691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Moment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Rüzgar!$L$256:$L$257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Rüzgar!$O$256:$O$257</c:f>
              <c:numCache>
                <c:formatCode>0.00</c:formatCode>
                <c:ptCount val="2"/>
                <c:pt idx="0">
                  <c:v>8.2568143965606193</c:v>
                </c:pt>
                <c:pt idx="1">
                  <c:v>48.376106624226345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5-4AD5-93DC-0FFB5B4E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68704"/>
        <c:axId val="1"/>
      </c:scatterChart>
      <c:valAx>
        <c:axId val="88866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8886687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58</xdr:row>
      <xdr:rowOff>76200</xdr:rowOff>
    </xdr:from>
    <xdr:to>
      <xdr:col>36</xdr:col>
      <xdr:colOff>114300</xdr:colOff>
      <xdr:row>76</xdr:row>
      <xdr:rowOff>76200</xdr:rowOff>
    </xdr:to>
    <xdr:grpSp>
      <xdr:nvGrpSpPr>
        <xdr:cNvPr id="2211890" name="Group 1651781">
          <a:extLst>
            <a:ext uri="{FF2B5EF4-FFF2-40B4-BE49-F238E27FC236}">
              <a16:creationId xmlns:a16="http://schemas.microsoft.com/office/drawing/2014/main" id="{9A7646E2-A5A5-5697-92D3-8595E3B968FB}"/>
            </a:ext>
          </a:extLst>
        </xdr:cNvPr>
        <xdr:cNvGrpSpPr>
          <a:grpSpLocks/>
        </xdr:cNvGrpSpPr>
      </xdr:nvGrpSpPr>
      <xdr:grpSpPr bwMode="auto">
        <a:xfrm>
          <a:off x="495300" y="8915400"/>
          <a:ext cx="5448300" cy="2571750"/>
          <a:chOff x="542925" y="8667750"/>
          <a:chExt cx="5572125" cy="2571750"/>
        </a:xfrm>
      </xdr:grpSpPr>
      <xdr:grpSp>
        <xdr:nvGrpSpPr>
          <xdr:cNvPr id="2212059" name="Group 165">
            <a:extLst>
              <a:ext uri="{FF2B5EF4-FFF2-40B4-BE49-F238E27FC236}">
                <a16:creationId xmlns:a16="http://schemas.microsoft.com/office/drawing/2014/main" id="{CFEB4473-702B-C008-4CE0-1A2E4AC4B498}"/>
              </a:ext>
            </a:extLst>
          </xdr:cNvPr>
          <xdr:cNvGrpSpPr>
            <a:grpSpLocks/>
          </xdr:cNvGrpSpPr>
        </xdr:nvGrpSpPr>
        <xdr:grpSpPr bwMode="auto">
          <a:xfrm>
            <a:off x="864444" y="8725006"/>
            <a:ext cx="4983544" cy="2008728"/>
            <a:chOff x="652462" y="6124575"/>
            <a:chExt cx="4872037" cy="2000248"/>
          </a:xfrm>
        </xdr:grpSpPr>
        <xdr:sp macro="" textlink="">
          <xdr:nvSpPr>
            <xdr:cNvPr id="167" name="Rectangle 166">
              <a:extLst>
                <a:ext uri="{FF2B5EF4-FFF2-40B4-BE49-F238E27FC236}">
                  <a16:creationId xmlns:a16="http://schemas.microsoft.com/office/drawing/2014/main" id="{85BCC537-D896-72BF-9E62-6DA07FB1AFE7}"/>
                </a:ext>
              </a:extLst>
            </xdr:cNvPr>
            <xdr:cNvSpPr/>
          </xdr:nvSpPr>
          <xdr:spPr>
            <a:xfrm>
              <a:off x="5195128" y="8011943"/>
              <a:ext cx="323799" cy="11381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sp macro="" textlink="">
          <xdr:nvSpPr>
            <xdr:cNvPr id="168" name="Rectangle 167">
              <a:extLst>
                <a:ext uri="{FF2B5EF4-FFF2-40B4-BE49-F238E27FC236}">
                  <a16:creationId xmlns:a16="http://schemas.microsoft.com/office/drawing/2014/main" id="{AF4054C0-9661-6F87-3337-2507B2087080}"/>
                </a:ext>
              </a:extLst>
            </xdr:cNvPr>
            <xdr:cNvSpPr/>
          </xdr:nvSpPr>
          <xdr:spPr>
            <a:xfrm>
              <a:off x="652413" y="8011943"/>
              <a:ext cx="333323" cy="11381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sp macro="" textlink="">
          <xdr:nvSpPr>
            <xdr:cNvPr id="169" name="Freeform: Shape 168">
              <a:extLst>
                <a:ext uri="{FF2B5EF4-FFF2-40B4-BE49-F238E27FC236}">
                  <a16:creationId xmlns:a16="http://schemas.microsoft.com/office/drawing/2014/main" id="{3928124B-F354-516F-C8AC-95F9E7271FFD}"/>
                </a:ext>
              </a:extLst>
            </xdr:cNvPr>
            <xdr:cNvSpPr/>
          </xdr:nvSpPr>
          <xdr:spPr>
            <a:xfrm>
              <a:off x="814313" y="6124469"/>
              <a:ext cx="4533191" cy="1877988"/>
            </a:xfrm>
            <a:custGeom>
              <a:avLst/>
              <a:gdLst>
                <a:gd name="connsiteX0" fmla="*/ 0 w 4533900"/>
                <a:gd name="connsiteY0" fmla="*/ 1876425 h 1876425"/>
                <a:gd name="connsiteX1" fmla="*/ 0 w 4533900"/>
                <a:gd name="connsiteY1" fmla="*/ 438150 h 1876425"/>
                <a:gd name="connsiteX2" fmla="*/ 2266950 w 4533900"/>
                <a:gd name="connsiteY2" fmla="*/ 0 h 1876425"/>
                <a:gd name="connsiteX3" fmla="*/ 4533900 w 4533900"/>
                <a:gd name="connsiteY3" fmla="*/ 438150 h 1876425"/>
                <a:gd name="connsiteX4" fmla="*/ 4533900 w 4533900"/>
                <a:gd name="connsiteY4" fmla="*/ 1876425 h 1876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33900" h="1876425">
                  <a:moveTo>
                    <a:pt x="0" y="1876425"/>
                  </a:moveTo>
                  <a:lnTo>
                    <a:pt x="0" y="438150"/>
                  </a:lnTo>
                  <a:lnTo>
                    <a:pt x="2266950" y="0"/>
                  </a:lnTo>
                  <a:lnTo>
                    <a:pt x="4533900" y="438150"/>
                  </a:lnTo>
                  <a:lnTo>
                    <a:pt x="4533900" y="1876425"/>
                  </a:lnTo>
                </a:path>
              </a:pathLst>
            </a:cu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cxnSp macro="">
          <xdr:nvCxnSpPr>
            <xdr:cNvPr id="170" name="Straight Connector 169">
              <a:extLst>
                <a:ext uri="{FF2B5EF4-FFF2-40B4-BE49-F238E27FC236}">
                  <a16:creationId xmlns:a16="http://schemas.microsoft.com/office/drawing/2014/main" id="{7846C7C1-BF7D-09D1-38E6-B4ADC3436E86}"/>
                </a:ext>
              </a:extLst>
            </xdr:cNvPr>
            <xdr:cNvCxnSpPr/>
          </xdr:nvCxnSpPr>
          <xdr:spPr>
            <a:xfrm>
              <a:off x="652413" y="7992973"/>
              <a:ext cx="333323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71" name="Straight Connector 170">
              <a:extLst>
                <a:ext uri="{FF2B5EF4-FFF2-40B4-BE49-F238E27FC236}">
                  <a16:creationId xmlns:a16="http://schemas.microsoft.com/office/drawing/2014/main" id="{38F761DC-51D6-8527-2664-AFF89D645A0B}"/>
                </a:ext>
              </a:extLst>
            </xdr:cNvPr>
            <xdr:cNvCxnSpPr/>
          </xdr:nvCxnSpPr>
          <xdr:spPr>
            <a:xfrm>
              <a:off x="5195128" y="7992973"/>
              <a:ext cx="323799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2499750C-5E9E-ADE1-9B89-5F260E8456B5}"/>
              </a:ext>
            </a:extLst>
          </xdr:cNvPr>
          <xdr:cNvCxnSpPr/>
        </xdr:nvCxnSpPr>
        <xdr:spPr bwMode="auto">
          <a:xfrm>
            <a:off x="2871138" y="8705850"/>
            <a:ext cx="467591" cy="0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43215A50-8653-36CF-4BFA-0268B78D956D}"/>
              </a:ext>
            </a:extLst>
          </xdr:cNvPr>
          <xdr:cNvCxnSpPr/>
        </xdr:nvCxnSpPr>
        <xdr:spPr bwMode="auto">
          <a:xfrm>
            <a:off x="5209093" y="9153525"/>
            <a:ext cx="467591" cy="0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C55CF6F3-2293-2DA0-1AFD-84697EAEC35D}"/>
              </a:ext>
            </a:extLst>
          </xdr:cNvPr>
          <xdr:cNvCxnSpPr/>
        </xdr:nvCxnSpPr>
        <xdr:spPr bwMode="auto">
          <a:xfrm>
            <a:off x="542925" y="9153525"/>
            <a:ext cx="467591" cy="0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5B76D88D-6F2D-3E21-A308-6A9122E8C23B}"/>
              </a:ext>
            </a:extLst>
          </xdr:cNvPr>
          <xdr:cNvCxnSpPr/>
        </xdr:nvCxnSpPr>
        <xdr:spPr bwMode="auto">
          <a:xfrm>
            <a:off x="3650456" y="8734425"/>
            <a:ext cx="24158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310595C7-A9A9-9158-3169-9456CE121BF7}"/>
              </a:ext>
            </a:extLst>
          </xdr:cNvPr>
          <xdr:cNvCxnSpPr/>
        </xdr:nvCxnSpPr>
        <xdr:spPr bwMode="auto">
          <a:xfrm>
            <a:off x="5998152" y="8667750"/>
            <a:ext cx="0" cy="1981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0D8B3431-9C4B-9F02-EF3A-7496E58205CF}"/>
              </a:ext>
            </a:extLst>
          </xdr:cNvPr>
          <xdr:cNvCxnSpPr/>
        </xdr:nvCxnSpPr>
        <xdr:spPr bwMode="auto">
          <a:xfrm flipH="1">
            <a:off x="5949445" y="8696325"/>
            <a:ext cx="8767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3FED15F1-9F5A-5CA0-DDE6-171192C83F4F}"/>
              </a:ext>
            </a:extLst>
          </xdr:cNvPr>
          <xdr:cNvCxnSpPr/>
        </xdr:nvCxnSpPr>
        <xdr:spPr bwMode="auto">
          <a:xfrm>
            <a:off x="5881255" y="10591800"/>
            <a:ext cx="19483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CDAC7E87-F7C8-A050-4E5F-842D8C5708F3}"/>
              </a:ext>
            </a:extLst>
          </xdr:cNvPr>
          <xdr:cNvCxnSpPr/>
        </xdr:nvCxnSpPr>
        <xdr:spPr bwMode="auto">
          <a:xfrm flipH="1">
            <a:off x="5949445" y="10553700"/>
            <a:ext cx="8767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A7404C3E-B000-36C7-2F45-6CD2A8B520E2}"/>
              </a:ext>
            </a:extLst>
          </xdr:cNvPr>
          <xdr:cNvCxnSpPr/>
        </xdr:nvCxnSpPr>
        <xdr:spPr bwMode="auto">
          <a:xfrm>
            <a:off x="5725391" y="9163050"/>
            <a:ext cx="3896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8811BE82-8C37-37C5-A08C-5B9B369D5CC5}"/>
              </a:ext>
            </a:extLst>
          </xdr:cNvPr>
          <xdr:cNvCxnSpPr/>
        </xdr:nvCxnSpPr>
        <xdr:spPr bwMode="auto">
          <a:xfrm flipH="1">
            <a:off x="5949445" y="9124950"/>
            <a:ext cx="8767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EDCE176E-B9F1-0A79-5A6A-70AC083AE5B9}"/>
              </a:ext>
            </a:extLst>
          </xdr:cNvPr>
          <xdr:cNvCxnSpPr/>
        </xdr:nvCxnSpPr>
        <xdr:spPr bwMode="auto">
          <a:xfrm>
            <a:off x="1029999" y="1074420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EAECD9AC-634F-3EC0-6EAB-AEC552A167F4}"/>
              </a:ext>
            </a:extLst>
          </xdr:cNvPr>
          <xdr:cNvCxnSpPr/>
        </xdr:nvCxnSpPr>
        <xdr:spPr bwMode="auto">
          <a:xfrm>
            <a:off x="952067" y="10877550"/>
            <a:ext cx="48025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F36C2A8A-9B3E-0C98-0CCC-074FEA7FABAF}"/>
              </a:ext>
            </a:extLst>
          </xdr:cNvPr>
          <xdr:cNvCxnSpPr/>
        </xdr:nvCxnSpPr>
        <xdr:spPr bwMode="auto">
          <a:xfrm flipH="1">
            <a:off x="981291" y="10839450"/>
            <a:ext cx="8767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6D481321-8D96-7B57-8528-BA146541D71D}"/>
              </a:ext>
            </a:extLst>
          </xdr:cNvPr>
          <xdr:cNvCxnSpPr/>
        </xdr:nvCxnSpPr>
        <xdr:spPr bwMode="auto">
          <a:xfrm flipH="1">
            <a:off x="981291" y="11115675"/>
            <a:ext cx="8767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1AC5F4E2-3F5A-0757-F83E-9316568DADA7}"/>
              </a:ext>
            </a:extLst>
          </xdr:cNvPr>
          <xdr:cNvCxnSpPr/>
        </xdr:nvCxnSpPr>
        <xdr:spPr bwMode="auto">
          <a:xfrm>
            <a:off x="952067" y="11163300"/>
            <a:ext cx="479280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F6E69381-7F56-D27D-FCF1-319A0BF6EF7B}"/>
              </a:ext>
            </a:extLst>
          </xdr:cNvPr>
          <xdr:cNvCxnSpPr/>
        </xdr:nvCxnSpPr>
        <xdr:spPr bwMode="auto">
          <a:xfrm>
            <a:off x="5666942" y="1074420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23DA89E7-F04B-0C89-1C8A-6F3B22C5AA10}"/>
              </a:ext>
            </a:extLst>
          </xdr:cNvPr>
          <xdr:cNvCxnSpPr/>
        </xdr:nvCxnSpPr>
        <xdr:spPr bwMode="auto">
          <a:xfrm flipH="1">
            <a:off x="5618235" y="10839450"/>
            <a:ext cx="8767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76EEC25D-D219-11F1-2425-A0C38B2FB109}"/>
              </a:ext>
            </a:extLst>
          </xdr:cNvPr>
          <xdr:cNvCxnSpPr/>
        </xdr:nvCxnSpPr>
        <xdr:spPr bwMode="auto">
          <a:xfrm flipH="1">
            <a:off x="5618235" y="11115675"/>
            <a:ext cx="8767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C340BCDB-9EBC-499D-C35F-6FDDFBFA92B9}"/>
              </a:ext>
            </a:extLst>
          </xdr:cNvPr>
          <xdr:cNvCxnSpPr/>
        </xdr:nvCxnSpPr>
        <xdr:spPr bwMode="auto">
          <a:xfrm>
            <a:off x="3348470" y="9324975"/>
            <a:ext cx="0" cy="1628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3C61AD03-F5BD-2C5B-3AB3-BDCC1C44A734}"/>
              </a:ext>
            </a:extLst>
          </xdr:cNvPr>
          <xdr:cNvCxnSpPr/>
        </xdr:nvCxnSpPr>
        <xdr:spPr bwMode="auto">
          <a:xfrm flipH="1">
            <a:off x="3299763" y="10829925"/>
            <a:ext cx="8767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61BC2DF8-214B-3164-A967-A85A90C5E718}"/>
              </a:ext>
            </a:extLst>
          </xdr:cNvPr>
          <xdr:cNvCxnSpPr/>
        </xdr:nvCxnSpPr>
        <xdr:spPr bwMode="auto">
          <a:xfrm flipV="1">
            <a:off x="1059223" y="9105900"/>
            <a:ext cx="2435369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6CBEB716-315F-CF19-3A8F-721B36EC2FF2}"/>
              </a:ext>
            </a:extLst>
          </xdr:cNvPr>
          <xdr:cNvCxnSpPr/>
        </xdr:nvCxnSpPr>
        <xdr:spPr bwMode="auto">
          <a:xfrm flipH="1" flipV="1">
            <a:off x="1059223" y="9191625"/>
            <a:ext cx="77932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418FE8DB-AC39-3308-74D7-43C20A826827}"/>
              </a:ext>
            </a:extLst>
          </xdr:cNvPr>
          <xdr:cNvCxnSpPr/>
        </xdr:nvCxnSpPr>
        <xdr:spPr bwMode="auto">
          <a:xfrm flipH="1" flipV="1">
            <a:off x="3358212" y="8753475"/>
            <a:ext cx="87673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3A01E605-FB0A-CE4D-7C29-CBA1F8AF6CA7}"/>
              </a:ext>
            </a:extLst>
          </xdr:cNvPr>
          <xdr:cNvCxnSpPr/>
        </xdr:nvCxnSpPr>
        <xdr:spPr bwMode="auto">
          <a:xfrm>
            <a:off x="3221831" y="9010650"/>
            <a:ext cx="2425628" cy="457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6DBF1AF2-34EF-B62F-BA12-89A9CB992F1B}"/>
              </a:ext>
            </a:extLst>
          </xdr:cNvPr>
          <xdr:cNvCxnSpPr/>
        </xdr:nvCxnSpPr>
        <xdr:spPr bwMode="auto">
          <a:xfrm flipH="1">
            <a:off x="3280280" y="8753475"/>
            <a:ext cx="6819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A5013C9B-40C1-D447-A7EE-E9FDACE8F7FD}"/>
              </a:ext>
            </a:extLst>
          </xdr:cNvPr>
          <xdr:cNvCxnSpPr/>
        </xdr:nvCxnSpPr>
        <xdr:spPr bwMode="auto">
          <a:xfrm flipH="1">
            <a:off x="5589010" y="9191625"/>
            <a:ext cx="68190" cy="352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12A968F8-72BA-DAEF-0F88-1E7EED55E5A5}"/>
              </a:ext>
            </a:extLst>
          </xdr:cNvPr>
          <xdr:cNvCxnSpPr/>
        </xdr:nvCxnSpPr>
        <xdr:spPr bwMode="auto">
          <a:xfrm flipH="1">
            <a:off x="1088448" y="9505950"/>
            <a:ext cx="68190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B2D1032B-8897-DBDD-D6F6-4916DD8D337B}"/>
              </a:ext>
            </a:extLst>
          </xdr:cNvPr>
          <xdr:cNvCxnSpPr/>
        </xdr:nvCxnSpPr>
        <xdr:spPr bwMode="auto">
          <a:xfrm flipH="1">
            <a:off x="3397178" y="9067800"/>
            <a:ext cx="68190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49914B8D-A492-0BFD-5B0D-46694FF2417B}"/>
              </a:ext>
            </a:extLst>
          </xdr:cNvPr>
          <xdr:cNvCxnSpPr/>
        </xdr:nvCxnSpPr>
        <xdr:spPr bwMode="auto">
          <a:xfrm flipH="1">
            <a:off x="3241314" y="8991600"/>
            <a:ext cx="9741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ADA5C186-7A4E-83B5-8AB3-B1689DDA748A}"/>
              </a:ext>
            </a:extLst>
          </xdr:cNvPr>
          <xdr:cNvCxnSpPr/>
        </xdr:nvCxnSpPr>
        <xdr:spPr bwMode="auto">
          <a:xfrm flipH="1">
            <a:off x="5550044" y="9439275"/>
            <a:ext cx="87673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C39F277C-42A9-92F7-DE32-B91FE4D80A7A}"/>
              </a:ext>
            </a:extLst>
          </xdr:cNvPr>
          <xdr:cNvCxnSpPr/>
        </xdr:nvCxnSpPr>
        <xdr:spPr bwMode="auto">
          <a:xfrm>
            <a:off x="1039740" y="9172575"/>
            <a:ext cx="8280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" name="Arc 202">
            <a:extLst>
              <a:ext uri="{FF2B5EF4-FFF2-40B4-BE49-F238E27FC236}">
                <a16:creationId xmlns:a16="http://schemas.microsoft.com/office/drawing/2014/main" id="{DFC0A56C-0610-4012-23C6-2F123895141A}"/>
              </a:ext>
            </a:extLst>
          </xdr:cNvPr>
          <xdr:cNvSpPr/>
        </xdr:nvSpPr>
        <xdr:spPr bwMode="auto">
          <a:xfrm rot="2344922">
            <a:off x="1487848" y="9048750"/>
            <a:ext cx="175347" cy="161925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</xdr:grpSp>
    <xdr:clientData/>
  </xdr:twoCellAnchor>
  <xdr:twoCellAnchor>
    <xdr:from>
      <xdr:col>5</xdr:col>
      <xdr:colOff>0</xdr:colOff>
      <xdr:row>32</xdr:row>
      <xdr:rowOff>9525</xdr:rowOff>
    </xdr:from>
    <xdr:to>
      <xdr:col>36</xdr:col>
      <xdr:colOff>95250</xdr:colOff>
      <xdr:row>52</xdr:row>
      <xdr:rowOff>76200</xdr:rowOff>
    </xdr:to>
    <xdr:grpSp>
      <xdr:nvGrpSpPr>
        <xdr:cNvPr id="2211891" name="Group 1651782">
          <a:extLst>
            <a:ext uri="{FF2B5EF4-FFF2-40B4-BE49-F238E27FC236}">
              <a16:creationId xmlns:a16="http://schemas.microsoft.com/office/drawing/2014/main" id="{65BC291C-DBD1-CCD0-26ED-DEFCF379E5A5}"/>
            </a:ext>
          </a:extLst>
        </xdr:cNvPr>
        <xdr:cNvGrpSpPr>
          <a:grpSpLocks/>
        </xdr:cNvGrpSpPr>
      </xdr:nvGrpSpPr>
      <xdr:grpSpPr bwMode="auto">
        <a:xfrm>
          <a:off x="809625" y="5133975"/>
          <a:ext cx="5114925" cy="2924175"/>
          <a:chOff x="857250" y="4886325"/>
          <a:chExt cx="5248275" cy="2924175"/>
        </a:xfrm>
      </xdr:grpSpPr>
      <xdr:grpSp>
        <xdr:nvGrpSpPr>
          <xdr:cNvPr id="2211992" name="Group 95">
            <a:extLst>
              <a:ext uri="{FF2B5EF4-FFF2-40B4-BE49-F238E27FC236}">
                <a16:creationId xmlns:a16="http://schemas.microsoft.com/office/drawing/2014/main" id="{593F8532-42EE-9BF6-C0F6-E0784B49D71B}"/>
              </a:ext>
            </a:extLst>
          </xdr:cNvPr>
          <xdr:cNvGrpSpPr>
            <a:grpSpLocks/>
          </xdr:cNvGrpSpPr>
        </xdr:nvGrpSpPr>
        <xdr:grpSpPr bwMode="auto">
          <a:xfrm>
            <a:off x="857250" y="5306108"/>
            <a:ext cx="5004204" cy="1989198"/>
            <a:chOff x="652462" y="6124575"/>
            <a:chExt cx="4872037" cy="2000248"/>
          </a:xfrm>
        </xdr:grpSpPr>
        <xdr:sp macro="" textlink="">
          <xdr:nvSpPr>
            <xdr:cNvPr id="97" name="Rectangle 96">
              <a:extLst>
                <a:ext uri="{FF2B5EF4-FFF2-40B4-BE49-F238E27FC236}">
                  <a16:creationId xmlns:a16="http://schemas.microsoft.com/office/drawing/2014/main" id="{7129AC48-97F6-0FB6-FB5D-18343DF99DC3}"/>
                </a:ext>
              </a:extLst>
            </xdr:cNvPr>
            <xdr:cNvSpPr/>
          </xdr:nvSpPr>
          <xdr:spPr>
            <a:xfrm>
              <a:off x="5191212" y="8010737"/>
              <a:ext cx="333032" cy="1149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sp macro="" textlink="">
          <xdr:nvSpPr>
            <xdr:cNvPr id="98" name="Rectangle 97">
              <a:extLst>
                <a:ext uri="{FF2B5EF4-FFF2-40B4-BE49-F238E27FC236}">
                  <a16:creationId xmlns:a16="http://schemas.microsoft.com/office/drawing/2014/main" id="{9A429162-7421-F689-8F97-092DF042A6F8}"/>
                </a:ext>
              </a:extLst>
            </xdr:cNvPr>
            <xdr:cNvSpPr/>
          </xdr:nvSpPr>
          <xdr:spPr>
            <a:xfrm>
              <a:off x="661977" y="8010737"/>
              <a:ext cx="333032" cy="11493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sp macro="" textlink="">
          <xdr:nvSpPr>
            <xdr:cNvPr id="99" name="Freeform: Shape 98">
              <a:extLst>
                <a:ext uri="{FF2B5EF4-FFF2-40B4-BE49-F238E27FC236}">
                  <a16:creationId xmlns:a16="http://schemas.microsoft.com/office/drawing/2014/main" id="{D81F0037-E22C-7341-6E5D-4316C14D5D26}"/>
                </a:ext>
              </a:extLst>
            </xdr:cNvPr>
            <xdr:cNvSpPr/>
          </xdr:nvSpPr>
          <xdr:spPr>
            <a:xfrm>
              <a:off x="814220" y="6123888"/>
              <a:ext cx="4529235" cy="1877271"/>
            </a:xfrm>
            <a:custGeom>
              <a:avLst/>
              <a:gdLst>
                <a:gd name="connsiteX0" fmla="*/ 0 w 4533900"/>
                <a:gd name="connsiteY0" fmla="*/ 1876425 h 1876425"/>
                <a:gd name="connsiteX1" fmla="*/ 0 w 4533900"/>
                <a:gd name="connsiteY1" fmla="*/ 438150 h 1876425"/>
                <a:gd name="connsiteX2" fmla="*/ 2266950 w 4533900"/>
                <a:gd name="connsiteY2" fmla="*/ 0 h 1876425"/>
                <a:gd name="connsiteX3" fmla="*/ 4533900 w 4533900"/>
                <a:gd name="connsiteY3" fmla="*/ 438150 h 1876425"/>
                <a:gd name="connsiteX4" fmla="*/ 4533900 w 4533900"/>
                <a:gd name="connsiteY4" fmla="*/ 1876425 h 1876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33900" h="1876425">
                  <a:moveTo>
                    <a:pt x="0" y="1876425"/>
                  </a:moveTo>
                  <a:lnTo>
                    <a:pt x="0" y="438150"/>
                  </a:lnTo>
                  <a:lnTo>
                    <a:pt x="2266950" y="0"/>
                  </a:lnTo>
                  <a:lnTo>
                    <a:pt x="4533900" y="438150"/>
                  </a:lnTo>
                  <a:lnTo>
                    <a:pt x="4533900" y="1876425"/>
                  </a:lnTo>
                </a:path>
              </a:pathLst>
            </a:cu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r-TR"/>
            </a:p>
          </xdr:txBody>
        </xdr:sp>
        <xdr:cxnSp macro="">
          <xdr:nvCxnSpPr>
            <xdr:cNvPr id="100" name="Straight Connector 99">
              <a:extLst>
                <a:ext uri="{FF2B5EF4-FFF2-40B4-BE49-F238E27FC236}">
                  <a16:creationId xmlns:a16="http://schemas.microsoft.com/office/drawing/2014/main" id="{A12310C1-36C5-9CDD-AAD6-4C0F20226DDB}"/>
                </a:ext>
              </a:extLst>
            </xdr:cNvPr>
            <xdr:cNvCxnSpPr/>
          </xdr:nvCxnSpPr>
          <xdr:spPr>
            <a:xfrm>
              <a:off x="652462" y="8001159"/>
              <a:ext cx="342547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1" name="Straight Connector 100">
              <a:extLst>
                <a:ext uri="{FF2B5EF4-FFF2-40B4-BE49-F238E27FC236}">
                  <a16:creationId xmlns:a16="http://schemas.microsoft.com/office/drawing/2014/main" id="{B123472E-F884-AEB2-1571-213AABEAFE8C}"/>
                </a:ext>
              </a:extLst>
            </xdr:cNvPr>
            <xdr:cNvCxnSpPr/>
          </xdr:nvCxnSpPr>
          <xdr:spPr>
            <a:xfrm>
              <a:off x="5181697" y="8001159"/>
              <a:ext cx="342547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0E5CCB87-6F94-CDFB-3610-F1D545F4F25F}"/>
              </a:ext>
            </a:extLst>
          </xdr:cNvPr>
          <xdr:cNvCxnSpPr/>
        </xdr:nvCxnSpPr>
        <xdr:spPr bwMode="auto">
          <a:xfrm>
            <a:off x="1023397" y="5162550"/>
            <a:ext cx="4652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68DD5463-B903-63AE-7555-42BF64E6459F}"/>
              </a:ext>
            </a:extLst>
          </xdr:cNvPr>
          <xdr:cNvCxnSpPr/>
        </xdr:nvCxnSpPr>
        <xdr:spPr bwMode="auto">
          <a:xfrm>
            <a:off x="1023397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50FC9871-E2D7-A6F0-14D8-2AE381F83296}"/>
              </a:ext>
            </a:extLst>
          </xdr:cNvPr>
          <xdr:cNvCxnSpPr/>
        </xdr:nvCxnSpPr>
        <xdr:spPr bwMode="auto">
          <a:xfrm>
            <a:off x="1189543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3807037E-6A4C-C5E5-3461-87C02139BF00}"/>
              </a:ext>
            </a:extLst>
          </xdr:cNvPr>
          <xdr:cNvCxnSpPr/>
        </xdr:nvCxnSpPr>
        <xdr:spPr bwMode="auto">
          <a:xfrm>
            <a:off x="1355690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F5D9C044-4E9C-2DC9-CC77-C608A1DF5047}"/>
              </a:ext>
            </a:extLst>
          </xdr:cNvPr>
          <xdr:cNvCxnSpPr/>
        </xdr:nvCxnSpPr>
        <xdr:spPr bwMode="auto">
          <a:xfrm>
            <a:off x="1521836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DAF092C9-DECB-48D8-3552-36F8E0ED1577}"/>
              </a:ext>
            </a:extLst>
          </xdr:cNvPr>
          <xdr:cNvCxnSpPr/>
        </xdr:nvCxnSpPr>
        <xdr:spPr bwMode="auto">
          <a:xfrm>
            <a:off x="1687983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C3012A8D-A808-A43C-22D6-7818E6CCA6B7}"/>
              </a:ext>
            </a:extLst>
          </xdr:cNvPr>
          <xdr:cNvCxnSpPr/>
        </xdr:nvCxnSpPr>
        <xdr:spPr bwMode="auto">
          <a:xfrm>
            <a:off x="1854129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3879A74A-0CD9-78A4-BB8B-8C132B6F89E4}"/>
              </a:ext>
            </a:extLst>
          </xdr:cNvPr>
          <xdr:cNvCxnSpPr/>
        </xdr:nvCxnSpPr>
        <xdr:spPr bwMode="auto">
          <a:xfrm>
            <a:off x="2020276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D4CC2897-F585-662D-53B1-B7AE86130844}"/>
              </a:ext>
            </a:extLst>
          </xdr:cNvPr>
          <xdr:cNvCxnSpPr/>
        </xdr:nvCxnSpPr>
        <xdr:spPr bwMode="auto">
          <a:xfrm>
            <a:off x="2186422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D5A7D716-4E08-1933-B28C-BB2BA5FD4B61}"/>
              </a:ext>
            </a:extLst>
          </xdr:cNvPr>
          <xdr:cNvCxnSpPr/>
        </xdr:nvCxnSpPr>
        <xdr:spPr bwMode="auto">
          <a:xfrm>
            <a:off x="2352569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CB9CCCA5-ECD4-DCDD-33FA-81C2EB2D65EB}"/>
              </a:ext>
            </a:extLst>
          </xdr:cNvPr>
          <xdr:cNvCxnSpPr/>
        </xdr:nvCxnSpPr>
        <xdr:spPr bwMode="auto">
          <a:xfrm>
            <a:off x="2518715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E74E4CEF-68EB-8692-744B-EF7FB309050D}"/>
              </a:ext>
            </a:extLst>
          </xdr:cNvPr>
          <xdr:cNvCxnSpPr/>
        </xdr:nvCxnSpPr>
        <xdr:spPr bwMode="auto">
          <a:xfrm>
            <a:off x="2684862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DE21FE9A-51FB-F2C0-84E8-9ABF9EEBE2B1}"/>
              </a:ext>
            </a:extLst>
          </xdr:cNvPr>
          <xdr:cNvCxnSpPr/>
        </xdr:nvCxnSpPr>
        <xdr:spPr bwMode="auto">
          <a:xfrm>
            <a:off x="2851008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F0EC982D-DD02-780C-5894-00D907FDE83A}"/>
              </a:ext>
            </a:extLst>
          </xdr:cNvPr>
          <xdr:cNvCxnSpPr/>
        </xdr:nvCxnSpPr>
        <xdr:spPr bwMode="auto">
          <a:xfrm>
            <a:off x="3017155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E3ECD4DF-2D3A-F9A0-D7E0-FFA8473DEE7E}"/>
              </a:ext>
            </a:extLst>
          </xdr:cNvPr>
          <xdr:cNvCxnSpPr/>
        </xdr:nvCxnSpPr>
        <xdr:spPr bwMode="auto">
          <a:xfrm>
            <a:off x="3183301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6E69B1D9-DF5E-20A1-9F84-B92478838BDF}"/>
              </a:ext>
            </a:extLst>
          </xdr:cNvPr>
          <xdr:cNvCxnSpPr/>
        </xdr:nvCxnSpPr>
        <xdr:spPr bwMode="auto">
          <a:xfrm>
            <a:off x="3349448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E5066BF0-4CE4-C212-A9D2-2E253890B57C}"/>
              </a:ext>
            </a:extLst>
          </xdr:cNvPr>
          <xdr:cNvCxnSpPr/>
        </xdr:nvCxnSpPr>
        <xdr:spPr bwMode="auto">
          <a:xfrm>
            <a:off x="3515594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C9495EDA-7AE5-6CAF-06F9-96946714313F}"/>
              </a:ext>
            </a:extLst>
          </xdr:cNvPr>
          <xdr:cNvCxnSpPr/>
        </xdr:nvCxnSpPr>
        <xdr:spPr bwMode="auto">
          <a:xfrm>
            <a:off x="3681741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05687904-807D-AB36-6322-0E1BD0202B37}"/>
              </a:ext>
            </a:extLst>
          </xdr:cNvPr>
          <xdr:cNvCxnSpPr/>
        </xdr:nvCxnSpPr>
        <xdr:spPr bwMode="auto">
          <a:xfrm>
            <a:off x="3847887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EE3F5D17-3A26-A35A-8AAE-DB2486D5E933}"/>
              </a:ext>
            </a:extLst>
          </xdr:cNvPr>
          <xdr:cNvCxnSpPr/>
        </xdr:nvCxnSpPr>
        <xdr:spPr bwMode="auto">
          <a:xfrm>
            <a:off x="4014034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BDADB9C9-9ECE-DE9F-D8B1-0AF521C9BBFE}"/>
              </a:ext>
            </a:extLst>
          </xdr:cNvPr>
          <xdr:cNvCxnSpPr/>
        </xdr:nvCxnSpPr>
        <xdr:spPr bwMode="auto">
          <a:xfrm>
            <a:off x="4180180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D1889B39-5748-09BC-1D1A-60BFF88B82DF}"/>
              </a:ext>
            </a:extLst>
          </xdr:cNvPr>
          <xdr:cNvCxnSpPr/>
        </xdr:nvCxnSpPr>
        <xdr:spPr bwMode="auto">
          <a:xfrm>
            <a:off x="4346327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9A2D89AC-D3EF-3301-E9EE-44C0663D0B3D}"/>
              </a:ext>
            </a:extLst>
          </xdr:cNvPr>
          <xdr:cNvCxnSpPr/>
        </xdr:nvCxnSpPr>
        <xdr:spPr bwMode="auto">
          <a:xfrm>
            <a:off x="4512473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93406AE9-3E16-FC53-8433-BB3EFE57FB8E}"/>
              </a:ext>
            </a:extLst>
          </xdr:cNvPr>
          <xdr:cNvCxnSpPr/>
        </xdr:nvCxnSpPr>
        <xdr:spPr bwMode="auto">
          <a:xfrm>
            <a:off x="4678620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B60408A1-3233-3BB1-8A1C-B0F43A2DDAD8}"/>
              </a:ext>
            </a:extLst>
          </xdr:cNvPr>
          <xdr:cNvCxnSpPr/>
        </xdr:nvCxnSpPr>
        <xdr:spPr bwMode="auto">
          <a:xfrm>
            <a:off x="4844766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4EC904FB-4580-E1BA-5482-F41F6CC2630C}"/>
              </a:ext>
            </a:extLst>
          </xdr:cNvPr>
          <xdr:cNvCxnSpPr/>
        </xdr:nvCxnSpPr>
        <xdr:spPr bwMode="auto">
          <a:xfrm>
            <a:off x="5010913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09D325CD-6698-0AB5-E9D9-C227BD4E387B}"/>
              </a:ext>
            </a:extLst>
          </xdr:cNvPr>
          <xdr:cNvCxnSpPr/>
        </xdr:nvCxnSpPr>
        <xdr:spPr bwMode="auto">
          <a:xfrm>
            <a:off x="5177059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B4EC72FE-14C6-0733-FC0B-E51DE7426A35}"/>
              </a:ext>
            </a:extLst>
          </xdr:cNvPr>
          <xdr:cNvCxnSpPr/>
        </xdr:nvCxnSpPr>
        <xdr:spPr bwMode="auto">
          <a:xfrm>
            <a:off x="5343206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30FD86F5-514E-AEEF-9669-C4391A24DF36}"/>
              </a:ext>
            </a:extLst>
          </xdr:cNvPr>
          <xdr:cNvCxnSpPr/>
        </xdr:nvCxnSpPr>
        <xdr:spPr bwMode="auto">
          <a:xfrm>
            <a:off x="5509352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DEADB45D-4FC0-74ED-7605-E1172B3A39C1}"/>
              </a:ext>
            </a:extLst>
          </xdr:cNvPr>
          <xdr:cNvCxnSpPr/>
        </xdr:nvCxnSpPr>
        <xdr:spPr bwMode="auto">
          <a:xfrm>
            <a:off x="5675499" y="4972050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A5EFF9BC-7280-52BC-897E-616D98639DDC}"/>
              </a:ext>
            </a:extLst>
          </xdr:cNvPr>
          <xdr:cNvCxnSpPr/>
        </xdr:nvCxnSpPr>
        <xdr:spPr bwMode="auto">
          <a:xfrm>
            <a:off x="1023397" y="4972050"/>
            <a:ext cx="4652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A8819126-7EF6-D017-D4B1-CE8284EFE64D}"/>
              </a:ext>
            </a:extLst>
          </xdr:cNvPr>
          <xdr:cNvCxnSpPr/>
        </xdr:nvCxnSpPr>
        <xdr:spPr bwMode="auto">
          <a:xfrm flipH="1" flipV="1">
            <a:off x="2635995" y="4886325"/>
            <a:ext cx="215013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FFD3DFA7-ADC3-D0A0-06E3-30E278CF8F79}"/>
              </a:ext>
            </a:extLst>
          </xdr:cNvPr>
          <xdr:cNvCxnSpPr/>
        </xdr:nvCxnSpPr>
        <xdr:spPr bwMode="auto">
          <a:xfrm>
            <a:off x="3642647" y="5305425"/>
            <a:ext cx="24628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0BF70898-B188-B546-6B8C-FCD01F5577F6}"/>
              </a:ext>
            </a:extLst>
          </xdr:cNvPr>
          <xdr:cNvCxnSpPr/>
        </xdr:nvCxnSpPr>
        <xdr:spPr bwMode="auto">
          <a:xfrm>
            <a:off x="6007792" y="5238750"/>
            <a:ext cx="0" cy="1981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345B2BD8-BE9B-3EAB-392A-B6A9D8912067}"/>
              </a:ext>
            </a:extLst>
          </xdr:cNvPr>
          <xdr:cNvCxnSpPr/>
        </xdr:nvCxnSpPr>
        <xdr:spPr bwMode="auto">
          <a:xfrm flipH="1">
            <a:off x="5958925" y="5267325"/>
            <a:ext cx="8796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7C933D84-4071-7FB6-EB23-53476AD17B24}"/>
              </a:ext>
            </a:extLst>
          </xdr:cNvPr>
          <xdr:cNvCxnSpPr/>
        </xdr:nvCxnSpPr>
        <xdr:spPr bwMode="auto">
          <a:xfrm>
            <a:off x="5900285" y="7162800"/>
            <a:ext cx="205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D7EDF94D-FBD8-7A67-A1AE-2F122AD68767}"/>
              </a:ext>
            </a:extLst>
          </xdr:cNvPr>
          <xdr:cNvCxnSpPr/>
        </xdr:nvCxnSpPr>
        <xdr:spPr bwMode="auto">
          <a:xfrm flipH="1">
            <a:off x="5958925" y="7124700"/>
            <a:ext cx="8796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E264CA95-D213-99D1-8B38-413482E29DD7}"/>
              </a:ext>
            </a:extLst>
          </xdr:cNvPr>
          <xdr:cNvCxnSpPr/>
        </xdr:nvCxnSpPr>
        <xdr:spPr bwMode="auto">
          <a:xfrm>
            <a:off x="5734139" y="5734050"/>
            <a:ext cx="3518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B484EE45-9495-BD8D-88DE-C3A85CC15993}"/>
              </a:ext>
            </a:extLst>
          </xdr:cNvPr>
          <xdr:cNvCxnSpPr/>
        </xdr:nvCxnSpPr>
        <xdr:spPr bwMode="auto">
          <a:xfrm flipH="1">
            <a:off x="5958925" y="5695950"/>
            <a:ext cx="8796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EFB9BCF3-7A66-54DE-0AC0-BE6F41A35739}"/>
              </a:ext>
            </a:extLst>
          </xdr:cNvPr>
          <xdr:cNvCxnSpPr/>
        </xdr:nvCxnSpPr>
        <xdr:spPr bwMode="auto">
          <a:xfrm>
            <a:off x="1023397" y="731520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16CA48F1-CECF-2447-52F3-75EACAEA3517}"/>
              </a:ext>
            </a:extLst>
          </xdr:cNvPr>
          <xdr:cNvCxnSpPr/>
        </xdr:nvCxnSpPr>
        <xdr:spPr bwMode="auto">
          <a:xfrm>
            <a:off x="945210" y="7448550"/>
            <a:ext cx="48182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20D1F1E2-90E5-03C0-5383-6DA5F5143054}"/>
              </a:ext>
            </a:extLst>
          </xdr:cNvPr>
          <xdr:cNvCxnSpPr/>
        </xdr:nvCxnSpPr>
        <xdr:spPr bwMode="auto">
          <a:xfrm flipH="1">
            <a:off x="974530" y="7410450"/>
            <a:ext cx="8796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136FE1F2-FAD8-5ACF-D5A0-6F4628106CB5}"/>
              </a:ext>
            </a:extLst>
          </xdr:cNvPr>
          <xdr:cNvCxnSpPr/>
        </xdr:nvCxnSpPr>
        <xdr:spPr bwMode="auto">
          <a:xfrm flipH="1">
            <a:off x="974530" y="7686675"/>
            <a:ext cx="8796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D0437CDE-B6C3-8136-71AA-225BD3484CF6}"/>
              </a:ext>
            </a:extLst>
          </xdr:cNvPr>
          <xdr:cNvCxnSpPr/>
        </xdr:nvCxnSpPr>
        <xdr:spPr bwMode="auto">
          <a:xfrm>
            <a:off x="945210" y="7734300"/>
            <a:ext cx="4808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67E1E42B-021F-185F-07A3-8CAEBF925287}"/>
              </a:ext>
            </a:extLst>
          </xdr:cNvPr>
          <xdr:cNvCxnSpPr/>
        </xdr:nvCxnSpPr>
        <xdr:spPr bwMode="auto">
          <a:xfrm>
            <a:off x="5665725" y="731520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C21F45D5-A621-8875-11D9-65F114C9C8F0}"/>
              </a:ext>
            </a:extLst>
          </xdr:cNvPr>
          <xdr:cNvCxnSpPr/>
        </xdr:nvCxnSpPr>
        <xdr:spPr bwMode="auto">
          <a:xfrm flipH="1">
            <a:off x="5616859" y="7410450"/>
            <a:ext cx="8796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CDA31F63-12AD-F304-AD0B-F86AE4C93C02}"/>
              </a:ext>
            </a:extLst>
          </xdr:cNvPr>
          <xdr:cNvCxnSpPr/>
        </xdr:nvCxnSpPr>
        <xdr:spPr bwMode="auto">
          <a:xfrm flipH="1">
            <a:off x="5616859" y="7686675"/>
            <a:ext cx="8796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E1407579-8BB7-4E25-62B5-F7E47DE5BE1C}"/>
              </a:ext>
            </a:extLst>
          </xdr:cNvPr>
          <xdr:cNvCxnSpPr/>
        </xdr:nvCxnSpPr>
        <xdr:spPr bwMode="auto">
          <a:xfrm>
            <a:off x="3349448" y="5895975"/>
            <a:ext cx="0" cy="1628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F47399B1-104A-8435-83A9-289EECFF2740}"/>
              </a:ext>
            </a:extLst>
          </xdr:cNvPr>
          <xdr:cNvCxnSpPr/>
        </xdr:nvCxnSpPr>
        <xdr:spPr bwMode="auto">
          <a:xfrm flipH="1">
            <a:off x="3310354" y="7400925"/>
            <a:ext cx="781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490DAF23-9D65-2360-A2E6-D84D16FA4F55}"/>
              </a:ext>
            </a:extLst>
          </xdr:cNvPr>
          <xdr:cNvCxnSpPr/>
        </xdr:nvCxnSpPr>
        <xdr:spPr bwMode="auto">
          <a:xfrm flipV="1">
            <a:off x="1052716" y="5676900"/>
            <a:ext cx="2443331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48EB6DFD-6973-2D80-C5E1-73AEB72DE2AE}"/>
              </a:ext>
            </a:extLst>
          </xdr:cNvPr>
          <xdr:cNvCxnSpPr/>
        </xdr:nvCxnSpPr>
        <xdr:spPr bwMode="auto">
          <a:xfrm flipH="1" flipV="1">
            <a:off x="1042943" y="5762625"/>
            <a:ext cx="87960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2BD588CE-BF92-2F98-C120-D12C8E8C3CB3}"/>
              </a:ext>
            </a:extLst>
          </xdr:cNvPr>
          <xdr:cNvCxnSpPr/>
        </xdr:nvCxnSpPr>
        <xdr:spPr bwMode="auto">
          <a:xfrm flipH="1" flipV="1">
            <a:off x="3359221" y="5324475"/>
            <a:ext cx="87960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4B07CB8E-963C-5278-C6E4-BBDDC374AFCA}"/>
              </a:ext>
            </a:extLst>
          </xdr:cNvPr>
          <xdr:cNvCxnSpPr/>
        </xdr:nvCxnSpPr>
        <xdr:spPr bwMode="auto">
          <a:xfrm>
            <a:off x="3212621" y="5581650"/>
            <a:ext cx="2443331" cy="457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72A9FA3D-CCE0-E7B2-1372-168EE6078B09}"/>
              </a:ext>
            </a:extLst>
          </xdr:cNvPr>
          <xdr:cNvCxnSpPr/>
        </xdr:nvCxnSpPr>
        <xdr:spPr bwMode="auto">
          <a:xfrm flipH="1">
            <a:off x="3281034" y="5324475"/>
            <a:ext cx="68413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95981BD0-1402-152C-D1BC-67970924B6E7}"/>
              </a:ext>
            </a:extLst>
          </xdr:cNvPr>
          <xdr:cNvCxnSpPr/>
        </xdr:nvCxnSpPr>
        <xdr:spPr bwMode="auto">
          <a:xfrm flipH="1">
            <a:off x="5597312" y="5762625"/>
            <a:ext cx="68413" cy="352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2D2DBB6B-54D4-A7D2-5D01-5C3E3C4181C2}"/>
              </a:ext>
            </a:extLst>
          </xdr:cNvPr>
          <xdr:cNvCxnSpPr/>
        </xdr:nvCxnSpPr>
        <xdr:spPr bwMode="auto">
          <a:xfrm flipH="1">
            <a:off x="1082036" y="6076950"/>
            <a:ext cx="68413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2ADAC297-C546-4996-764D-4E8065467D34}"/>
              </a:ext>
            </a:extLst>
          </xdr:cNvPr>
          <xdr:cNvCxnSpPr/>
        </xdr:nvCxnSpPr>
        <xdr:spPr bwMode="auto">
          <a:xfrm flipH="1">
            <a:off x="3398314" y="5638800"/>
            <a:ext cx="68413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E4438877-5B2D-AE26-BF85-216C93A4A8AE}"/>
              </a:ext>
            </a:extLst>
          </xdr:cNvPr>
          <xdr:cNvCxnSpPr/>
        </xdr:nvCxnSpPr>
        <xdr:spPr bwMode="auto">
          <a:xfrm flipH="1">
            <a:off x="3241941" y="5562600"/>
            <a:ext cx="97733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076B3B82-36C0-A19F-86B2-B5F6D0E8571E}"/>
              </a:ext>
            </a:extLst>
          </xdr:cNvPr>
          <xdr:cNvCxnSpPr/>
        </xdr:nvCxnSpPr>
        <xdr:spPr bwMode="auto">
          <a:xfrm flipH="1">
            <a:off x="5558219" y="6010275"/>
            <a:ext cx="87960" cy="57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CB428F97-019D-59C2-BD26-40EAFD9B8D0B}"/>
              </a:ext>
            </a:extLst>
          </xdr:cNvPr>
          <xdr:cNvCxnSpPr/>
        </xdr:nvCxnSpPr>
        <xdr:spPr bwMode="auto">
          <a:xfrm>
            <a:off x="1033170" y="5743575"/>
            <a:ext cx="83073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Arc 164">
            <a:extLst>
              <a:ext uri="{FF2B5EF4-FFF2-40B4-BE49-F238E27FC236}">
                <a16:creationId xmlns:a16="http://schemas.microsoft.com/office/drawing/2014/main" id="{3968C4E3-26AE-2656-6A05-734C70BC9117}"/>
              </a:ext>
            </a:extLst>
          </xdr:cNvPr>
          <xdr:cNvSpPr/>
        </xdr:nvSpPr>
        <xdr:spPr bwMode="auto">
          <a:xfrm rot="2344922">
            <a:off x="1482743" y="5619750"/>
            <a:ext cx="166147" cy="161925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</xdr:grpSp>
    <xdr:clientData/>
  </xdr:twoCellAnchor>
  <xdr:twoCellAnchor>
    <xdr:from>
      <xdr:col>2</xdr:col>
      <xdr:colOff>157163</xdr:colOff>
      <xdr:row>7</xdr:row>
      <xdr:rowOff>9525</xdr:rowOff>
    </xdr:from>
    <xdr:to>
      <xdr:col>39</xdr:col>
      <xdr:colOff>80963</xdr:colOff>
      <xdr:row>26</xdr:row>
      <xdr:rowOff>85725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3FEB466C-FFBB-1EF7-63F9-A0A73E40C2CE}"/>
            </a:ext>
          </a:extLst>
        </xdr:cNvPr>
        <xdr:cNvGrpSpPr/>
      </xdr:nvGrpSpPr>
      <xdr:grpSpPr>
        <a:xfrm>
          <a:off x="481013" y="1562100"/>
          <a:ext cx="5915025" cy="2790825"/>
          <a:chOff x="481013" y="1562100"/>
          <a:chExt cx="5915025" cy="2790825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C73063B-28CC-B287-5C8D-55483A167644}"/>
              </a:ext>
            </a:extLst>
          </xdr:cNvPr>
          <xdr:cNvGrpSpPr/>
        </xdr:nvGrpSpPr>
        <xdr:grpSpPr>
          <a:xfrm>
            <a:off x="809625" y="1819275"/>
            <a:ext cx="4872037" cy="2009774"/>
            <a:chOff x="647700" y="1266825"/>
            <a:chExt cx="4872037" cy="2009774"/>
          </a:xfrm>
        </xdr:grpSpPr>
        <xdr:sp macro="" textlink="">
          <xdr:nvSpPr>
            <xdr:cNvPr id="236" name="Freeform: Shape 235">
              <a:extLst>
                <a:ext uri="{FF2B5EF4-FFF2-40B4-BE49-F238E27FC236}">
                  <a16:creationId xmlns:a16="http://schemas.microsoft.com/office/drawing/2014/main" id="{82964A76-7B08-A177-B6FA-928F015A66D9}"/>
                </a:ext>
              </a:extLst>
            </xdr:cNvPr>
            <xdr:cNvSpPr/>
          </xdr:nvSpPr>
          <xdr:spPr>
            <a:xfrm>
              <a:off x="809625" y="1266825"/>
              <a:ext cx="4533900" cy="1876425"/>
            </a:xfrm>
            <a:custGeom>
              <a:avLst/>
              <a:gdLst>
                <a:gd name="connsiteX0" fmla="*/ 0 w 4533900"/>
                <a:gd name="connsiteY0" fmla="*/ 1876425 h 1876425"/>
                <a:gd name="connsiteX1" fmla="*/ 0 w 4533900"/>
                <a:gd name="connsiteY1" fmla="*/ 438150 h 1876425"/>
                <a:gd name="connsiteX2" fmla="*/ 2266950 w 4533900"/>
                <a:gd name="connsiteY2" fmla="*/ 0 h 1876425"/>
                <a:gd name="connsiteX3" fmla="*/ 4533900 w 4533900"/>
                <a:gd name="connsiteY3" fmla="*/ 438150 h 1876425"/>
                <a:gd name="connsiteX4" fmla="*/ 4533900 w 4533900"/>
                <a:gd name="connsiteY4" fmla="*/ 1876425 h 1876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33900" h="1876425">
                  <a:moveTo>
                    <a:pt x="0" y="1876425"/>
                  </a:moveTo>
                  <a:lnTo>
                    <a:pt x="0" y="438150"/>
                  </a:lnTo>
                  <a:lnTo>
                    <a:pt x="2266950" y="0"/>
                  </a:lnTo>
                  <a:lnTo>
                    <a:pt x="4533900" y="438150"/>
                  </a:lnTo>
                  <a:lnTo>
                    <a:pt x="4533900" y="1876425"/>
                  </a:lnTo>
                </a:path>
              </a:pathLst>
            </a:cu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37" name="Rectangle 236">
              <a:extLst>
                <a:ext uri="{FF2B5EF4-FFF2-40B4-BE49-F238E27FC236}">
                  <a16:creationId xmlns:a16="http://schemas.microsoft.com/office/drawing/2014/main" id="{5E5EF242-7B28-64E0-609B-90BDD789E59D}"/>
                </a:ext>
              </a:extLst>
            </xdr:cNvPr>
            <xdr:cNvSpPr/>
          </xdr:nvSpPr>
          <xdr:spPr>
            <a:xfrm>
              <a:off x="652462" y="3162300"/>
              <a:ext cx="333375" cy="114299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8" name="Straight Connector 237">
              <a:extLst>
                <a:ext uri="{FF2B5EF4-FFF2-40B4-BE49-F238E27FC236}">
                  <a16:creationId xmlns:a16="http://schemas.microsoft.com/office/drawing/2014/main" id="{94738F1F-DA64-5398-AF71-EE8946169110}"/>
                </a:ext>
              </a:extLst>
            </xdr:cNvPr>
            <xdr:cNvCxnSpPr/>
          </xdr:nvCxnSpPr>
          <xdr:spPr>
            <a:xfrm>
              <a:off x="647700" y="3152776"/>
              <a:ext cx="338137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239" name="Rectangle 238">
              <a:extLst>
                <a:ext uri="{FF2B5EF4-FFF2-40B4-BE49-F238E27FC236}">
                  <a16:creationId xmlns:a16="http://schemas.microsoft.com/office/drawing/2014/main" id="{06E1FF46-B0E0-5A2A-0AE2-231A5C9DBBFB}"/>
                </a:ext>
              </a:extLst>
            </xdr:cNvPr>
            <xdr:cNvSpPr/>
          </xdr:nvSpPr>
          <xdr:spPr>
            <a:xfrm>
              <a:off x="5186362" y="3162300"/>
              <a:ext cx="333375" cy="114299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0" name="Straight Connector 239">
              <a:extLst>
                <a:ext uri="{FF2B5EF4-FFF2-40B4-BE49-F238E27FC236}">
                  <a16:creationId xmlns:a16="http://schemas.microsoft.com/office/drawing/2014/main" id="{898988C4-7269-2B02-2E64-86761A052F9B}"/>
                </a:ext>
              </a:extLst>
            </xdr:cNvPr>
            <xdr:cNvCxnSpPr/>
          </xdr:nvCxnSpPr>
          <xdr:spPr>
            <a:xfrm>
              <a:off x="5181600" y="3152776"/>
              <a:ext cx="338137" cy="0"/>
            </a:xfrm>
            <a:prstGeom prst="line">
              <a:avLst/>
            </a:prstGeom>
            <a:noFill/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54FAC146-5AF8-0FB8-2010-8D6044ED918E}"/>
              </a:ext>
            </a:extLst>
          </xdr:cNvPr>
          <xdr:cNvGrpSpPr/>
        </xdr:nvGrpSpPr>
        <xdr:grpSpPr>
          <a:xfrm>
            <a:off x="481013" y="2266950"/>
            <a:ext cx="338137" cy="1428750"/>
            <a:chOff x="319088" y="1714500"/>
            <a:chExt cx="338137" cy="1428750"/>
          </a:xfrm>
        </xdr:grpSpPr>
        <xdr:cxnSp macro="">
          <xdr:nvCxnSpPr>
            <xdr:cNvPr id="222" name="Straight Connector 221">
              <a:extLst>
                <a:ext uri="{FF2B5EF4-FFF2-40B4-BE49-F238E27FC236}">
                  <a16:creationId xmlns:a16="http://schemas.microsoft.com/office/drawing/2014/main" id="{540A29B8-FC6A-9821-F2AD-81CB733BF56C}"/>
                </a:ext>
              </a:extLst>
            </xdr:cNvPr>
            <xdr:cNvCxnSpPr/>
          </xdr:nvCxnSpPr>
          <xdr:spPr>
            <a:xfrm>
              <a:off x="647700" y="1714500"/>
              <a:ext cx="0" cy="14239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" name="Straight Arrow Connector 222">
              <a:extLst>
                <a:ext uri="{FF2B5EF4-FFF2-40B4-BE49-F238E27FC236}">
                  <a16:creationId xmlns:a16="http://schemas.microsoft.com/office/drawing/2014/main" id="{D2A6B7E1-08F4-E18E-F2B3-59746097FC18}"/>
                </a:ext>
              </a:extLst>
            </xdr:cNvPr>
            <xdr:cNvCxnSpPr/>
          </xdr:nvCxnSpPr>
          <xdr:spPr>
            <a:xfrm>
              <a:off x="433388" y="1714500"/>
              <a:ext cx="223837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4" name="Straight Arrow Connector 223">
              <a:extLst>
                <a:ext uri="{FF2B5EF4-FFF2-40B4-BE49-F238E27FC236}">
                  <a16:creationId xmlns:a16="http://schemas.microsoft.com/office/drawing/2014/main" id="{C7831FDC-8D26-E810-B8DD-DF68554B85AE}"/>
                </a:ext>
              </a:extLst>
            </xdr:cNvPr>
            <xdr:cNvCxnSpPr/>
          </xdr:nvCxnSpPr>
          <xdr:spPr>
            <a:xfrm>
              <a:off x="433388" y="18573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5" name="Straight Arrow Connector 224">
              <a:extLst>
                <a:ext uri="{FF2B5EF4-FFF2-40B4-BE49-F238E27FC236}">
                  <a16:creationId xmlns:a16="http://schemas.microsoft.com/office/drawing/2014/main" id="{7BE6DBA2-3210-D12F-FDFC-C6FC9EAB3610}"/>
                </a:ext>
              </a:extLst>
            </xdr:cNvPr>
            <xdr:cNvCxnSpPr/>
          </xdr:nvCxnSpPr>
          <xdr:spPr>
            <a:xfrm>
              <a:off x="433389" y="20002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Straight Arrow Connector 225">
              <a:extLst>
                <a:ext uri="{FF2B5EF4-FFF2-40B4-BE49-F238E27FC236}">
                  <a16:creationId xmlns:a16="http://schemas.microsoft.com/office/drawing/2014/main" id="{149E409E-1F3D-B238-DEC9-346D882B7755}"/>
                </a:ext>
              </a:extLst>
            </xdr:cNvPr>
            <xdr:cNvCxnSpPr/>
          </xdr:nvCxnSpPr>
          <xdr:spPr>
            <a:xfrm>
              <a:off x="433390" y="214312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Straight Arrow Connector 226">
              <a:extLst>
                <a:ext uri="{FF2B5EF4-FFF2-40B4-BE49-F238E27FC236}">
                  <a16:creationId xmlns:a16="http://schemas.microsoft.com/office/drawing/2014/main" id="{9C5A1512-AE08-1EA0-EDA1-3754C96D4CF9}"/>
                </a:ext>
              </a:extLst>
            </xdr:cNvPr>
            <xdr:cNvCxnSpPr/>
          </xdr:nvCxnSpPr>
          <xdr:spPr>
            <a:xfrm>
              <a:off x="433388" y="228600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8" name="Straight Arrow Connector 227">
              <a:extLst>
                <a:ext uri="{FF2B5EF4-FFF2-40B4-BE49-F238E27FC236}">
                  <a16:creationId xmlns:a16="http://schemas.microsoft.com/office/drawing/2014/main" id="{FADDB9C6-FC5D-65E2-9D12-CF7E8C32B7EB}"/>
                </a:ext>
              </a:extLst>
            </xdr:cNvPr>
            <xdr:cNvCxnSpPr/>
          </xdr:nvCxnSpPr>
          <xdr:spPr>
            <a:xfrm>
              <a:off x="438152" y="24288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9" name="Straight Arrow Connector 228">
              <a:extLst>
                <a:ext uri="{FF2B5EF4-FFF2-40B4-BE49-F238E27FC236}">
                  <a16:creationId xmlns:a16="http://schemas.microsoft.com/office/drawing/2014/main" id="{792AFD9A-E8C8-2025-0CCA-010A6DA15B52}"/>
                </a:ext>
              </a:extLst>
            </xdr:cNvPr>
            <xdr:cNvCxnSpPr/>
          </xdr:nvCxnSpPr>
          <xdr:spPr>
            <a:xfrm>
              <a:off x="428627" y="25717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0" name="Straight Arrow Connector 229">
              <a:extLst>
                <a:ext uri="{FF2B5EF4-FFF2-40B4-BE49-F238E27FC236}">
                  <a16:creationId xmlns:a16="http://schemas.microsoft.com/office/drawing/2014/main" id="{C2B5EE6F-632C-4B84-1F35-189B7404B69E}"/>
                </a:ext>
              </a:extLst>
            </xdr:cNvPr>
            <xdr:cNvCxnSpPr/>
          </xdr:nvCxnSpPr>
          <xdr:spPr>
            <a:xfrm>
              <a:off x="433391" y="271462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1" name="Straight Arrow Connector 230">
              <a:extLst>
                <a:ext uri="{FF2B5EF4-FFF2-40B4-BE49-F238E27FC236}">
                  <a16:creationId xmlns:a16="http://schemas.microsoft.com/office/drawing/2014/main" id="{35045005-0EA5-A9B7-4106-40DB979F30E2}"/>
                </a:ext>
              </a:extLst>
            </xdr:cNvPr>
            <xdr:cNvCxnSpPr/>
          </xdr:nvCxnSpPr>
          <xdr:spPr>
            <a:xfrm>
              <a:off x="433389" y="285750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2" name="Straight Arrow Connector 231">
              <a:extLst>
                <a:ext uri="{FF2B5EF4-FFF2-40B4-BE49-F238E27FC236}">
                  <a16:creationId xmlns:a16="http://schemas.microsoft.com/office/drawing/2014/main" id="{F98EFDFB-D14B-6A93-C1DF-6089DA1AB930}"/>
                </a:ext>
              </a:extLst>
            </xdr:cNvPr>
            <xdr:cNvCxnSpPr/>
          </xdr:nvCxnSpPr>
          <xdr:spPr>
            <a:xfrm>
              <a:off x="428627" y="30003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3" name="Straight Arrow Connector 232">
              <a:extLst>
                <a:ext uri="{FF2B5EF4-FFF2-40B4-BE49-F238E27FC236}">
                  <a16:creationId xmlns:a16="http://schemas.microsoft.com/office/drawing/2014/main" id="{B971BA10-3D71-E923-14AD-D1A1951F0FD4}"/>
                </a:ext>
              </a:extLst>
            </xdr:cNvPr>
            <xdr:cNvCxnSpPr/>
          </xdr:nvCxnSpPr>
          <xdr:spPr>
            <a:xfrm>
              <a:off x="428628" y="31432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4" name="Straight Connector 233">
              <a:extLst>
                <a:ext uri="{FF2B5EF4-FFF2-40B4-BE49-F238E27FC236}">
                  <a16:creationId xmlns:a16="http://schemas.microsoft.com/office/drawing/2014/main" id="{EA70D1F6-53C8-18B6-011C-6661DFB85EEB}"/>
                </a:ext>
              </a:extLst>
            </xdr:cNvPr>
            <xdr:cNvCxnSpPr/>
          </xdr:nvCxnSpPr>
          <xdr:spPr>
            <a:xfrm>
              <a:off x="433387" y="1714500"/>
              <a:ext cx="0" cy="14239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5" name="Straight Connector 234">
              <a:extLst>
                <a:ext uri="{FF2B5EF4-FFF2-40B4-BE49-F238E27FC236}">
                  <a16:creationId xmlns:a16="http://schemas.microsoft.com/office/drawing/2014/main" id="{AF138273-B642-9A68-B6A4-A24C691B0953}"/>
                </a:ext>
              </a:extLst>
            </xdr:cNvPr>
            <xdr:cNvCxnSpPr/>
          </xdr:nvCxnSpPr>
          <xdr:spPr>
            <a:xfrm flipH="1" flipV="1">
              <a:off x="319088" y="2466975"/>
              <a:ext cx="171450" cy="10953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12D730C8-4029-E696-0009-37ED3EEE17C1}"/>
              </a:ext>
            </a:extLst>
          </xdr:cNvPr>
          <xdr:cNvGrpSpPr/>
        </xdr:nvGrpSpPr>
        <xdr:grpSpPr>
          <a:xfrm>
            <a:off x="923925" y="1566863"/>
            <a:ext cx="2300288" cy="619125"/>
            <a:chOff x="762000" y="1023938"/>
            <a:chExt cx="2300288" cy="619125"/>
          </a:xfrm>
        </xdr:grpSpPr>
        <xdr:cxnSp macro="">
          <xdr:nvCxnSpPr>
            <xdr:cNvPr id="205" name="Straight Connector 204">
              <a:extLst>
                <a:ext uri="{FF2B5EF4-FFF2-40B4-BE49-F238E27FC236}">
                  <a16:creationId xmlns:a16="http://schemas.microsoft.com/office/drawing/2014/main" id="{548E7D30-C91A-4552-D9C3-B9C812ED00C7}"/>
                </a:ext>
              </a:extLst>
            </xdr:cNvPr>
            <xdr:cNvCxnSpPr/>
          </xdr:nvCxnSpPr>
          <xdr:spPr>
            <a:xfrm flipV="1">
              <a:off x="795338" y="1204913"/>
              <a:ext cx="2266950" cy="438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Straight Connector 205">
              <a:extLst>
                <a:ext uri="{FF2B5EF4-FFF2-40B4-BE49-F238E27FC236}">
                  <a16:creationId xmlns:a16="http://schemas.microsoft.com/office/drawing/2014/main" id="{24A54B39-BAD4-E344-7FB1-3FC2EC111FB5}"/>
                </a:ext>
              </a:extLst>
            </xdr:cNvPr>
            <xdr:cNvCxnSpPr/>
          </xdr:nvCxnSpPr>
          <xdr:spPr>
            <a:xfrm flipH="1" flipV="1">
              <a:off x="764767" y="146208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Straight Connector 207">
              <a:extLst>
                <a:ext uri="{FF2B5EF4-FFF2-40B4-BE49-F238E27FC236}">
                  <a16:creationId xmlns:a16="http://schemas.microsoft.com/office/drawing/2014/main" id="{3451DF5C-8645-CE72-A4DD-69146C381131}"/>
                </a:ext>
              </a:extLst>
            </xdr:cNvPr>
            <xdr:cNvCxnSpPr/>
          </xdr:nvCxnSpPr>
          <xdr:spPr>
            <a:xfrm flipH="1" flipV="1">
              <a:off x="950505" y="142398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Straight Connector 208">
              <a:extLst>
                <a:ext uri="{FF2B5EF4-FFF2-40B4-BE49-F238E27FC236}">
                  <a16:creationId xmlns:a16="http://schemas.microsoft.com/office/drawing/2014/main" id="{D096240B-DD65-B73E-895C-559BEB91598B}"/>
                </a:ext>
              </a:extLst>
            </xdr:cNvPr>
            <xdr:cNvCxnSpPr/>
          </xdr:nvCxnSpPr>
          <xdr:spPr>
            <a:xfrm flipH="1" flipV="1">
              <a:off x="1150529" y="139065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Straight Connector 210">
              <a:extLst>
                <a:ext uri="{FF2B5EF4-FFF2-40B4-BE49-F238E27FC236}">
                  <a16:creationId xmlns:a16="http://schemas.microsoft.com/office/drawing/2014/main" id="{14D0B58B-415F-6579-DEED-39894D819B9A}"/>
                </a:ext>
              </a:extLst>
            </xdr:cNvPr>
            <xdr:cNvCxnSpPr/>
          </xdr:nvCxnSpPr>
          <xdr:spPr>
            <a:xfrm flipH="1" flipV="1">
              <a:off x="1336267" y="135255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Straight Connector 211">
              <a:extLst>
                <a:ext uri="{FF2B5EF4-FFF2-40B4-BE49-F238E27FC236}">
                  <a16:creationId xmlns:a16="http://schemas.microsoft.com/office/drawing/2014/main" id="{0178C31E-C7B4-01FD-4FD4-4B5889EB1491}"/>
                </a:ext>
              </a:extLst>
            </xdr:cNvPr>
            <xdr:cNvCxnSpPr/>
          </xdr:nvCxnSpPr>
          <xdr:spPr>
            <a:xfrm flipH="1" flipV="1">
              <a:off x="1536292" y="130968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3" name="Straight Connector 212">
              <a:extLst>
                <a:ext uri="{FF2B5EF4-FFF2-40B4-BE49-F238E27FC236}">
                  <a16:creationId xmlns:a16="http://schemas.microsoft.com/office/drawing/2014/main" id="{1B058E1F-4893-550E-5AFC-A499FD08F0A3}"/>
                </a:ext>
              </a:extLst>
            </xdr:cNvPr>
            <xdr:cNvCxnSpPr/>
          </xdr:nvCxnSpPr>
          <xdr:spPr>
            <a:xfrm flipH="1" flipV="1">
              <a:off x="1722030" y="127158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Straight Connector 213">
              <a:extLst>
                <a:ext uri="{FF2B5EF4-FFF2-40B4-BE49-F238E27FC236}">
                  <a16:creationId xmlns:a16="http://schemas.microsoft.com/office/drawing/2014/main" id="{4617D8BE-C3DA-73B8-73FA-8EE378312719}"/>
                </a:ext>
              </a:extLst>
            </xdr:cNvPr>
            <xdr:cNvCxnSpPr/>
          </xdr:nvCxnSpPr>
          <xdr:spPr>
            <a:xfrm flipH="1" flipV="1">
              <a:off x="1922054" y="123825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" name="Straight Connector 214">
              <a:extLst>
                <a:ext uri="{FF2B5EF4-FFF2-40B4-BE49-F238E27FC236}">
                  <a16:creationId xmlns:a16="http://schemas.microsoft.com/office/drawing/2014/main" id="{CB23A6F6-939E-836E-55D0-ACC612043BE6}"/>
                </a:ext>
              </a:extLst>
            </xdr:cNvPr>
            <xdr:cNvCxnSpPr/>
          </xdr:nvCxnSpPr>
          <xdr:spPr>
            <a:xfrm flipH="1" flipV="1">
              <a:off x="2107792" y="120015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Straight Connector 215">
              <a:extLst>
                <a:ext uri="{FF2B5EF4-FFF2-40B4-BE49-F238E27FC236}">
                  <a16:creationId xmlns:a16="http://schemas.microsoft.com/office/drawing/2014/main" id="{75107F54-100F-751D-4789-2B06F7A8BD4E}"/>
                </a:ext>
              </a:extLst>
            </xdr:cNvPr>
            <xdr:cNvCxnSpPr/>
          </xdr:nvCxnSpPr>
          <xdr:spPr>
            <a:xfrm flipH="1" flipV="1">
              <a:off x="2445929" y="113823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Straight Connector 216">
              <a:extLst>
                <a:ext uri="{FF2B5EF4-FFF2-40B4-BE49-F238E27FC236}">
                  <a16:creationId xmlns:a16="http://schemas.microsoft.com/office/drawing/2014/main" id="{6DE28778-E9C6-0245-1FC1-3EA2DFE75C26}"/>
                </a:ext>
              </a:extLst>
            </xdr:cNvPr>
            <xdr:cNvCxnSpPr/>
          </xdr:nvCxnSpPr>
          <xdr:spPr>
            <a:xfrm flipH="1" flipV="1">
              <a:off x="2631667" y="110013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" name="Straight Connector 217">
              <a:extLst>
                <a:ext uri="{FF2B5EF4-FFF2-40B4-BE49-F238E27FC236}">
                  <a16:creationId xmlns:a16="http://schemas.microsoft.com/office/drawing/2014/main" id="{F7AC91DC-DDE4-BB3C-C4A4-B4ACEA21667F}"/>
                </a:ext>
              </a:extLst>
            </xdr:cNvPr>
            <xdr:cNvCxnSpPr/>
          </xdr:nvCxnSpPr>
          <xdr:spPr>
            <a:xfrm flipH="1" flipV="1">
              <a:off x="2831691" y="106680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" name="Straight Connector 218">
              <a:extLst>
                <a:ext uri="{FF2B5EF4-FFF2-40B4-BE49-F238E27FC236}">
                  <a16:creationId xmlns:a16="http://schemas.microsoft.com/office/drawing/2014/main" id="{3B093095-AB25-7A2E-FED1-5896FA8254AC}"/>
                </a:ext>
              </a:extLst>
            </xdr:cNvPr>
            <xdr:cNvCxnSpPr/>
          </xdr:nvCxnSpPr>
          <xdr:spPr>
            <a:xfrm flipH="1" flipV="1">
              <a:off x="3017429" y="1028701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" name="Straight Connector 219">
              <a:extLst>
                <a:ext uri="{FF2B5EF4-FFF2-40B4-BE49-F238E27FC236}">
                  <a16:creationId xmlns:a16="http://schemas.microsoft.com/office/drawing/2014/main" id="{35BC624E-5A8D-761C-BB16-3DF2182A804B}"/>
                </a:ext>
              </a:extLst>
            </xdr:cNvPr>
            <xdr:cNvCxnSpPr/>
          </xdr:nvCxnSpPr>
          <xdr:spPr>
            <a:xfrm flipH="1" flipV="1">
              <a:off x="2264954" y="1176338"/>
              <a:ext cx="34778" cy="178913"/>
            </a:xfrm>
            <a:prstGeom prst="line">
              <a:avLst/>
            </a:prstGeom>
            <a:ln>
              <a:headEnd type="non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Straight Connector 220">
              <a:extLst>
                <a:ext uri="{FF2B5EF4-FFF2-40B4-BE49-F238E27FC236}">
                  <a16:creationId xmlns:a16="http://schemas.microsoft.com/office/drawing/2014/main" id="{5654D693-E9AC-48F4-FBAD-A3A2AA53F6F6}"/>
                </a:ext>
              </a:extLst>
            </xdr:cNvPr>
            <xdr:cNvCxnSpPr/>
          </xdr:nvCxnSpPr>
          <xdr:spPr>
            <a:xfrm flipV="1">
              <a:off x="762000" y="1023938"/>
              <a:ext cx="2266950" cy="438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BEB65597-4971-E352-6A88-2BC30BCA5BFF}"/>
              </a:ext>
            </a:extLst>
          </xdr:cNvPr>
          <xdr:cNvGrpSpPr/>
        </xdr:nvGrpSpPr>
        <xdr:grpSpPr>
          <a:xfrm>
            <a:off x="3257552" y="1562100"/>
            <a:ext cx="2300288" cy="633406"/>
            <a:chOff x="3095627" y="1009650"/>
            <a:chExt cx="2300288" cy="633406"/>
          </a:xfrm>
        </xdr:grpSpPr>
        <xdr:cxnSp macro="">
          <xdr:nvCxnSpPr>
            <xdr:cNvPr id="2211884" name="Straight Connector 2211883">
              <a:extLst>
                <a:ext uri="{FF2B5EF4-FFF2-40B4-BE49-F238E27FC236}">
                  <a16:creationId xmlns:a16="http://schemas.microsoft.com/office/drawing/2014/main" id="{9A6DF89F-A629-7341-7E81-2B135DEE9AEB}"/>
                </a:ext>
              </a:extLst>
            </xdr:cNvPr>
            <xdr:cNvCxnSpPr/>
          </xdr:nvCxnSpPr>
          <xdr:spPr>
            <a:xfrm>
              <a:off x="3095627" y="1204906"/>
              <a:ext cx="2266950" cy="438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5" name="Straight Connector 2211884">
              <a:extLst>
                <a:ext uri="{FF2B5EF4-FFF2-40B4-BE49-F238E27FC236}">
                  <a16:creationId xmlns:a16="http://schemas.microsoft.com/office/drawing/2014/main" id="{D909B3FC-41EB-E4C8-B92F-8A78BB4032E4}"/>
                </a:ext>
              </a:extLst>
            </xdr:cNvPr>
            <xdr:cNvCxnSpPr/>
          </xdr:nvCxnSpPr>
          <xdr:spPr>
            <a:xfrm flipH="1">
              <a:off x="3097605" y="1009650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6" name="Straight Connector 2211885">
              <a:extLst>
                <a:ext uri="{FF2B5EF4-FFF2-40B4-BE49-F238E27FC236}">
                  <a16:creationId xmlns:a16="http://schemas.microsoft.com/office/drawing/2014/main" id="{AC548528-B111-97A6-9DCA-162E7566DC9E}"/>
                </a:ext>
              </a:extLst>
            </xdr:cNvPr>
            <xdr:cNvCxnSpPr/>
          </xdr:nvCxnSpPr>
          <xdr:spPr>
            <a:xfrm flipH="1">
              <a:off x="3273817" y="1042987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7" name="Straight Connector 2211886">
              <a:extLst>
                <a:ext uri="{FF2B5EF4-FFF2-40B4-BE49-F238E27FC236}">
                  <a16:creationId xmlns:a16="http://schemas.microsoft.com/office/drawing/2014/main" id="{9063FCCF-CBB6-3E2F-302A-DDEED04C29FE}"/>
                </a:ext>
              </a:extLst>
            </xdr:cNvPr>
            <xdr:cNvCxnSpPr/>
          </xdr:nvCxnSpPr>
          <xdr:spPr>
            <a:xfrm flipH="1">
              <a:off x="3459555" y="1081088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8" name="Straight Connector 2211887">
              <a:extLst>
                <a:ext uri="{FF2B5EF4-FFF2-40B4-BE49-F238E27FC236}">
                  <a16:creationId xmlns:a16="http://schemas.microsoft.com/office/drawing/2014/main" id="{F0758DCC-6F05-3A48-016F-CD05F31640EC}"/>
                </a:ext>
              </a:extLst>
            </xdr:cNvPr>
            <xdr:cNvCxnSpPr/>
          </xdr:nvCxnSpPr>
          <xdr:spPr>
            <a:xfrm flipH="1">
              <a:off x="3631005" y="1114425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9" name="Straight Connector 2211888">
              <a:extLst>
                <a:ext uri="{FF2B5EF4-FFF2-40B4-BE49-F238E27FC236}">
                  <a16:creationId xmlns:a16="http://schemas.microsoft.com/office/drawing/2014/main" id="{F7245297-12A3-BB87-00A8-2385650FA54F}"/>
                </a:ext>
              </a:extLst>
            </xdr:cNvPr>
            <xdr:cNvCxnSpPr/>
          </xdr:nvCxnSpPr>
          <xdr:spPr>
            <a:xfrm>
              <a:off x="3128965" y="1014406"/>
              <a:ext cx="2266950" cy="438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98" name="Straight Connector 2211897">
              <a:extLst>
                <a:ext uri="{FF2B5EF4-FFF2-40B4-BE49-F238E27FC236}">
                  <a16:creationId xmlns:a16="http://schemas.microsoft.com/office/drawing/2014/main" id="{4B52EAE0-DFFC-47DA-8C74-6D45ACD52CEA}"/>
                </a:ext>
              </a:extLst>
            </xdr:cNvPr>
            <xdr:cNvCxnSpPr/>
          </xdr:nvCxnSpPr>
          <xdr:spPr>
            <a:xfrm flipH="1">
              <a:off x="3807218" y="1152525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99" name="Straight Connector 2211898">
              <a:extLst>
                <a:ext uri="{FF2B5EF4-FFF2-40B4-BE49-F238E27FC236}">
                  <a16:creationId xmlns:a16="http://schemas.microsoft.com/office/drawing/2014/main" id="{36426111-6493-AFF3-B5D1-B852D148492C}"/>
                </a:ext>
              </a:extLst>
            </xdr:cNvPr>
            <xdr:cNvCxnSpPr/>
          </xdr:nvCxnSpPr>
          <xdr:spPr>
            <a:xfrm flipH="1">
              <a:off x="4002480" y="1190625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900" name="Straight Connector 2211899">
              <a:extLst>
                <a:ext uri="{FF2B5EF4-FFF2-40B4-BE49-F238E27FC236}">
                  <a16:creationId xmlns:a16="http://schemas.microsoft.com/office/drawing/2014/main" id="{A7DFC33F-E7DB-05EF-8F2D-92A9BB9B9D68}"/>
                </a:ext>
              </a:extLst>
            </xdr:cNvPr>
            <xdr:cNvCxnSpPr/>
          </xdr:nvCxnSpPr>
          <xdr:spPr>
            <a:xfrm flipH="1">
              <a:off x="4192981" y="1228726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901" name="Straight Connector 2211900">
              <a:extLst>
                <a:ext uri="{FF2B5EF4-FFF2-40B4-BE49-F238E27FC236}">
                  <a16:creationId xmlns:a16="http://schemas.microsoft.com/office/drawing/2014/main" id="{687DC2AD-FFD6-3B5C-FA80-744A8931041E}"/>
                </a:ext>
              </a:extLst>
            </xdr:cNvPr>
            <xdr:cNvCxnSpPr/>
          </xdr:nvCxnSpPr>
          <xdr:spPr>
            <a:xfrm flipH="1">
              <a:off x="4378718" y="1262063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902" name="Straight Connector 2211901">
              <a:extLst>
                <a:ext uri="{FF2B5EF4-FFF2-40B4-BE49-F238E27FC236}">
                  <a16:creationId xmlns:a16="http://schemas.microsoft.com/office/drawing/2014/main" id="{FC2AABCC-1D79-14AD-456E-5BACA6350E49}"/>
                </a:ext>
              </a:extLst>
            </xdr:cNvPr>
            <xdr:cNvCxnSpPr/>
          </xdr:nvCxnSpPr>
          <xdr:spPr>
            <a:xfrm flipH="1">
              <a:off x="4559694" y="1295400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903" name="Straight Connector 2211902">
              <a:extLst>
                <a:ext uri="{FF2B5EF4-FFF2-40B4-BE49-F238E27FC236}">
                  <a16:creationId xmlns:a16="http://schemas.microsoft.com/office/drawing/2014/main" id="{3CE0E159-2E63-DBDD-8151-EB668A33C8E3}"/>
                </a:ext>
              </a:extLst>
            </xdr:cNvPr>
            <xdr:cNvCxnSpPr/>
          </xdr:nvCxnSpPr>
          <xdr:spPr>
            <a:xfrm flipH="1">
              <a:off x="4754956" y="1333500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Straight Connector 95">
              <a:extLst>
                <a:ext uri="{FF2B5EF4-FFF2-40B4-BE49-F238E27FC236}">
                  <a16:creationId xmlns:a16="http://schemas.microsoft.com/office/drawing/2014/main" id="{167B8BC7-6815-04BB-E770-71B738E04501}"/>
                </a:ext>
              </a:extLst>
            </xdr:cNvPr>
            <xdr:cNvCxnSpPr/>
          </xdr:nvCxnSpPr>
          <xdr:spPr>
            <a:xfrm flipH="1">
              <a:off x="4950219" y="1371601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Straight Connector 165">
              <a:extLst>
                <a:ext uri="{FF2B5EF4-FFF2-40B4-BE49-F238E27FC236}">
                  <a16:creationId xmlns:a16="http://schemas.microsoft.com/office/drawing/2014/main" id="{95C579C1-C26F-1116-8E24-1A63B1C32AC6}"/>
                </a:ext>
              </a:extLst>
            </xdr:cNvPr>
            <xdr:cNvCxnSpPr/>
          </xdr:nvCxnSpPr>
          <xdr:spPr>
            <a:xfrm flipH="1">
              <a:off x="5350268" y="1443038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Straight Connector 203">
              <a:extLst>
                <a:ext uri="{FF2B5EF4-FFF2-40B4-BE49-F238E27FC236}">
                  <a16:creationId xmlns:a16="http://schemas.microsoft.com/office/drawing/2014/main" id="{C13DA4F2-B003-34D4-C867-A1C8FE4766CF}"/>
                </a:ext>
              </a:extLst>
            </xdr:cNvPr>
            <xdr:cNvCxnSpPr/>
          </xdr:nvCxnSpPr>
          <xdr:spPr>
            <a:xfrm flipH="1">
              <a:off x="5145480" y="1400175"/>
              <a:ext cx="38389" cy="197497"/>
            </a:xfrm>
            <a:prstGeom prst="line">
              <a:avLst/>
            </a:prstGeom>
            <a:ln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11840" name="Group 2211839">
            <a:extLst>
              <a:ext uri="{FF2B5EF4-FFF2-40B4-BE49-F238E27FC236}">
                <a16:creationId xmlns:a16="http://schemas.microsoft.com/office/drawing/2014/main" id="{6B66B9E6-C7F4-6503-7A16-4CBA2B3EC0DF}"/>
              </a:ext>
            </a:extLst>
          </xdr:cNvPr>
          <xdr:cNvGrpSpPr/>
        </xdr:nvGrpSpPr>
        <xdr:grpSpPr>
          <a:xfrm>
            <a:off x="5567359" y="2266950"/>
            <a:ext cx="266699" cy="1428750"/>
            <a:chOff x="5405434" y="1714500"/>
            <a:chExt cx="266699" cy="1428750"/>
          </a:xfrm>
        </xdr:grpSpPr>
        <xdr:cxnSp macro="">
          <xdr:nvCxnSpPr>
            <xdr:cNvPr id="2211870" name="Straight Connector 2211869">
              <a:extLst>
                <a:ext uri="{FF2B5EF4-FFF2-40B4-BE49-F238E27FC236}">
                  <a16:creationId xmlns:a16="http://schemas.microsoft.com/office/drawing/2014/main" id="{A73E9115-B34E-427C-DB7A-2CF637E9FF9C}"/>
                </a:ext>
              </a:extLst>
            </xdr:cNvPr>
            <xdr:cNvCxnSpPr/>
          </xdr:nvCxnSpPr>
          <xdr:spPr>
            <a:xfrm>
              <a:off x="5624507" y="1714500"/>
              <a:ext cx="0" cy="14239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1" name="Straight Arrow Connector 2211870">
              <a:extLst>
                <a:ext uri="{FF2B5EF4-FFF2-40B4-BE49-F238E27FC236}">
                  <a16:creationId xmlns:a16="http://schemas.microsoft.com/office/drawing/2014/main" id="{F0B9C58A-D9CB-3E7B-AD9E-B148C8A97763}"/>
                </a:ext>
              </a:extLst>
            </xdr:cNvPr>
            <xdr:cNvCxnSpPr/>
          </xdr:nvCxnSpPr>
          <xdr:spPr>
            <a:xfrm>
              <a:off x="5410200" y="1714500"/>
              <a:ext cx="22383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2" name="Straight Arrow Connector 2211871">
              <a:extLst>
                <a:ext uri="{FF2B5EF4-FFF2-40B4-BE49-F238E27FC236}">
                  <a16:creationId xmlns:a16="http://schemas.microsoft.com/office/drawing/2014/main" id="{60417865-C737-4373-09FB-F5F216E15561}"/>
                </a:ext>
              </a:extLst>
            </xdr:cNvPr>
            <xdr:cNvCxnSpPr/>
          </xdr:nvCxnSpPr>
          <xdr:spPr>
            <a:xfrm>
              <a:off x="5410195" y="18573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3" name="Straight Arrow Connector 2211872">
              <a:extLst>
                <a:ext uri="{FF2B5EF4-FFF2-40B4-BE49-F238E27FC236}">
                  <a16:creationId xmlns:a16="http://schemas.microsoft.com/office/drawing/2014/main" id="{32DA7BB2-9F15-9B6A-18E2-E8931EBCFDAA}"/>
                </a:ext>
              </a:extLst>
            </xdr:cNvPr>
            <xdr:cNvCxnSpPr/>
          </xdr:nvCxnSpPr>
          <xdr:spPr>
            <a:xfrm>
              <a:off x="5410196" y="20002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4" name="Straight Arrow Connector 2211873">
              <a:extLst>
                <a:ext uri="{FF2B5EF4-FFF2-40B4-BE49-F238E27FC236}">
                  <a16:creationId xmlns:a16="http://schemas.microsoft.com/office/drawing/2014/main" id="{E93E36B4-2544-44A0-8A7C-3F3DFE37AEF3}"/>
                </a:ext>
              </a:extLst>
            </xdr:cNvPr>
            <xdr:cNvCxnSpPr/>
          </xdr:nvCxnSpPr>
          <xdr:spPr>
            <a:xfrm>
              <a:off x="5410197" y="214312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5" name="Straight Arrow Connector 2211874">
              <a:extLst>
                <a:ext uri="{FF2B5EF4-FFF2-40B4-BE49-F238E27FC236}">
                  <a16:creationId xmlns:a16="http://schemas.microsoft.com/office/drawing/2014/main" id="{EEE28014-E5CA-FF00-8752-5787FFAB09DE}"/>
                </a:ext>
              </a:extLst>
            </xdr:cNvPr>
            <xdr:cNvCxnSpPr/>
          </xdr:nvCxnSpPr>
          <xdr:spPr>
            <a:xfrm>
              <a:off x="5410195" y="228600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6" name="Straight Arrow Connector 2211875">
              <a:extLst>
                <a:ext uri="{FF2B5EF4-FFF2-40B4-BE49-F238E27FC236}">
                  <a16:creationId xmlns:a16="http://schemas.microsoft.com/office/drawing/2014/main" id="{87206B34-EB18-FC24-A0BE-83737AA5193A}"/>
                </a:ext>
              </a:extLst>
            </xdr:cNvPr>
            <xdr:cNvCxnSpPr/>
          </xdr:nvCxnSpPr>
          <xdr:spPr>
            <a:xfrm>
              <a:off x="5414959" y="24288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7" name="Straight Arrow Connector 2211876">
              <a:extLst>
                <a:ext uri="{FF2B5EF4-FFF2-40B4-BE49-F238E27FC236}">
                  <a16:creationId xmlns:a16="http://schemas.microsoft.com/office/drawing/2014/main" id="{A8E5D10A-BDBC-4AB8-6E07-75AFE99B1F85}"/>
                </a:ext>
              </a:extLst>
            </xdr:cNvPr>
            <xdr:cNvCxnSpPr/>
          </xdr:nvCxnSpPr>
          <xdr:spPr>
            <a:xfrm>
              <a:off x="5405434" y="25717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8" name="Straight Arrow Connector 2211877">
              <a:extLst>
                <a:ext uri="{FF2B5EF4-FFF2-40B4-BE49-F238E27FC236}">
                  <a16:creationId xmlns:a16="http://schemas.microsoft.com/office/drawing/2014/main" id="{244FE784-B172-7E1B-D42A-27966EC21E2F}"/>
                </a:ext>
              </a:extLst>
            </xdr:cNvPr>
            <xdr:cNvCxnSpPr/>
          </xdr:nvCxnSpPr>
          <xdr:spPr>
            <a:xfrm>
              <a:off x="5410198" y="271462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79" name="Straight Arrow Connector 2211878">
              <a:extLst>
                <a:ext uri="{FF2B5EF4-FFF2-40B4-BE49-F238E27FC236}">
                  <a16:creationId xmlns:a16="http://schemas.microsoft.com/office/drawing/2014/main" id="{9DF40BEC-A91E-77A5-6294-C39C5D6C90AF}"/>
                </a:ext>
              </a:extLst>
            </xdr:cNvPr>
            <xdr:cNvCxnSpPr/>
          </xdr:nvCxnSpPr>
          <xdr:spPr>
            <a:xfrm>
              <a:off x="5410196" y="285750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0" name="Straight Arrow Connector 2211879">
              <a:extLst>
                <a:ext uri="{FF2B5EF4-FFF2-40B4-BE49-F238E27FC236}">
                  <a16:creationId xmlns:a16="http://schemas.microsoft.com/office/drawing/2014/main" id="{371B11AC-4C16-2BF8-FEF1-E020C058F936}"/>
                </a:ext>
              </a:extLst>
            </xdr:cNvPr>
            <xdr:cNvCxnSpPr/>
          </xdr:nvCxnSpPr>
          <xdr:spPr>
            <a:xfrm>
              <a:off x="5405434" y="3000375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1" name="Straight Arrow Connector 2211880">
              <a:extLst>
                <a:ext uri="{FF2B5EF4-FFF2-40B4-BE49-F238E27FC236}">
                  <a16:creationId xmlns:a16="http://schemas.microsoft.com/office/drawing/2014/main" id="{3F8E014E-E406-98FC-8151-C178805ECF5F}"/>
                </a:ext>
              </a:extLst>
            </xdr:cNvPr>
            <xdr:cNvCxnSpPr/>
          </xdr:nvCxnSpPr>
          <xdr:spPr>
            <a:xfrm>
              <a:off x="5405435" y="3143250"/>
              <a:ext cx="214312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2" name="Straight Connector 2211881">
              <a:extLst>
                <a:ext uri="{FF2B5EF4-FFF2-40B4-BE49-F238E27FC236}">
                  <a16:creationId xmlns:a16="http://schemas.microsoft.com/office/drawing/2014/main" id="{425196B9-4EF7-9CA9-39EE-80DCC6387224}"/>
                </a:ext>
              </a:extLst>
            </xdr:cNvPr>
            <xdr:cNvCxnSpPr/>
          </xdr:nvCxnSpPr>
          <xdr:spPr>
            <a:xfrm>
              <a:off x="5410194" y="1714500"/>
              <a:ext cx="0" cy="14239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1883" name="Straight Connector 2211882">
              <a:extLst>
                <a:ext uri="{FF2B5EF4-FFF2-40B4-BE49-F238E27FC236}">
                  <a16:creationId xmlns:a16="http://schemas.microsoft.com/office/drawing/2014/main" id="{2A5A3BBC-00E8-A4C3-0347-9077C9162133}"/>
                </a:ext>
              </a:extLst>
            </xdr:cNvPr>
            <xdr:cNvCxnSpPr/>
          </xdr:nvCxnSpPr>
          <xdr:spPr>
            <a:xfrm flipH="1" flipV="1">
              <a:off x="5500683" y="2286000"/>
              <a:ext cx="171450" cy="10953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11841" name="Straight Connector 2211840">
            <a:extLst>
              <a:ext uri="{FF2B5EF4-FFF2-40B4-BE49-F238E27FC236}">
                <a16:creationId xmlns:a16="http://schemas.microsoft.com/office/drawing/2014/main" id="{60860EA8-540A-44AA-16A0-AA74BB97BEC2}"/>
              </a:ext>
            </a:extLst>
          </xdr:cNvPr>
          <xdr:cNvCxnSpPr/>
        </xdr:nvCxnSpPr>
        <xdr:spPr>
          <a:xfrm flipV="1">
            <a:off x="995363" y="2209200"/>
            <a:ext cx="2386012" cy="46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2" name="Straight Connector 2211841">
            <a:extLst>
              <a:ext uri="{FF2B5EF4-FFF2-40B4-BE49-F238E27FC236}">
                <a16:creationId xmlns:a16="http://schemas.microsoft.com/office/drawing/2014/main" id="{CDAAE1C1-374B-E484-ED17-756E9B07BDBE}"/>
              </a:ext>
            </a:extLst>
          </xdr:cNvPr>
          <xdr:cNvCxnSpPr/>
        </xdr:nvCxnSpPr>
        <xdr:spPr>
          <a:xfrm flipH="1" flipV="1">
            <a:off x="990600" y="2295528"/>
            <a:ext cx="85169" cy="4381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3" name="Straight Connector 2211842">
            <a:extLst>
              <a:ext uri="{FF2B5EF4-FFF2-40B4-BE49-F238E27FC236}">
                <a16:creationId xmlns:a16="http://schemas.microsoft.com/office/drawing/2014/main" id="{A3891B4D-DFB2-323B-EFB6-14BEE88342C4}"/>
              </a:ext>
            </a:extLst>
          </xdr:cNvPr>
          <xdr:cNvCxnSpPr/>
        </xdr:nvCxnSpPr>
        <xdr:spPr>
          <a:xfrm flipH="1">
            <a:off x="1028700" y="2609850"/>
            <a:ext cx="61913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4" name="Straight Connector 2211843">
            <a:extLst>
              <a:ext uri="{FF2B5EF4-FFF2-40B4-BE49-F238E27FC236}">
                <a16:creationId xmlns:a16="http://schemas.microsoft.com/office/drawing/2014/main" id="{CBE19293-FDC8-EF71-07AD-C789D7B9AB5F}"/>
              </a:ext>
            </a:extLst>
          </xdr:cNvPr>
          <xdr:cNvCxnSpPr/>
        </xdr:nvCxnSpPr>
        <xdr:spPr>
          <a:xfrm flipH="1" flipV="1">
            <a:off x="3243263" y="1857379"/>
            <a:ext cx="85169" cy="4381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5" name="Straight Connector 2211844">
            <a:extLst>
              <a:ext uri="{FF2B5EF4-FFF2-40B4-BE49-F238E27FC236}">
                <a16:creationId xmlns:a16="http://schemas.microsoft.com/office/drawing/2014/main" id="{8501EAC1-99EE-CE38-B48A-2B27A3C5D53C}"/>
              </a:ext>
            </a:extLst>
          </xdr:cNvPr>
          <xdr:cNvCxnSpPr/>
        </xdr:nvCxnSpPr>
        <xdr:spPr>
          <a:xfrm flipH="1">
            <a:off x="3281363" y="2171701"/>
            <a:ext cx="61913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6" name="Straight Connector 2211845">
            <a:extLst>
              <a:ext uri="{FF2B5EF4-FFF2-40B4-BE49-F238E27FC236}">
                <a16:creationId xmlns:a16="http://schemas.microsoft.com/office/drawing/2014/main" id="{D64DF4D9-872A-775E-D932-1EA94CBDA75B}"/>
              </a:ext>
            </a:extLst>
          </xdr:cNvPr>
          <xdr:cNvCxnSpPr/>
        </xdr:nvCxnSpPr>
        <xdr:spPr>
          <a:xfrm>
            <a:off x="3105150" y="2110108"/>
            <a:ext cx="2376488" cy="4593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7" name="Straight Connector 2211846">
            <a:extLst>
              <a:ext uri="{FF2B5EF4-FFF2-40B4-BE49-F238E27FC236}">
                <a16:creationId xmlns:a16="http://schemas.microsoft.com/office/drawing/2014/main" id="{D90EDEAB-4EE1-5229-D86D-9ED8E9572A8B}"/>
              </a:ext>
            </a:extLst>
          </xdr:cNvPr>
          <xdr:cNvCxnSpPr/>
        </xdr:nvCxnSpPr>
        <xdr:spPr>
          <a:xfrm flipH="1">
            <a:off x="3166448" y="1852612"/>
            <a:ext cx="67579" cy="3476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8" name="Straight Connector 2211847">
            <a:extLst>
              <a:ext uri="{FF2B5EF4-FFF2-40B4-BE49-F238E27FC236}">
                <a16:creationId xmlns:a16="http://schemas.microsoft.com/office/drawing/2014/main" id="{62E60C3E-5E0E-5721-D326-C2C9A25C4EFC}"/>
              </a:ext>
            </a:extLst>
          </xdr:cNvPr>
          <xdr:cNvCxnSpPr/>
        </xdr:nvCxnSpPr>
        <xdr:spPr>
          <a:xfrm>
            <a:off x="3157537" y="2076450"/>
            <a:ext cx="476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49" name="Straight Connector 2211848">
            <a:extLst>
              <a:ext uri="{FF2B5EF4-FFF2-40B4-BE49-F238E27FC236}">
                <a16:creationId xmlns:a16="http://schemas.microsoft.com/office/drawing/2014/main" id="{498666C3-9F46-B757-B328-134DC00B583D}"/>
              </a:ext>
            </a:extLst>
          </xdr:cNvPr>
          <xdr:cNvCxnSpPr/>
        </xdr:nvCxnSpPr>
        <xdr:spPr>
          <a:xfrm flipH="1">
            <a:off x="5423874" y="2295525"/>
            <a:ext cx="67579" cy="3476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0" name="Straight Connector 2211849">
            <a:extLst>
              <a:ext uri="{FF2B5EF4-FFF2-40B4-BE49-F238E27FC236}">
                <a16:creationId xmlns:a16="http://schemas.microsoft.com/office/drawing/2014/main" id="{33340EE5-E527-D03B-C9D7-A8E5049FA52A}"/>
              </a:ext>
            </a:extLst>
          </xdr:cNvPr>
          <xdr:cNvCxnSpPr/>
        </xdr:nvCxnSpPr>
        <xdr:spPr>
          <a:xfrm>
            <a:off x="5414963" y="2519363"/>
            <a:ext cx="476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1" name="Straight Connector 2211850">
            <a:extLst>
              <a:ext uri="{FF2B5EF4-FFF2-40B4-BE49-F238E27FC236}">
                <a16:creationId xmlns:a16="http://schemas.microsoft.com/office/drawing/2014/main" id="{B206855E-029D-B2BE-E12F-56E78AB35CFF}"/>
              </a:ext>
            </a:extLst>
          </xdr:cNvPr>
          <xdr:cNvCxnSpPr/>
        </xdr:nvCxnSpPr>
        <xdr:spPr>
          <a:xfrm>
            <a:off x="5853113" y="2266950"/>
            <a:ext cx="542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2" name="Straight Connector 2211851">
            <a:extLst>
              <a:ext uri="{FF2B5EF4-FFF2-40B4-BE49-F238E27FC236}">
                <a16:creationId xmlns:a16="http://schemas.microsoft.com/office/drawing/2014/main" id="{484341B4-042D-5F68-1738-4E6C2EBD061E}"/>
              </a:ext>
            </a:extLst>
          </xdr:cNvPr>
          <xdr:cNvCxnSpPr/>
        </xdr:nvCxnSpPr>
        <xdr:spPr>
          <a:xfrm>
            <a:off x="6315076" y="1738313"/>
            <a:ext cx="0" cy="2043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3" name="Straight Connector 2211852">
            <a:extLst>
              <a:ext uri="{FF2B5EF4-FFF2-40B4-BE49-F238E27FC236}">
                <a16:creationId xmlns:a16="http://schemas.microsoft.com/office/drawing/2014/main" id="{9940375F-E9CA-CD29-8A2F-B3C61F46170E}"/>
              </a:ext>
            </a:extLst>
          </xdr:cNvPr>
          <xdr:cNvCxnSpPr/>
        </xdr:nvCxnSpPr>
        <xdr:spPr>
          <a:xfrm>
            <a:off x="5929313" y="3695700"/>
            <a:ext cx="466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4" name="Straight Connector 2211853">
            <a:extLst>
              <a:ext uri="{FF2B5EF4-FFF2-40B4-BE49-F238E27FC236}">
                <a16:creationId xmlns:a16="http://schemas.microsoft.com/office/drawing/2014/main" id="{F01B50F6-9541-2CA8-4AF9-4078ABAB7480}"/>
              </a:ext>
            </a:extLst>
          </xdr:cNvPr>
          <xdr:cNvCxnSpPr/>
        </xdr:nvCxnSpPr>
        <xdr:spPr>
          <a:xfrm>
            <a:off x="3371850" y="1809750"/>
            <a:ext cx="3009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5" name="Straight Connector 2211854">
            <a:extLst>
              <a:ext uri="{FF2B5EF4-FFF2-40B4-BE49-F238E27FC236}">
                <a16:creationId xmlns:a16="http://schemas.microsoft.com/office/drawing/2014/main" id="{4567FBAE-AFDD-2F37-D0E7-1672A4DB14FC}"/>
              </a:ext>
            </a:extLst>
          </xdr:cNvPr>
          <xdr:cNvCxnSpPr/>
        </xdr:nvCxnSpPr>
        <xdr:spPr>
          <a:xfrm flipH="1">
            <a:off x="6267450" y="17668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6" name="Straight Connector 2211855">
            <a:extLst>
              <a:ext uri="{FF2B5EF4-FFF2-40B4-BE49-F238E27FC236}">
                <a16:creationId xmlns:a16="http://schemas.microsoft.com/office/drawing/2014/main" id="{1F2F4D40-1A24-3F0F-CB19-8D6997FA9AFF}"/>
              </a:ext>
            </a:extLst>
          </xdr:cNvPr>
          <xdr:cNvCxnSpPr/>
        </xdr:nvCxnSpPr>
        <xdr:spPr>
          <a:xfrm flipH="1">
            <a:off x="6267451" y="222408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7" name="Straight Connector 2211856">
            <a:extLst>
              <a:ext uri="{FF2B5EF4-FFF2-40B4-BE49-F238E27FC236}">
                <a16:creationId xmlns:a16="http://schemas.microsoft.com/office/drawing/2014/main" id="{F5A7E61F-F113-644B-4C43-0E20ED31C37B}"/>
              </a:ext>
            </a:extLst>
          </xdr:cNvPr>
          <xdr:cNvCxnSpPr/>
        </xdr:nvCxnSpPr>
        <xdr:spPr>
          <a:xfrm flipH="1">
            <a:off x="6267450" y="36528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8" name="Straight Connector 2211857">
            <a:extLst>
              <a:ext uri="{FF2B5EF4-FFF2-40B4-BE49-F238E27FC236}">
                <a16:creationId xmlns:a16="http://schemas.microsoft.com/office/drawing/2014/main" id="{7F6DD35A-37F5-D9BD-D77D-7B2255657323}"/>
              </a:ext>
            </a:extLst>
          </xdr:cNvPr>
          <xdr:cNvCxnSpPr/>
        </xdr:nvCxnSpPr>
        <xdr:spPr>
          <a:xfrm flipV="1">
            <a:off x="971550" y="3848100"/>
            <a:ext cx="0" cy="504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59" name="Straight Connector 2211858">
            <a:extLst>
              <a:ext uri="{FF2B5EF4-FFF2-40B4-BE49-F238E27FC236}">
                <a16:creationId xmlns:a16="http://schemas.microsoft.com/office/drawing/2014/main" id="{D854F0CF-388D-BD49-A64C-0AF164BB7CA8}"/>
              </a:ext>
            </a:extLst>
          </xdr:cNvPr>
          <xdr:cNvCxnSpPr/>
        </xdr:nvCxnSpPr>
        <xdr:spPr>
          <a:xfrm>
            <a:off x="895350" y="4267200"/>
            <a:ext cx="467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0" name="Straight Connector 2211859">
            <a:extLst>
              <a:ext uri="{FF2B5EF4-FFF2-40B4-BE49-F238E27FC236}">
                <a16:creationId xmlns:a16="http://schemas.microsoft.com/office/drawing/2014/main" id="{EEA91FBE-1082-35FD-4C96-E50E594E8875}"/>
              </a:ext>
            </a:extLst>
          </xdr:cNvPr>
          <xdr:cNvCxnSpPr/>
        </xdr:nvCxnSpPr>
        <xdr:spPr>
          <a:xfrm flipH="1">
            <a:off x="923925" y="4229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1" name="Straight Connector 2211860">
            <a:extLst>
              <a:ext uri="{FF2B5EF4-FFF2-40B4-BE49-F238E27FC236}">
                <a16:creationId xmlns:a16="http://schemas.microsoft.com/office/drawing/2014/main" id="{3CE07F8D-889D-996E-9F74-BDA94B5DE548}"/>
              </a:ext>
            </a:extLst>
          </xdr:cNvPr>
          <xdr:cNvCxnSpPr/>
        </xdr:nvCxnSpPr>
        <xdr:spPr>
          <a:xfrm flipV="1">
            <a:off x="3238500" y="2400300"/>
            <a:ext cx="0" cy="166687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2" name="Straight Connector 2211861">
            <a:extLst>
              <a:ext uri="{FF2B5EF4-FFF2-40B4-BE49-F238E27FC236}">
                <a16:creationId xmlns:a16="http://schemas.microsoft.com/office/drawing/2014/main" id="{738F491F-6B54-F12C-F0C7-605985C70BEE}"/>
              </a:ext>
            </a:extLst>
          </xdr:cNvPr>
          <xdr:cNvCxnSpPr/>
        </xdr:nvCxnSpPr>
        <xdr:spPr>
          <a:xfrm flipH="1">
            <a:off x="3190875" y="3943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3" name="Straight Connector 2211862">
            <a:extLst>
              <a:ext uri="{FF2B5EF4-FFF2-40B4-BE49-F238E27FC236}">
                <a16:creationId xmlns:a16="http://schemas.microsoft.com/office/drawing/2014/main" id="{30564283-BFBB-158D-92D1-A38A187905C0}"/>
              </a:ext>
            </a:extLst>
          </xdr:cNvPr>
          <xdr:cNvCxnSpPr/>
        </xdr:nvCxnSpPr>
        <xdr:spPr>
          <a:xfrm flipV="1">
            <a:off x="5505450" y="385762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4" name="Straight Connector 2211863">
            <a:extLst>
              <a:ext uri="{FF2B5EF4-FFF2-40B4-BE49-F238E27FC236}">
                <a16:creationId xmlns:a16="http://schemas.microsoft.com/office/drawing/2014/main" id="{9CEE089E-E491-8B59-C6A6-9EFB00A86C04}"/>
              </a:ext>
            </a:extLst>
          </xdr:cNvPr>
          <xdr:cNvCxnSpPr/>
        </xdr:nvCxnSpPr>
        <xdr:spPr>
          <a:xfrm flipH="1">
            <a:off x="5457825" y="4229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5" name="Straight Connector 2211864">
            <a:extLst>
              <a:ext uri="{FF2B5EF4-FFF2-40B4-BE49-F238E27FC236}">
                <a16:creationId xmlns:a16="http://schemas.microsoft.com/office/drawing/2014/main" id="{5F54EE14-103E-19A3-764B-7B83A6F4AB01}"/>
              </a:ext>
            </a:extLst>
          </xdr:cNvPr>
          <xdr:cNvCxnSpPr/>
        </xdr:nvCxnSpPr>
        <xdr:spPr>
          <a:xfrm>
            <a:off x="985838" y="2262188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1866" name="Arc 2211865">
            <a:extLst>
              <a:ext uri="{FF2B5EF4-FFF2-40B4-BE49-F238E27FC236}">
                <a16:creationId xmlns:a16="http://schemas.microsoft.com/office/drawing/2014/main" id="{E6895045-FA77-1D36-12B3-1F8BDB6AB9E4}"/>
              </a:ext>
            </a:extLst>
          </xdr:cNvPr>
          <xdr:cNvSpPr/>
        </xdr:nvSpPr>
        <xdr:spPr>
          <a:xfrm rot="2249500">
            <a:off x="1304692" y="2166707"/>
            <a:ext cx="124288" cy="124288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11867" name="Straight Connector 2211866">
            <a:extLst>
              <a:ext uri="{FF2B5EF4-FFF2-40B4-BE49-F238E27FC236}">
                <a16:creationId xmlns:a16="http://schemas.microsoft.com/office/drawing/2014/main" id="{E3B89474-DDD1-10DC-EC0A-8E7F87888F14}"/>
              </a:ext>
            </a:extLst>
          </xdr:cNvPr>
          <xdr:cNvCxnSpPr/>
        </xdr:nvCxnSpPr>
        <xdr:spPr>
          <a:xfrm>
            <a:off x="895350" y="3981450"/>
            <a:ext cx="467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8" name="Straight Connector 2211867">
            <a:extLst>
              <a:ext uri="{FF2B5EF4-FFF2-40B4-BE49-F238E27FC236}">
                <a16:creationId xmlns:a16="http://schemas.microsoft.com/office/drawing/2014/main" id="{717550BD-3211-04D7-6E67-8CC74F9D604C}"/>
              </a:ext>
            </a:extLst>
          </xdr:cNvPr>
          <xdr:cNvCxnSpPr/>
        </xdr:nvCxnSpPr>
        <xdr:spPr>
          <a:xfrm flipH="1">
            <a:off x="923925" y="3943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869" name="Straight Connector 2211868">
            <a:extLst>
              <a:ext uri="{FF2B5EF4-FFF2-40B4-BE49-F238E27FC236}">
                <a16:creationId xmlns:a16="http://schemas.microsoft.com/office/drawing/2014/main" id="{A7EE5431-2F55-1C84-17E4-86FF36ECA11F}"/>
              </a:ext>
            </a:extLst>
          </xdr:cNvPr>
          <xdr:cNvCxnSpPr/>
        </xdr:nvCxnSpPr>
        <xdr:spPr>
          <a:xfrm flipH="1">
            <a:off x="5457825" y="3943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95D2F899-2EE8-D9BC-D652-3AB85E391B8D}"/>
              </a:ext>
            </a:extLst>
          </xdr:cNvPr>
          <xdr:cNvCxnSpPr/>
        </xdr:nvCxnSpPr>
        <xdr:spPr>
          <a:xfrm flipV="1">
            <a:off x="1719263" y="1700213"/>
            <a:ext cx="95250" cy="2619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AF87410B-036A-1F49-D0E9-B7EDB27944B6}"/>
              </a:ext>
            </a:extLst>
          </xdr:cNvPr>
          <xdr:cNvCxnSpPr/>
        </xdr:nvCxnSpPr>
        <xdr:spPr>
          <a:xfrm flipH="1" flipV="1">
            <a:off x="4576763" y="1695450"/>
            <a:ext cx="157162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123825</xdr:rowOff>
    </xdr:from>
    <xdr:to>
      <xdr:col>35</xdr:col>
      <xdr:colOff>9525</xdr:colOff>
      <xdr:row>23</xdr:row>
      <xdr:rowOff>133350</xdr:rowOff>
    </xdr:to>
    <xdr:grpSp>
      <xdr:nvGrpSpPr>
        <xdr:cNvPr id="2213017" name="Group 1">
          <a:extLst>
            <a:ext uri="{FF2B5EF4-FFF2-40B4-BE49-F238E27FC236}">
              <a16:creationId xmlns:a16="http://schemas.microsoft.com/office/drawing/2014/main" id="{EE73B2D4-D2A1-40E0-53A3-B7EA885AA351}"/>
            </a:ext>
          </a:extLst>
        </xdr:cNvPr>
        <xdr:cNvGrpSpPr>
          <a:grpSpLocks/>
        </xdr:cNvGrpSpPr>
      </xdr:nvGrpSpPr>
      <xdr:grpSpPr bwMode="auto">
        <a:xfrm>
          <a:off x="793750" y="1467908"/>
          <a:ext cx="4772025" cy="2083859"/>
          <a:chOff x="647700" y="1266825"/>
          <a:chExt cx="4872037" cy="2009774"/>
        </a:xfrm>
      </xdr:grpSpPr>
      <xdr:sp macro="" textlink="">
        <xdr:nvSpPr>
          <xdr:cNvPr id="3" name="Freeform: Shape 2">
            <a:extLst>
              <a:ext uri="{FF2B5EF4-FFF2-40B4-BE49-F238E27FC236}">
                <a16:creationId xmlns:a16="http://schemas.microsoft.com/office/drawing/2014/main" id="{FA2641C0-9155-98D0-1BDD-DB27C06E1EA6}"/>
              </a:ext>
            </a:extLst>
          </xdr:cNvPr>
          <xdr:cNvSpPr/>
        </xdr:nvSpPr>
        <xdr:spPr>
          <a:xfrm>
            <a:off x="809783" y="1266825"/>
            <a:ext cx="4528802" cy="1876424"/>
          </a:xfrm>
          <a:custGeom>
            <a:avLst/>
            <a:gdLst>
              <a:gd name="connsiteX0" fmla="*/ 0 w 4533900"/>
              <a:gd name="connsiteY0" fmla="*/ 1876425 h 1876425"/>
              <a:gd name="connsiteX1" fmla="*/ 0 w 4533900"/>
              <a:gd name="connsiteY1" fmla="*/ 438150 h 1876425"/>
              <a:gd name="connsiteX2" fmla="*/ 2266950 w 4533900"/>
              <a:gd name="connsiteY2" fmla="*/ 0 h 1876425"/>
              <a:gd name="connsiteX3" fmla="*/ 4533900 w 4533900"/>
              <a:gd name="connsiteY3" fmla="*/ 438150 h 1876425"/>
              <a:gd name="connsiteX4" fmla="*/ 4533900 w 4533900"/>
              <a:gd name="connsiteY4" fmla="*/ 1876425 h 1876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33900" h="1876425">
                <a:moveTo>
                  <a:pt x="0" y="1876425"/>
                </a:moveTo>
                <a:lnTo>
                  <a:pt x="0" y="438150"/>
                </a:lnTo>
                <a:lnTo>
                  <a:pt x="2266950" y="0"/>
                </a:lnTo>
                <a:lnTo>
                  <a:pt x="4533900" y="438150"/>
                </a:lnTo>
                <a:lnTo>
                  <a:pt x="4533900" y="1876425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38A50EE-B2A7-483D-0F8F-45D70A87C318}"/>
              </a:ext>
            </a:extLst>
          </xdr:cNvPr>
          <xdr:cNvSpPr/>
        </xdr:nvSpPr>
        <xdr:spPr>
          <a:xfrm>
            <a:off x="657234" y="3162299"/>
            <a:ext cx="333701" cy="1143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5A83BB4E-B8E7-59DA-B0E3-D39372DD973D}"/>
              </a:ext>
            </a:extLst>
          </xdr:cNvPr>
          <xdr:cNvCxnSpPr/>
        </xdr:nvCxnSpPr>
        <xdr:spPr>
          <a:xfrm>
            <a:off x="647700" y="3152774"/>
            <a:ext cx="34323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0A730C2-9DEC-1FA0-E444-685D164D8894}"/>
              </a:ext>
            </a:extLst>
          </xdr:cNvPr>
          <xdr:cNvSpPr/>
        </xdr:nvSpPr>
        <xdr:spPr>
          <a:xfrm>
            <a:off x="5186036" y="3162299"/>
            <a:ext cx="333701" cy="1143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F78156B9-014D-44C7-B75F-E33A1BC84B32}"/>
              </a:ext>
            </a:extLst>
          </xdr:cNvPr>
          <xdr:cNvCxnSpPr/>
        </xdr:nvCxnSpPr>
        <xdr:spPr>
          <a:xfrm>
            <a:off x="5176502" y="3152774"/>
            <a:ext cx="34323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23</xdr:row>
      <xdr:rowOff>0</xdr:rowOff>
    </xdr:to>
    <xdr:grpSp>
      <xdr:nvGrpSpPr>
        <xdr:cNvPr id="2213018" name="Group 7">
          <a:extLst>
            <a:ext uri="{FF2B5EF4-FFF2-40B4-BE49-F238E27FC236}">
              <a16:creationId xmlns:a16="http://schemas.microsoft.com/office/drawing/2014/main" id="{BC76E055-3CB1-DB4C-92CA-C331F152C496}"/>
            </a:ext>
          </a:extLst>
        </xdr:cNvPr>
        <xdr:cNvGrpSpPr>
          <a:grpSpLocks/>
        </xdr:cNvGrpSpPr>
      </xdr:nvGrpSpPr>
      <xdr:grpSpPr bwMode="auto">
        <a:xfrm>
          <a:off x="476250" y="1936750"/>
          <a:ext cx="327025" cy="1481667"/>
          <a:chOff x="319088" y="1714500"/>
          <a:chExt cx="338137" cy="1428750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F62EAFE-3D72-D12B-07DA-B6755A7EB2F8}"/>
              </a:ext>
            </a:extLst>
          </xdr:cNvPr>
          <xdr:cNvCxnSpPr/>
        </xdr:nvCxnSpPr>
        <xdr:spPr>
          <a:xfrm>
            <a:off x="647564" y="1714500"/>
            <a:ext cx="0" cy="1419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F77BAF8E-2852-6255-9CB5-6EF92E1FA0B7}"/>
              </a:ext>
            </a:extLst>
          </xdr:cNvPr>
          <xdr:cNvCxnSpPr/>
        </xdr:nvCxnSpPr>
        <xdr:spPr>
          <a:xfrm>
            <a:off x="435021" y="1714500"/>
            <a:ext cx="22220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7EF235D-58F3-E8E3-9CD5-02D9CC938B73}"/>
              </a:ext>
            </a:extLst>
          </xdr:cNvPr>
          <xdr:cNvCxnSpPr/>
        </xdr:nvCxnSpPr>
        <xdr:spPr>
          <a:xfrm>
            <a:off x="435021" y="1857375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D5AD1B83-D545-389D-09B5-5D93D67BA811}"/>
              </a:ext>
            </a:extLst>
          </xdr:cNvPr>
          <xdr:cNvCxnSpPr/>
        </xdr:nvCxnSpPr>
        <xdr:spPr>
          <a:xfrm>
            <a:off x="435021" y="2000250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40A1BB40-1E73-1388-2A8C-31C95803E31A}"/>
              </a:ext>
            </a:extLst>
          </xdr:cNvPr>
          <xdr:cNvCxnSpPr/>
        </xdr:nvCxnSpPr>
        <xdr:spPr>
          <a:xfrm>
            <a:off x="435021" y="2143125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EA2DDED4-7478-EF6A-6FB5-8FC2E01CB207}"/>
              </a:ext>
            </a:extLst>
          </xdr:cNvPr>
          <xdr:cNvCxnSpPr/>
        </xdr:nvCxnSpPr>
        <xdr:spPr>
          <a:xfrm>
            <a:off x="435021" y="2286000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D2254F04-F3E1-C416-A69C-4BD4C44E0A88}"/>
              </a:ext>
            </a:extLst>
          </xdr:cNvPr>
          <xdr:cNvCxnSpPr/>
        </xdr:nvCxnSpPr>
        <xdr:spPr>
          <a:xfrm>
            <a:off x="435021" y="2428875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F1AC9C36-F829-F802-CA8D-18DA342F6D0C}"/>
              </a:ext>
            </a:extLst>
          </xdr:cNvPr>
          <xdr:cNvCxnSpPr/>
        </xdr:nvCxnSpPr>
        <xdr:spPr>
          <a:xfrm>
            <a:off x="425360" y="2571750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C26462D6-2A1B-8E8B-5858-BFA63FACB3F4}"/>
              </a:ext>
            </a:extLst>
          </xdr:cNvPr>
          <xdr:cNvCxnSpPr/>
        </xdr:nvCxnSpPr>
        <xdr:spPr>
          <a:xfrm>
            <a:off x="435021" y="2714625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777A2114-D90A-58F0-1C1F-436B48967994}"/>
              </a:ext>
            </a:extLst>
          </xdr:cNvPr>
          <xdr:cNvCxnSpPr/>
        </xdr:nvCxnSpPr>
        <xdr:spPr>
          <a:xfrm>
            <a:off x="435021" y="2857500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210C6A2D-6454-4AAD-4452-80AF6AB900D6}"/>
              </a:ext>
            </a:extLst>
          </xdr:cNvPr>
          <xdr:cNvCxnSpPr/>
        </xdr:nvCxnSpPr>
        <xdr:spPr>
          <a:xfrm>
            <a:off x="425360" y="3000375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AAA9C4FB-4C25-4E03-F567-42F3133CFC45}"/>
              </a:ext>
            </a:extLst>
          </xdr:cNvPr>
          <xdr:cNvCxnSpPr/>
        </xdr:nvCxnSpPr>
        <xdr:spPr>
          <a:xfrm>
            <a:off x="425360" y="3143250"/>
            <a:ext cx="21254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6B8A6AD5-17ED-F9CE-2F77-568999356A6C}"/>
              </a:ext>
            </a:extLst>
          </xdr:cNvPr>
          <xdr:cNvCxnSpPr/>
        </xdr:nvCxnSpPr>
        <xdr:spPr>
          <a:xfrm>
            <a:off x="435021" y="1714500"/>
            <a:ext cx="0" cy="1419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5B706EBF-AFD3-074C-3546-423A6C196B7D}"/>
              </a:ext>
            </a:extLst>
          </xdr:cNvPr>
          <xdr:cNvCxnSpPr/>
        </xdr:nvCxnSpPr>
        <xdr:spPr>
          <a:xfrm flipH="1" flipV="1">
            <a:off x="319088" y="2466975"/>
            <a:ext cx="173899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114300</xdr:colOff>
      <xdr:row>8</xdr:row>
      <xdr:rowOff>19050</xdr:rowOff>
    </xdr:from>
    <xdr:to>
      <xdr:col>19</xdr:col>
      <xdr:colOff>152400</xdr:colOff>
      <xdr:row>12</xdr:row>
      <xdr:rowOff>66675</xdr:rowOff>
    </xdr:to>
    <xdr:grpSp>
      <xdr:nvGrpSpPr>
        <xdr:cNvPr id="2213019" name="Group 22">
          <a:extLst>
            <a:ext uri="{FF2B5EF4-FFF2-40B4-BE49-F238E27FC236}">
              <a16:creationId xmlns:a16="http://schemas.microsoft.com/office/drawing/2014/main" id="{19331C6B-3750-14C4-6819-C7FB1742EFBE}"/>
            </a:ext>
          </a:extLst>
        </xdr:cNvPr>
        <xdr:cNvGrpSpPr>
          <a:grpSpLocks/>
        </xdr:cNvGrpSpPr>
      </xdr:nvGrpSpPr>
      <xdr:grpSpPr bwMode="auto">
        <a:xfrm>
          <a:off x="908050" y="1214967"/>
          <a:ext cx="2260600" cy="640291"/>
          <a:chOff x="762000" y="1023938"/>
          <a:chExt cx="2300288" cy="619125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1C4FAD81-6359-B50D-7F00-0E3A0023D894}"/>
              </a:ext>
            </a:extLst>
          </xdr:cNvPr>
          <xdr:cNvCxnSpPr/>
        </xdr:nvCxnSpPr>
        <xdr:spPr>
          <a:xfrm flipV="1">
            <a:off x="790516" y="1204913"/>
            <a:ext cx="2271772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E89BD6C0-D054-849E-AC1A-086AC2694AD7}"/>
              </a:ext>
            </a:extLst>
          </xdr:cNvPr>
          <xdr:cNvCxnSpPr/>
        </xdr:nvCxnSpPr>
        <xdr:spPr>
          <a:xfrm flipH="1" flipV="1">
            <a:off x="762000" y="1462088"/>
            <a:ext cx="38021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655B7424-A519-8950-A2E0-0E9A49D2B386}"/>
              </a:ext>
            </a:extLst>
          </xdr:cNvPr>
          <xdr:cNvCxnSpPr/>
        </xdr:nvCxnSpPr>
        <xdr:spPr>
          <a:xfrm flipH="1" flipV="1">
            <a:off x="952106" y="1423988"/>
            <a:ext cx="38021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2BC0D4D3-DE61-030B-345C-E8CFA439C5C2}"/>
              </a:ext>
            </a:extLst>
          </xdr:cNvPr>
          <xdr:cNvCxnSpPr/>
        </xdr:nvCxnSpPr>
        <xdr:spPr>
          <a:xfrm flipH="1" flipV="1">
            <a:off x="1151718" y="1395413"/>
            <a:ext cx="28516" cy="1714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17D3FA16-6908-9EF7-BCDB-9314C1C04FA2}"/>
              </a:ext>
            </a:extLst>
          </xdr:cNvPr>
          <xdr:cNvCxnSpPr/>
        </xdr:nvCxnSpPr>
        <xdr:spPr>
          <a:xfrm flipH="1" flipV="1">
            <a:off x="1332319" y="1347788"/>
            <a:ext cx="38021" cy="19050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6404C516-8202-0D76-D81A-9A22B519B6D1}"/>
              </a:ext>
            </a:extLst>
          </xdr:cNvPr>
          <xdr:cNvCxnSpPr/>
        </xdr:nvCxnSpPr>
        <xdr:spPr>
          <a:xfrm flipH="1" flipV="1">
            <a:off x="1541436" y="1309688"/>
            <a:ext cx="28516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F43A0361-3D45-10D9-E410-A3910ADD04A1}"/>
              </a:ext>
            </a:extLst>
          </xdr:cNvPr>
          <xdr:cNvCxnSpPr/>
        </xdr:nvCxnSpPr>
        <xdr:spPr>
          <a:xfrm flipH="1" flipV="1">
            <a:off x="1722038" y="1271588"/>
            <a:ext cx="28516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61811916-1C0C-D431-F166-C9961B6B7E9D}"/>
              </a:ext>
            </a:extLst>
          </xdr:cNvPr>
          <xdr:cNvCxnSpPr/>
        </xdr:nvCxnSpPr>
        <xdr:spPr>
          <a:xfrm flipH="1" flipV="1">
            <a:off x="1921649" y="1243013"/>
            <a:ext cx="38021" cy="1714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5F865D52-BE01-A3F7-D53B-18566E7EFE21}"/>
              </a:ext>
            </a:extLst>
          </xdr:cNvPr>
          <xdr:cNvCxnSpPr/>
        </xdr:nvCxnSpPr>
        <xdr:spPr>
          <a:xfrm flipH="1" flipV="1">
            <a:off x="2111756" y="1195388"/>
            <a:ext cx="28516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1872C482-81C8-7D72-6FE3-51ECF31FFF03}"/>
              </a:ext>
            </a:extLst>
          </xdr:cNvPr>
          <xdr:cNvCxnSpPr/>
        </xdr:nvCxnSpPr>
        <xdr:spPr>
          <a:xfrm flipH="1" flipV="1">
            <a:off x="2444442" y="1138238"/>
            <a:ext cx="38021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B4FBA74C-F7C2-7CFD-E477-5D3D1510A4A6}"/>
              </a:ext>
            </a:extLst>
          </xdr:cNvPr>
          <xdr:cNvCxnSpPr/>
        </xdr:nvCxnSpPr>
        <xdr:spPr>
          <a:xfrm flipH="1" flipV="1">
            <a:off x="2634548" y="1100138"/>
            <a:ext cx="28516" cy="1714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D9E163EE-A60B-2ED3-CC7E-3FD17715D6E3}"/>
              </a:ext>
            </a:extLst>
          </xdr:cNvPr>
          <xdr:cNvCxnSpPr/>
        </xdr:nvCxnSpPr>
        <xdr:spPr>
          <a:xfrm flipH="1" flipV="1">
            <a:off x="2824655" y="1062038"/>
            <a:ext cx="47527" cy="19050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B72B8BA9-1C82-3816-E6FA-2B51072D507C}"/>
              </a:ext>
            </a:extLst>
          </xdr:cNvPr>
          <xdr:cNvCxnSpPr/>
        </xdr:nvCxnSpPr>
        <xdr:spPr>
          <a:xfrm flipH="1" flipV="1">
            <a:off x="3014761" y="1033463"/>
            <a:ext cx="38021" cy="1714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8312918E-5F63-7206-F6A7-2D480501A62E}"/>
              </a:ext>
            </a:extLst>
          </xdr:cNvPr>
          <xdr:cNvCxnSpPr/>
        </xdr:nvCxnSpPr>
        <xdr:spPr>
          <a:xfrm flipH="1" flipV="1">
            <a:off x="2263841" y="1176338"/>
            <a:ext cx="38021" cy="180975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62A3ACBC-C42B-31F5-FB04-E0D1EED3F8E4}"/>
              </a:ext>
            </a:extLst>
          </xdr:cNvPr>
          <xdr:cNvCxnSpPr/>
        </xdr:nvCxnSpPr>
        <xdr:spPr>
          <a:xfrm flipV="1">
            <a:off x="762000" y="1023938"/>
            <a:ext cx="2271772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19050</xdr:colOff>
      <xdr:row>8</xdr:row>
      <xdr:rowOff>9525</xdr:rowOff>
    </xdr:from>
    <xdr:to>
      <xdr:col>34</xdr:col>
      <xdr:colOff>57150</xdr:colOff>
      <xdr:row>12</xdr:row>
      <xdr:rowOff>66675</xdr:rowOff>
    </xdr:to>
    <xdr:grpSp>
      <xdr:nvGrpSpPr>
        <xdr:cNvPr id="2213020" name="Group 38">
          <a:extLst>
            <a:ext uri="{FF2B5EF4-FFF2-40B4-BE49-F238E27FC236}">
              <a16:creationId xmlns:a16="http://schemas.microsoft.com/office/drawing/2014/main" id="{B6938621-4F6E-5907-9F15-5947B5FF95A2}"/>
            </a:ext>
          </a:extLst>
        </xdr:cNvPr>
        <xdr:cNvGrpSpPr>
          <a:grpSpLocks/>
        </xdr:cNvGrpSpPr>
      </xdr:nvGrpSpPr>
      <xdr:grpSpPr bwMode="auto">
        <a:xfrm>
          <a:off x="3194050" y="1205442"/>
          <a:ext cx="2260600" cy="649816"/>
          <a:chOff x="3095627" y="1009650"/>
          <a:chExt cx="2300288" cy="633406"/>
        </a:xfrm>
      </xdr:grpSpPr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9DCE521B-3DD6-E017-D4F5-F4665F4A1980}"/>
              </a:ext>
            </a:extLst>
          </xdr:cNvPr>
          <xdr:cNvCxnSpPr/>
        </xdr:nvCxnSpPr>
        <xdr:spPr>
          <a:xfrm>
            <a:off x="3095627" y="1201591"/>
            <a:ext cx="2271772" cy="4414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CB770AE1-E057-8CA3-A29B-71369B3B2682}"/>
              </a:ext>
            </a:extLst>
          </xdr:cNvPr>
          <xdr:cNvCxnSpPr/>
        </xdr:nvCxnSpPr>
        <xdr:spPr>
          <a:xfrm flipH="1">
            <a:off x="3095627" y="1009650"/>
            <a:ext cx="38021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484D75C3-72AD-3F1C-5CB4-E194ED0571FF}"/>
              </a:ext>
            </a:extLst>
          </xdr:cNvPr>
          <xdr:cNvCxnSpPr/>
        </xdr:nvCxnSpPr>
        <xdr:spPr>
          <a:xfrm flipH="1">
            <a:off x="3276228" y="1048038"/>
            <a:ext cx="38021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510AFEF0-A99B-9FB8-12DE-89C18124CC24}"/>
              </a:ext>
            </a:extLst>
          </xdr:cNvPr>
          <xdr:cNvCxnSpPr/>
        </xdr:nvCxnSpPr>
        <xdr:spPr>
          <a:xfrm flipH="1">
            <a:off x="3456829" y="1076829"/>
            <a:ext cx="38021" cy="20153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E7BD23E3-CB50-0223-3E08-D0E32DEA06C3}"/>
              </a:ext>
            </a:extLst>
          </xdr:cNvPr>
          <xdr:cNvCxnSpPr/>
        </xdr:nvCxnSpPr>
        <xdr:spPr>
          <a:xfrm flipH="1">
            <a:off x="3627925" y="1115218"/>
            <a:ext cx="38021" cy="20153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0FFF627B-4F7B-87CD-9076-63B164AA66FC}"/>
              </a:ext>
            </a:extLst>
          </xdr:cNvPr>
          <xdr:cNvCxnSpPr/>
        </xdr:nvCxnSpPr>
        <xdr:spPr>
          <a:xfrm>
            <a:off x="3124143" y="1019247"/>
            <a:ext cx="2271772" cy="4318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83574EA7-E855-B44A-C1A7-0317241C6CEF}"/>
              </a:ext>
            </a:extLst>
          </xdr:cNvPr>
          <xdr:cNvCxnSpPr/>
        </xdr:nvCxnSpPr>
        <xdr:spPr>
          <a:xfrm flipH="1">
            <a:off x="3808526" y="1153606"/>
            <a:ext cx="38021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0E0E2893-E2FC-82D7-58BE-75E650EFB695}"/>
              </a:ext>
            </a:extLst>
          </xdr:cNvPr>
          <xdr:cNvCxnSpPr/>
        </xdr:nvCxnSpPr>
        <xdr:spPr>
          <a:xfrm flipH="1">
            <a:off x="3998633" y="1182397"/>
            <a:ext cx="38021" cy="211135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6FB7DFFB-C852-795B-7CD3-655D76FC0E42}"/>
              </a:ext>
            </a:extLst>
          </xdr:cNvPr>
          <xdr:cNvCxnSpPr/>
        </xdr:nvCxnSpPr>
        <xdr:spPr>
          <a:xfrm flipH="1">
            <a:off x="4188739" y="1230382"/>
            <a:ext cx="47527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53E65072-C437-1A8D-B2E0-ABC0C5AB2216}"/>
              </a:ext>
            </a:extLst>
          </xdr:cNvPr>
          <xdr:cNvCxnSpPr/>
        </xdr:nvCxnSpPr>
        <xdr:spPr>
          <a:xfrm flipH="1">
            <a:off x="4378846" y="1259174"/>
            <a:ext cx="38021" cy="20153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CA7E2888-5CE1-93B8-84FA-DC9E1C280534}"/>
              </a:ext>
            </a:extLst>
          </xdr:cNvPr>
          <xdr:cNvCxnSpPr/>
        </xdr:nvCxnSpPr>
        <xdr:spPr>
          <a:xfrm flipH="1">
            <a:off x="4559447" y="1297562"/>
            <a:ext cx="38021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B0C7D524-EE2C-EFA0-27C0-60A8421AA987}"/>
              </a:ext>
            </a:extLst>
          </xdr:cNvPr>
          <xdr:cNvCxnSpPr/>
        </xdr:nvCxnSpPr>
        <xdr:spPr>
          <a:xfrm flipH="1">
            <a:off x="4759058" y="1326353"/>
            <a:ext cx="28516" cy="211135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5116FF1A-843D-7B31-F2E6-2788F23CC580}"/>
              </a:ext>
            </a:extLst>
          </xdr:cNvPr>
          <xdr:cNvCxnSpPr/>
        </xdr:nvCxnSpPr>
        <xdr:spPr>
          <a:xfrm flipH="1">
            <a:off x="4949165" y="1374338"/>
            <a:ext cx="47527" cy="19194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C21056D7-DBEE-70AF-D439-4D6B1B2D1AED}"/>
              </a:ext>
            </a:extLst>
          </xdr:cNvPr>
          <xdr:cNvCxnSpPr/>
        </xdr:nvCxnSpPr>
        <xdr:spPr>
          <a:xfrm flipH="1">
            <a:off x="5348388" y="1441518"/>
            <a:ext cx="38021" cy="20153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22D6165F-6BDB-496C-856C-2EC4A9DE206F}"/>
              </a:ext>
            </a:extLst>
          </xdr:cNvPr>
          <xdr:cNvCxnSpPr/>
        </xdr:nvCxnSpPr>
        <xdr:spPr>
          <a:xfrm flipH="1">
            <a:off x="5148777" y="1393532"/>
            <a:ext cx="38021" cy="211135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57150</xdr:colOff>
      <xdr:row>13</xdr:row>
      <xdr:rowOff>0</xdr:rowOff>
    </xdr:from>
    <xdr:to>
      <xdr:col>36</xdr:col>
      <xdr:colOff>0</xdr:colOff>
      <xdr:row>23</xdr:row>
      <xdr:rowOff>0</xdr:rowOff>
    </xdr:to>
    <xdr:grpSp>
      <xdr:nvGrpSpPr>
        <xdr:cNvPr id="2213021" name="Group 54">
          <a:extLst>
            <a:ext uri="{FF2B5EF4-FFF2-40B4-BE49-F238E27FC236}">
              <a16:creationId xmlns:a16="http://schemas.microsoft.com/office/drawing/2014/main" id="{3B484DF1-E394-85A5-E167-EB1093926DBD}"/>
            </a:ext>
          </a:extLst>
        </xdr:cNvPr>
        <xdr:cNvGrpSpPr>
          <a:grpSpLocks/>
        </xdr:cNvGrpSpPr>
      </xdr:nvGrpSpPr>
      <xdr:grpSpPr bwMode="auto">
        <a:xfrm>
          <a:off x="5454650" y="1936750"/>
          <a:ext cx="260350" cy="1481667"/>
          <a:chOff x="5405434" y="1714500"/>
          <a:chExt cx="266699" cy="1428750"/>
        </a:xfrm>
      </xdr:grpSpPr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6CA7EDA-0532-9CCE-7D64-8B9E6A627A9B}"/>
              </a:ext>
            </a:extLst>
          </xdr:cNvPr>
          <xdr:cNvCxnSpPr/>
        </xdr:nvCxnSpPr>
        <xdr:spPr>
          <a:xfrm>
            <a:off x="5624508" y="1714500"/>
            <a:ext cx="0" cy="1419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513034BD-19ED-F31E-D7C9-4A0FDD4839A8}"/>
              </a:ext>
            </a:extLst>
          </xdr:cNvPr>
          <xdr:cNvCxnSpPr/>
        </xdr:nvCxnSpPr>
        <xdr:spPr>
          <a:xfrm>
            <a:off x="5414959" y="1714500"/>
            <a:ext cx="2190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014DEE8C-2F08-E7B0-B798-C70EA157AA39}"/>
              </a:ext>
            </a:extLst>
          </xdr:cNvPr>
          <xdr:cNvCxnSpPr/>
        </xdr:nvCxnSpPr>
        <xdr:spPr>
          <a:xfrm>
            <a:off x="5414959" y="1857375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3AFFC13A-7559-4CDA-4CB5-505F3FAA9A9F}"/>
              </a:ext>
            </a:extLst>
          </xdr:cNvPr>
          <xdr:cNvCxnSpPr/>
        </xdr:nvCxnSpPr>
        <xdr:spPr>
          <a:xfrm>
            <a:off x="5414959" y="2000250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AE4B40D7-1BD6-2068-7FE4-F3566067B174}"/>
              </a:ext>
            </a:extLst>
          </xdr:cNvPr>
          <xdr:cNvCxnSpPr/>
        </xdr:nvCxnSpPr>
        <xdr:spPr>
          <a:xfrm>
            <a:off x="5414959" y="2143125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56DB8AED-0B7E-84F6-81E3-E3FF1944151D}"/>
              </a:ext>
            </a:extLst>
          </xdr:cNvPr>
          <xdr:cNvCxnSpPr/>
        </xdr:nvCxnSpPr>
        <xdr:spPr>
          <a:xfrm>
            <a:off x="5414959" y="2286000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B18A87D4-7F64-B9FE-D5D4-04C7EB4BD7BF}"/>
              </a:ext>
            </a:extLst>
          </xdr:cNvPr>
          <xdr:cNvCxnSpPr/>
        </xdr:nvCxnSpPr>
        <xdr:spPr>
          <a:xfrm>
            <a:off x="5414959" y="2428875"/>
            <a:ext cx="2190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0FC14AB4-5867-175F-EB75-5C127117A4EB}"/>
              </a:ext>
            </a:extLst>
          </xdr:cNvPr>
          <xdr:cNvCxnSpPr/>
        </xdr:nvCxnSpPr>
        <xdr:spPr>
          <a:xfrm>
            <a:off x="5405434" y="2571750"/>
            <a:ext cx="2190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5BCB6023-9F0D-981B-5607-8BB4431E90AA}"/>
              </a:ext>
            </a:extLst>
          </xdr:cNvPr>
          <xdr:cNvCxnSpPr/>
        </xdr:nvCxnSpPr>
        <xdr:spPr>
          <a:xfrm>
            <a:off x="5414959" y="2714625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91BD0473-5136-879A-3546-61511D9F2520}"/>
              </a:ext>
            </a:extLst>
          </xdr:cNvPr>
          <xdr:cNvCxnSpPr/>
        </xdr:nvCxnSpPr>
        <xdr:spPr>
          <a:xfrm>
            <a:off x="5414959" y="2857500"/>
            <a:ext cx="2095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DEFE42F6-02CD-1F69-9DD2-C3FC9EAA4CDD}"/>
              </a:ext>
            </a:extLst>
          </xdr:cNvPr>
          <xdr:cNvCxnSpPr/>
        </xdr:nvCxnSpPr>
        <xdr:spPr>
          <a:xfrm>
            <a:off x="5405434" y="3000375"/>
            <a:ext cx="2190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0BDD04A8-3182-6E4F-6F1F-DC02B8232CEC}"/>
              </a:ext>
            </a:extLst>
          </xdr:cNvPr>
          <xdr:cNvCxnSpPr/>
        </xdr:nvCxnSpPr>
        <xdr:spPr>
          <a:xfrm>
            <a:off x="5405434" y="3143250"/>
            <a:ext cx="2190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EC68FD3A-3868-5125-739E-5B69ED25EF38}"/>
              </a:ext>
            </a:extLst>
          </xdr:cNvPr>
          <xdr:cNvCxnSpPr/>
        </xdr:nvCxnSpPr>
        <xdr:spPr>
          <a:xfrm>
            <a:off x="5414959" y="1714500"/>
            <a:ext cx="0" cy="1419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B33E7FAB-662D-16E7-574B-3D63F0A03536}"/>
              </a:ext>
            </a:extLst>
          </xdr:cNvPr>
          <xdr:cNvCxnSpPr/>
        </xdr:nvCxnSpPr>
        <xdr:spPr>
          <a:xfrm flipH="1" flipV="1">
            <a:off x="5500684" y="2286000"/>
            <a:ext cx="171449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33338</xdr:colOff>
      <xdr:row>12</xdr:row>
      <xdr:rowOff>87030</xdr:rowOff>
    </xdr:from>
    <xdr:to>
      <xdr:col>20</xdr:col>
      <xdr:colOff>144764</xdr:colOff>
      <xdr:row>15</xdr:row>
      <xdr:rowOff>119568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D54146AB-4851-C265-6B0E-554E8F38B3FD}"/>
            </a:ext>
          </a:extLst>
        </xdr:cNvPr>
        <xdr:cNvCxnSpPr/>
      </xdr:nvCxnSpPr>
      <xdr:spPr>
        <a:xfrm flipV="1">
          <a:off x="938213" y="1677705"/>
          <a:ext cx="2245026" cy="4211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</xdr:colOff>
      <xdr:row>13</xdr:row>
      <xdr:rowOff>30483</xdr:rowOff>
    </xdr:from>
    <xdr:to>
      <xdr:col>6</xdr:col>
      <xdr:colOff>107245</xdr:colOff>
      <xdr:row>16</xdr:row>
      <xdr:rowOff>38176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DF9067C5-A0D2-236D-89EA-842B787D56C3}"/>
            </a:ext>
          </a:extLst>
        </xdr:cNvPr>
        <xdr:cNvCxnSpPr/>
      </xdr:nvCxnSpPr>
      <xdr:spPr>
        <a:xfrm flipH="1" flipV="1">
          <a:off x="925830" y="1750698"/>
          <a:ext cx="85169" cy="4134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</xdr:colOff>
      <xdr:row>15</xdr:row>
      <xdr:rowOff>49530</xdr:rowOff>
    </xdr:from>
    <xdr:to>
      <xdr:col>6</xdr:col>
      <xdr:colOff>121762</xdr:colOff>
      <xdr:row>16</xdr:row>
      <xdr:rowOff>11430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3B36CB3-C8E8-1F46-24CB-06A365056B19}"/>
            </a:ext>
          </a:extLst>
        </xdr:cNvPr>
        <xdr:cNvCxnSpPr/>
      </xdr:nvCxnSpPr>
      <xdr:spPr>
        <a:xfrm flipH="1">
          <a:off x="963930" y="2038350"/>
          <a:ext cx="61913" cy="990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4763</xdr:colOff>
      <xdr:row>10</xdr:row>
      <xdr:rowOff>11434</xdr:rowOff>
    </xdr:from>
    <xdr:to>
      <xdr:col>20</xdr:col>
      <xdr:colOff>89932</xdr:colOff>
      <xdr:row>13</xdr:row>
      <xdr:rowOff>30693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F6E86AF2-8A3A-0145-08D1-236C4A96036C}"/>
            </a:ext>
          </a:extLst>
        </xdr:cNvPr>
        <xdr:cNvCxnSpPr/>
      </xdr:nvCxnSpPr>
      <xdr:spPr>
        <a:xfrm flipH="1" flipV="1">
          <a:off x="3052763" y="1352554"/>
          <a:ext cx="85169" cy="3981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42863</xdr:colOff>
      <xdr:row>12</xdr:row>
      <xdr:rowOff>47626</xdr:rowOff>
    </xdr:from>
    <xdr:to>
      <xdr:col>20</xdr:col>
      <xdr:colOff>107872</xdr:colOff>
      <xdr:row>13</xdr:row>
      <xdr:rowOff>9526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EFA12A7B-30E2-2962-1F0D-71ECA279F6A8}"/>
            </a:ext>
          </a:extLst>
        </xdr:cNvPr>
        <xdr:cNvCxnSpPr/>
      </xdr:nvCxnSpPr>
      <xdr:spPr>
        <a:xfrm flipH="1">
          <a:off x="3090863" y="1647826"/>
          <a:ext cx="54174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130813</xdr:rowOff>
    </xdr:from>
    <xdr:to>
      <xdr:col>33</xdr:col>
      <xdr:colOff>130509</xdr:colOff>
      <xdr:row>15</xdr:row>
      <xdr:rowOff>9065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BC0E16D6-7F5F-EAE3-B7C7-9972BEE8AB66}"/>
            </a:ext>
          </a:extLst>
        </xdr:cNvPr>
        <xdr:cNvCxnSpPr/>
      </xdr:nvCxnSpPr>
      <xdr:spPr>
        <a:xfrm>
          <a:off x="2924175" y="1591948"/>
          <a:ext cx="2235534" cy="4059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89873</xdr:colOff>
      <xdr:row>10</xdr:row>
      <xdr:rowOff>14287</xdr:rowOff>
    </xdr:from>
    <xdr:to>
      <xdr:col>19</xdr:col>
      <xdr:colOff>159825</xdr:colOff>
      <xdr:row>12</xdr:row>
      <xdr:rowOff>78455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5C87E0FD-1784-8366-93A0-F937A95443E8}"/>
            </a:ext>
          </a:extLst>
        </xdr:cNvPr>
        <xdr:cNvCxnSpPr/>
      </xdr:nvCxnSpPr>
      <xdr:spPr>
        <a:xfrm flipH="1">
          <a:off x="2985473" y="1355407"/>
          <a:ext cx="59959" cy="313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82867</xdr:colOff>
      <xdr:row>11</xdr:row>
      <xdr:rowOff>89535</xdr:rowOff>
    </xdr:from>
    <xdr:to>
      <xdr:col>19</xdr:col>
      <xdr:colOff>130492</xdr:colOff>
      <xdr:row>12</xdr:row>
      <xdr:rowOff>48145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A5625A0E-1972-B02F-85B0-6ABB31DA63DA}"/>
            </a:ext>
          </a:extLst>
        </xdr:cNvPr>
        <xdr:cNvCxnSpPr/>
      </xdr:nvCxnSpPr>
      <xdr:spPr>
        <a:xfrm>
          <a:off x="2968942" y="1550670"/>
          <a:ext cx="47625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82254</xdr:colOff>
      <xdr:row>13</xdr:row>
      <xdr:rowOff>30480</xdr:rowOff>
    </xdr:from>
    <xdr:to>
      <xdr:col>33</xdr:col>
      <xdr:colOff>149833</xdr:colOff>
      <xdr:row>15</xdr:row>
      <xdr:rowOff>82997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925E2943-B093-50D7-064C-1493C5799E19}"/>
            </a:ext>
          </a:extLst>
        </xdr:cNvPr>
        <xdr:cNvCxnSpPr/>
      </xdr:nvCxnSpPr>
      <xdr:spPr>
        <a:xfrm flipH="1">
          <a:off x="5101929" y="1750695"/>
          <a:ext cx="67579" cy="3209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73343</xdr:colOff>
      <xdr:row>14</xdr:row>
      <xdr:rowOff>111443</xdr:rowOff>
    </xdr:from>
    <xdr:to>
      <xdr:col>33</xdr:col>
      <xdr:colOff>120968</xdr:colOff>
      <xdr:row>15</xdr:row>
      <xdr:rowOff>55159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1920E3AB-A58B-E474-5167-BD5FC25BC536}"/>
            </a:ext>
          </a:extLst>
        </xdr:cNvPr>
        <xdr:cNvCxnSpPr/>
      </xdr:nvCxnSpPr>
      <xdr:spPr>
        <a:xfrm>
          <a:off x="5093018" y="1961198"/>
          <a:ext cx="47625" cy="819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33338</xdr:colOff>
      <xdr:row>13</xdr:row>
      <xdr:rowOff>0</xdr:rowOff>
    </xdr:from>
    <xdr:to>
      <xdr:col>39</xdr:col>
      <xdr:colOff>81127</xdr:colOff>
      <xdr:row>13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EE84B0EF-8881-43B1-E7B2-5F0B33835E7A}"/>
            </a:ext>
          </a:extLst>
        </xdr:cNvPr>
        <xdr:cNvCxnSpPr/>
      </xdr:nvCxnSpPr>
      <xdr:spPr>
        <a:xfrm>
          <a:off x="5510213" y="1729740"/>
          <a:ext cx="514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9</xdr:row>
      <xdr:rowOff>42863</xdr:rowOff>
    </xdr:from>
    <xdr:to>
      <xdr:col>39</xdr:col>
      <xdr:colOff>1</xdr:colOff>
      <xdr:row>23</xdr:row>
      <xdr:rowOff>87642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1A343085-C6CE-3A01-449B-CA0A6D6C14E9}"/>
            </a:ext>
          </a:extLst>
        </xdr:cNvPr>
        <xdr:cNvCxnSpPr/>
      </xdr:nvCxnSpPr>
      <xdr:spPr>
        <a:xfrm>
          <a:off x="5943601" y="1254443"/>
          <a:ext cx="0" cy="18640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92393</xdr:colOff>
      <xdr:row>23</xdr:row>
      <xdr:rowOff>0</xdr:rowOff>
    </xdr:from>
    <xdr:to>
      <xdr:col>39</xdr:col>
      <xdr:colOff>81030</xdr:colOff>
      <xdr:row>23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B9C44D9F-21D3-C691-8AFA-DB7A6390FB15}"/>
            </a:ext>
          </a:extLst>
        </xdr:cNvPr>
        <xdr:cNvCxnSpPr/>
      </xdr:nvCxnSpPr>
      <xdr:spPr>
        <a:xfrm>
          <a:off x="5578793" y="3040380"/>
          <a:ext cx="4458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127635</xdr:colOff>
      <xdr:row>9</xdr:row>
      <xdr:rowOff>116205</xdr:rowOff>
    </xdr:from>
    <xdr:to>
      <xdr:col>39</xdr:col>
      <xdr:colOff>68585</xdr:colOff>
      <xdr:row>9</xdr:row>
      <xdr:rowOff>116205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8A44B9B0-AA42-C137-3494-464236851E41}"/>
            </a:ext>
          </a:extLst>
        </xdr:cNvPr>
        <xdr:cNvCxnSpPr/>
      </xdr:nvCxnSpPr>
      <xdr:spPr>
        <a:xfrm>
          <a:off x="3166110" y="1318260"/>
          <a:ext cx="2836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116205</xdr:colOff>
      <xdr:row>9</xdr:row>
      <xdr:rowOff>73343</xdr:rowOff>
    </xdr:from>
    <xdr:to>
      <xdr:col>39</xdr:col>
      <xdr:colOff>43233</xdr:colOff>
      <xdr:row>10</xdr:row>
      <xdr:rowOff>17059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4BF23DB8-5FB4-B03F-EE9E-3E57247E258F}"/>
            </a:ext>
          </a:extLst>
        </xdr:cNvPr>
        <xdr:cNvCxnSpPr/>
      </xdr:nvCxnSpPr>
      <xdr:spPr>
        <a:xfrm flipH="1">
          <a:off x="5897880" y="1275398"/>
          <a:ext cx="88323" cy="819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116206</xdr:colOff>
      <xdr:row>12</xdr:row>
      <xdr:rowOff>94297</xdr:rowOff>
    </xdr:from>
    <xdr:to>
      <xdr:col>39</xdr:col>
      <xdr:colOff>43234</xdr:colOff>
      <xdr:row>13</xdr:row>
      <xdr:rowOff>53752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606C913F-E7FB-3AA7-1D28-982960C707B0}"/>
            </a:ext>
          </a:extLst>
        </xdr:cNvPr>
        <xdr:cNvCxnSpPr/>
      </xdr:nvCxnSpPr>
      <xdr:spPr>
        <a:xfrm flipH="1">
          <a:off x="5897881" y="1684972"/>
          <a:ext cx="88323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116205</xdr:colOff>
      <xdr:row>22</xdr:row>
      <xdr:rowOff>94298</xdr:rowOff>
    </xdr:from>
    <xdr:to>
      <xdr:col>39</xdr:col>
      <xdr:colOff>43233</xdr:colOff>
      <xdr:row>23</xdr:row>
      <xdr:rowOff>44784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91924E74-1E75-06C2-5780-0DB741602E17}"/>
            </a:ext>
          </a:extLst>
        </xdr:cNvPr>
        <xdr:cNvCxnSpPr/>
      </xdr:nvCxnSpPr>
      <xdr:spPr>
        <a:xfrm flipH="1">
          <a:off x="5897880" y="2995613"/>
          <a:ext cx="88323" cy="893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78105</xdr:rowOff>
    </xdr:from>
    <xdr:to>
      <xdr:col>6</xdr:col>
      <xdr:colOff>0</xdr:colOff>
      <xdr:row>10</xdr:row>
      <xdr:rowOff>89571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A0292CBE-9EAF-00B5-BC39-DCA90BF2FB8E}"/>
            </a:ext>
          </a:extLst>
        </xdr:cNvPr>
        <xdr:cNvCxnSpPr/>
      </xdr:nvCxnSpPr>
      <xdr:spPr>
        <a:xfrm flipV="1">
          <a:off x="914400" y="632460"/>
          <a:ext cx="0" cy="788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7</xdr:row>
      <xdr:rowOff>0</xdr:rowOff>
    </xdr:from>
    <xdr:to>
      <xdr:col>34</xdr:col>
      <xdr:colOff>68591</xdr:colOff>
      <xdr:row>7</xdr:row>
      <xdr:rowOff>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3018465F-017E-436E-2EB6-47FDDA5B7FF4}"/>
            </a:ext>
          </a:extLst>
        </xdr:cNvPr>
        <xdr:cNvCxnSpPr/>
      </xdr:nvCxnSpPr>
      <xdr:spPr>
        <a:xfrm>
          <a:off x="847725" y="952500"/>
          <a:ext cx="43929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116205</xdr:colOff>
      <xdr:row>6</xdr:row>
      <xdr:rowOff>99060</xdr:rowOff>
    </xdr:from>
    <xdr:to>
      <xdr:col>6</xdr:col>
      <xdr:colOff>38291</xdr:colOff>
      <xdr:row>7</xdr:row>
      <xdr:rowOff>47816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6154C740-C02B-9919-5F81-75AE7EFE14C3}"/>
            </a:ext>
          </a:extLst>
        </xdr:cNvPr>
        <xdr:cNvCxnSpPr/>
      </xdr:nvCxnSpPr>
      <xdr:spPr>
        <a:xfrm flipH="1">
          <a:off x="868680" y="912495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</xdr:row>
      <xdr:rowOff>73343</xdr:rowOff>
    </xdr:from>
    <xdr:to>
      <xdr:col>20</xdr:col>
      <xdr:colOff>0</xdr:colOff>
      <xdr:row>9</xdr:row>
      <xdr:rowOff>11778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713B64B5-7F9B-6A17-C8D7-5941F6294895}"/>
            </a:ext>
          </a:extLst>
        </xdr:cNvPr>
        <xdr:cNvCxnSpPr/>
      </xdr:nvCxnSpPr>
      <xdr:spPr>
        <a:xfrm flipV="1">
          <a:off x="3048000" y="886778"/>
          <a:ext cx="0" cy="3362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116205</xdr:colOff>
      <xdr:row>6</xdr:row>
      <xdr:rowOff>99060</xdr:rowOff>
    </xdr:from>
    <xdr:to>
      <xdr:col>20</xdr:col>
      <xdr:colOff>38291</xdr:colOff>
      <xdr:row>7</xdr:row>
      <xdr:rowOff>47816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7893E903-17E2-D1DC-5AF7-17976809E0B8}"/>
            </a:ext>
          </a:extLst>
        </xdr:cNvPr>
        <xdr:cNvCxnSpPr/>
      </xdr:nvCxnSpPr>
      <xdr:spPr>
        <a:xfrm flipH="1">
          <a:off x="3002280" y="912495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</xdr:row>
      <xdr:rowOff>78105</xdr:rowOff>
    </xdr:from>
    <xdr:to>
      <xdr:col>34</xdr:col>
      <xdr:colOff>0</xdr:colOff>
      <xdr:row>10</xdr:row>
      <xdr:rowOff>89571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2633000F-2D79-B783-936A-43FD89D5C64E}"/>
            </a:ext>
          </a:extLst>
        </xdr:cNvPr>
        <xdr:cNvCxnSpPr/>
      </xdr:nvCxnSpPr>
      <xdr:spPr>
        <a:xfrm flipV="1">
          <a:off x="5181600" y="632460"/>
          <a:ext cx="0" cy="788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116205</xdr:colOff>
      <xdr:row>6</xdr:row>
      <xdr:rowOff>99060</xdr:rowOff>
    </xdr:from>
    <xdr:to>
      <xdr:col>34</xdr:col>
      <xdr:colOff>38291</xdr:colOff>
      <xdr:row>7</xdr:row>
      <xdr:rowOff>47816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2BDC00CA-5AB5-06CB-7787-20B5F8EDA472}"/>
            </a:ext>
          </a:extLst>
        </xdr:cNvPr>
        <xdr:cNvCxnSpPr/>
      </xdr:nvCxnSpPr>
      <xdr:spPr>
        <a:xfrm flipH="1">
          <a:off x="5135880" y="912495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6668</xdr:colOff>
      <xdr:row>13</xdr:row>
      <xdr:rowOff>953</xdr:rowOff>
    </xdr:from>
    <xdr:to>
      <xdr:col>10</xdr:col>
      <xdr:colOff>6668</xdr:colOff>
      <xdr:row>13</xdr:row>
      <xdr:rowOff>953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C70D905B-D045-196C-9465-F06533E97370}"/>
            </a:ext>
          </a:extLst>
        </xdr:cNvPr>
        <xdr:cNvCxnSpPr/>
      </xdr:nvCxnSpPr>
      <xdr:spPr>
        <a:xfrm>
          <a:off x="921068" y="1730693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9292</xdr:colOff>
      <xdr:row>12</xdr:row>
      <xdr:rowOff>42632</xdr:rowOff>
    </xdr:from>
    <xdr:to>
      <xdr:col>8</xdr:col>
      <xdr:colOff>128097</xdr:colOff>
      <xdr:row>13</xdr:row>
      <xdr:rowOff>17110</xdr:rowOff>
    </xdr:to>
    <xdr:sp macro="" textlink="">
      <xdr:nvSpPr>
        <xdr:cNvPr id="95" name="Arc 94">
          <a:extLst>
            <a:ext uri="{FF2B5EF4-FFF2-40B4-BE49-F238E27FC236}">
              <a16:creationId xmlns:a16="http://schemas.microsoft.com/office/drawing/2014/main" id="{CDAA4FF4-A1CC-7794-A27E-0D4A6B48843A}"/>
            </a:ext>
          </a:extLst>
        </xdr:cNvPr>
        <xdr:cNvSpPr/>
      </xdr:nvSpPr>
      <xdr:spPr>
        <a:xfrm rot="2249500">
          <a:off x="1228492" y="1642832"/>
          <a:ext cx="109666" cy="104018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35</xdr:col>
      <xdr:colOff>19050</xdr:colOff>
      <xdr:row>45</xdr:row>
      <xdr:rowOff>123825</xdr:rowOff>
    </xdr:to>
    <xdr:grpSp>
      <xdr:nvGrpSpPr>
        <xdr:cNvPr id="2213048" name="Group 95">
          <a:extLst>
            <a:ext uri="{FF2B5EF4-FFF2-40B4-BE49-F238E27FC236}">
              <a16:creationId xmlns:a16="http://schemas.microsoft.com/office/drawing/2014/main" id="{DCEC3370-8362-F8A5-E528-8AF507F195EB}"/>
            </a:ext>
          </a:extLst>
        </xdr:cNvPr>
        <xdr:cNvGrpSpPr>
          <a:grpSpLocks/>
        </xdr:cNvGrpSpPr>
      </xdr:nvGrpSpPr>
      <xdr:grpSpPr bwMode="auto">
        <a:xfrm>
          <a:off x="793750" y="4762500"/>
          <a:ext cx="4781550" cy="2049992"/>
          <a:chOff x="652462" y="6124575"/>
          <a:chExt cx="4872037" cy="2000248"/>
        </a:xfrm>
      </xdr:grpSpPr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01291E0-0C62-D905-9C5A-41DA597471EE}"/>
              </a:ext>
            </a:extLst>
          </xdr:cNvPr>
          <xdr:cNvSpPr/>
        </xdr:nvSpPr>
        <xdr:spPr>
          <a:xfrm>
            <a:off x="5191450" y="8009424"/>
            <a:ext cx="333049" cy="1153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B3DCD498-41FE-76C0-F575-EDFEAA2F0A3A}"/>
              </a:ext>
            </a:extLst>
          </xdr:cNvPr>
          <xdr:cNvSpPr/>
        </xdr:nvSpPr>
        <xdr:spPr>
          <a:xfrm>
            <a:off x="661978" y="8009424"/>
            <a:ext cx="333049" cy="1153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99" name="Freeform: Shape 98">
            <a:extLst>
              <a:ext uri="{FF2B5EF4-FFF2-40B4-BE49-F238E27FC236}">
                <a16:creationId xmlns:a16="http://schemas.microsoft.com/office/drawing/2014/main" id="{531C763D-EBD6-421E-1C5C-92E51A546E5B}"/>
              </a:ext>
            </a:extLst>
          </xdr:cNvPr>
          <xdr:cNvSpPr/>
        </xdr:nvSpPr>
        <xdr:spPr>
          <a:xfrm>
            <a:off x="814229" y="6124575"/>
            <a:ext cx="4529472" cy="1875233"/>
          </a:xfrm>
          <a:custGeom>
            <a:avLst/>
            <a:gdLst>
              <a:gd name="connsiteX0" fmla="*/ 0 w 4533900"/>
              <a:gd name="connsiteY0" fmla="*/ 1876425 h 1876425"/>
              <a:gd name="connsiteX1" fmla="*/ 0 w 4533900"/>
              <a:gd name="connsiteY1" fmla="*/ 438150 h 1876425"/>
              <a:gd name="connsiteX2" fmla="*/ 2266950 w 4533900"/>
              <a:gd name="connsiteY2" fmla="*/ 0 h 1876425"/>
              <a:gd name="connsiteX3" fmla="*/ 4533900 w 4533900"/>
              <a:gd name="connsiteY3" fmla="*/ 438150 h 1876425"/>
              <a:gd name="connsiteX4" fmla="*/ 4533900 w 4533900"/>
              <a:gd name="connsiteY4" fmla="*/ 1876425 h 1876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33900" h="1876425">
                <a:moveTo>
                  <a:pt x="0" y="1876425"/>
                </a:moveTo>
                <a:lnTo>
                  <a:pt x="0" y="438150"/>
                </a:lnTo>
                <a:lnTo>
                  <a:pt x="2266950" y="0"/>
                </a:lnTo>
                <a:lnTo>
                  <a:pt x="4533900" y="438150"/>
                </a:lnTo>
                <a:lnTo>
                  <a:pt x="4533900" y="1876425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E3FAB1A1-C5CE-2FA4-B977-B3E24D3E1105}"/>
              </a:ext>
            </a:extLst>
          </xdr:cNvPr>
          <xdr:cNvCxnSpPr/>
        </xdr:nvCxnSpPr>
        <xdr:spPr>
          <a:xfrm>
            <a:off x="652462" y="7999808"/>
            <a:ext cx="34256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13110C87-C223-3BE9-144C-F81773B33CFF}"/>
              </a:ext>
            </a:extLst>
          </xdr:cNvPr>
          <xdr:cNvCxnSpPr/>
        </xdr:nvCxnSpPr>
        <xdr:spPr>
          <a:xfrm>
            <a:off x="5181934" y="7999808"/>
            <a:ext cx="34256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6</xdr:col>
      <xdr:colOff>0</xdr:colOff>
      <xdr:row>31</xdr:row>
      <xdr:rowOff>1</xdr:rowOff>
    </xdr:from>
    <xdr:to>
      <xdr:col>34</xdr:col>
      <xdr:colOff>4763</xdr:colOff>
      <xdr:row>31</xdr:row>
      <xdr:rowOff>1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96416B59-4953-C216-9D70-57A472AAF6E8}"/>
            </a:ext>
          </a:extLst>
        </xdr:cNvPr>
        <xdr:cNvCxnSpPr/>
      </xdr:nvCxnSpPr>
      <xdr:spPr>
        <a:xfrm>
          <a:off x="914400" y="4114801"/>
          <a:ext cx="42719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80010</xdr:rowOff>
    </xdr:from>
    <xdr:to>
      <xdr:col>6</xdr:col>
      <xdr:colOff>0</xdr:colOff>
      <xdr:row>31</xdr:row>
      <xdr:rowOff>363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id="{83BA9248-8EB3-3A73-24EC-2E845905A0A1}"/>
            </a:ext>
          </a:extLst>
        </xdr:cNvPr>
        <xdr:cNvCxnSpPr/>
      </xdr:nvCxnSpPr>
      <xdr:spPr>
        <a:xfrm>
          <a:off x="9144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</xdr:colOff>
      <xdr:row>29</xdr:row>
      <xdr:rowOff>80011</xdr:rowOff>
    </xdr:from>
    <xdr:to>
      <xdr:col>7</xdr:col>
      <xdr:colOff>1904</xdr:colOff>
      <xdr:row>31</xdr:row>
      <xdr:rowOff>364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4BD9786C-D952-81AC-32E0-04F21EFD5489}"/>
            </a:ext>
          </a:extLst>
        </xdr:cNvPr>
        <xdr:cNvCxnSpPr/>
      </xdr:nvCxnSpPr>
      <xdr:spPr>
        <a:xfrm>
          <a:off x="10687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80010</xdr:rowOff>
    </xdr:from>
    <xdr:to>
      <xdr:col>8</xdr:col>
      <xdr:colOff>0</xdr:colOff>
      <xdr:row>31</xdr:row>
      <xdr:rowOff>363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A059898C-7B82-F47A-E2E9-63DD300CE8B3}"/>
            </a:ext>
          </a:extLst>
        </xdr:cNvPr>
        <xdr:cNvCxnSpPr/>
      </xdr:nvCxnSpPr>
      <xdr:spPr>
        <a:xfrm>
          <a:off x="12192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</xdr:colOff>
      <xdr:row>29</xdr:row>
      <xdr:rowOff>80011</xdr:rowOff>
    </xdr:from>
    <xdr:to>
      <xdr:col>9</xdr:col>
      <xdr:colOff>1904</xdr:colOff>
      <xdr:row>31</xdr:row>
      <xdr:rowOff>364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B2E5EC7E-1D48-C24B-0C32-406EE57103AC}"/>
            </a:ext>
          </a:extLst>
        </xdr:cNvPr>
        <xdr:cNvCxnSpPr/>
      </xdr:nvCxnSpPr>
      <xdr:spPr>
        <a:xfrm>
          <a:off x="13735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80010</xdr:rowOff>
    </xdr:from>
    <xdr:to>
      <xdr:col>10</xdr:col>
      <xdr:colOff>0</xdr:colOff>
      <xdr:row>31</xdr:row>
      <xdr:rowOff>363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4731AF4B-E66D-5649-224D-FCA3D614D614}"/>
            </a:ext>
          </a:extLst>
        </xdr:cNvPr>
        <xdr:cNvCxnSpPr/>
      </xdr:nvCxnSpPr>
      <xdr:spPr>
        <a:xfrm>
          <a:off x="15240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</xdr:colOff>
      <xdr:row>29</xdr:row>
      <xdr:rowOff>80011</xdr:rowOff>
    </xdr:from>
    <xdr:to>
      <xdr:col>11</xdr:col>
      <xdr:colOff>1904</xdr:colOff>
      <xdr:row>31</xdr:row>
      <xdr:rowOff>364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542685F9-10A9-89FD-3D37-0E848A589A87}"/>
            </a:ext>
          </a:extLst>
        </xdr:cNvPr>
        <xdr:cNvCxnSpPr/>
      </xdr:nvCxnSpPr>
      <xdr:spPr>
        <a:xfrm>
          <a:off x="16783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80010</xdr:rowOff>
    </xdr:from>
    <xdr:to>
      <xdr:col>12</xdr:col>
      <xdr:colOff>0</xdr:colOff>
      <xdr:row>31</xdr:row>
      <xdr:rowOff>363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5EEFE392-6B3D-E5D6-D2FF-404A8FF087CE}"/>
            </a:ext>
          </a:extLst>
        </xdr:cNvPr>
        <xdr:cNvCxnSpPr/>
      </xdr:nvCxnSpPr>
      <xdr:spPr>
        <a:xfrm>
          <a:off x="18288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1904</xdr:colOff>
      <xdr:row>29</xdr:row>
      <xdr:rowOff>80011</xdr:rowOff>
    </xdr:from>
    <xdr:to>
      <xdr:col>13</xdr:col>
      <xdr:colOff>1904</xdr:colOff>
      <xdr:row>31</xdr:row>
      <xdr:rowOff>364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AA9796E9-ED0A-1402-28DE-B3B69426649B}"/>
            </a:ext>
          </a:extLst>
        </xdr:cNvPr>
        <xdr:cNvCxnSpPr/>
      </xdr:nvCxnSpPr>
      <xdr:spPr>
        <a:xfrm>
          <a:off x="19831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80010</xdr:rowOff>
    </xdr:from>
    <xdr:to>
      <xdr:col>14</xdr:col>
      <xdr:colOff>0</xdr:colOff>
      <xdr:row>31</xdr:row>
      <xdr:rowOff>363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F60BB04B-89BC-80F7-5A1F-CFA684279DA5}"/>
            </a:ext>
          </a:extLst>
        </xdr:cNvPr>
        <xdr:cNvCxnSpPr/>
      </xdr:nvCxnSpPr>
      <xdr:spPr>
        <a:xfrm>
          <a:off x="21336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1904</xdr:colOff>
      <xdr:row>29</xdr:row>
      <xdr:rowOff>80011</xdr:rowOff>
    </xdr:from>
    <xdr:to>
      <xdr:col>15</xdr:col>
      <xdr:colOff>1904</xdr:colOff>
      <xdr:row>31</xdr:row>
      <xdr:rowOff>364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C221E587-2715-2225-D182-0D3DCBD6C661}"/>
            </a:ext>
          </a:extLst>
        </xdr:cNvPr>
        <xdr:cNvCxnSpPr/>
      </xdr:nvCxnSpPr>
      <xdr:spPr>
        <a:xfrm>
          <a:off x="22879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80010</xdr:rowOff>
    </xdr:from>
    <xdr:to>
      <xdr:col>16</xdr:col>
      <xdr:colOff>0</xdr:colOff>
      <xdr:row>31</xdr:row>
      <xdr:rowOff>363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F78F8B9E-71B7-6E88-5B2B-4EFF7D8A8FD2}"/>
            </a:ext>
          </a:extLst>
        </xdr:cNvPr>
        <xdr:cNvCxnSpPr/>
      </xdr:nvCxnSpPr>
      <xdr:spPr>
        <a:xfrm>
          <a:off x="24384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</xdr:colOff>
      <xdr:row>29</xdr:row>
      <xdr:rowOff>80011</xdr:rowOff>
    </xdr:from>
    <xdr:to>
      <xdr:col>17</xdr:col>
      <xdr:colOff>1904</xdr:colOff>
      <xdr:row>31</xdr:row>
      <xdr:rowOff>364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D77B0317-D702-04CF-BC1E-D8A9A9830A11}"/>
            </a:ext>
          </a:extLst>
        </xdr:cNvPr>
        <xdr:cNvCxnSpPr/>
      </xdr:nvCxnSpPr>
      <xdr:spPr>
        <a:xfrm>
          <a:off x="25927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29</xdr:row>
      <xdr:rowOff>80010</xdr:rowOff>
    </xdr:from>
    <xdr:to>
      <xdr:col>18</xdr:col>
      <xdr:colOff>0</xdr:colOff>
      <xdr:row>31</xdr:row>
      <xdr:rowOff>363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2AA8C8A-70BE-CB60-43ED-3BCE956F2E59}"/>
            </a:ext>
          </a:extLst>
        </xdr:cNvPr>
        <xdr:cNvCxnSpPr/>
      </xdr:nvCxnSpPr>
      <xdr:spPr>
        <a:xfrm>
          <a:off x="27432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1904</xdr:colOff>
      <xdr:row>29</xdr:row>
      <xdr:rowOff>80011</xdr:rowOff>
    </xdr:from>
    <xdr:to>
      <xdr:col>19</xdr:col>
      <xdr:colOff>1904</xdr:colOff>
      <xdr:row>31</xdr:row>
      <xdr:rowOff>364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A916F876-621B-B1EA-15CC-73D773BFD67F}"/>
            </a:ext>
          </a:extLst>
        </xdr:cNvPr>
        <xdr:cNvCxnSpPr/>
      </xdr:nvCxnSpPr>
      <xdr:spPr>
        <a:xfrm>
          <a:off x="28975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29</xdr:row>
      <xdr:rowOff>80010</xdr:rowOff>
    </xdr:from>
    <xdr:to>
      <xdr:col>20</xdr:col>
      <xdr:colOff>0</xdr:colOff>
      <xdr:row>31</xdr:row>
      <xdr:rowOff>363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F242C3BB-0700-7E00-0033-17641C588364}"/>
            </a:ext>
          </a:extLst>
        </xdr:cNvPr>
        <xdr:cNvCxnSpPr/>
      </xdr:nvCxnSpPr>
      <xdr:spPr>
        <a:xfrm>
          <a:off x="30480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</xdr:colOff>
      <xdr:row>29</xdr:row>
      <xdr:rowOff>80011</xdr:rowOff>
    </xdr:from>
    <xdr:to>
      <xdr:col>21</xdr:col>
      <xdr:colOff>1904</xdr:colOff>
      <xdr:row>31</xdr:row>
      <xdr:rowOff>364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E1A4A6BF-7B36-4C68-49DF-706A08187EFE}"/>
            </a:ext>
          </a:extLst>
        </xdr:cNvPr>
        <xdr:cNvCxnSpPr/>
      </xdr:nvCxnSpPr>
      <xdr:spPr>
        <a:xfrm>
          <a:off x="32023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29</xdr:row>
      <xdr:rowOff>80010</xdr:rowOff>
    </xdr:from>
    <xdr:to>
      <xdr:col>22</xdr:col>
      <xdr:colOff>0</xdr:colOff>
      <xdr:row>31</xdr:row>
      <xdr:rowOff>363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A8AF06A8-11A0-6AED-1706-5D0CC0954EE1}"/>
            </a:ext>
          </a:extLst>
        </xdr:cNvPr>
        <xdr:cNvCxnSpPr/>
      </xdr:nvCxnSpPr>
      <xdr:spPr>
        <a:xfrm>
          <a:off x="33528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1904</xdr:colOff>
      <xdr:row>29</xdr:row>
      <xdr:rowOff>80011</xdr:rowOff>
    </xdr:from>
    <xdr:to>
      <xdr:col>23</xdr:col>
      <xdr:colOff>1904</xdr:colOff>
      <xdr:row>31</xdr:row>
      <xdr:rowOff>364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B0456696-2292-F2CB-BB66-707D52ABF8E9}"/>
            </a:ext>
          </a:extLst>
        </xdr:cNvPr>
        <xdr:cNvCxnSpPr/>
      </xdr:nvCxnSpPr>
      <xdr:spPr>
        <a:xfrm>
          <a:off x="35071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29</xdr:row>
      <xdr:rowOff>80010</xdr:rowOff>
    </xdr:from>
    <xdr:to>
      <xdr:col>24</xdr:col>
      <xdr:colOff>0</xdr:colOff>
      <xdr:row>31</xdr:row>
      <xdr:rowOff>363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A17C6EF3-B84F-1518-A07E-4E25384B0711}"/>
            </a:ext>
          </a:extLst>
        </xdr:cNvPr>
        <xdr:cNvCxnSpPr/>
      </xdr:nvCxnSpPr>
      <xdr:spPr>
        <a:xfrm>
          <a:off x="36576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1904</xdr:colOff>
      <xdr:row>29</xdr:row>
      <xdr:rowOff>80011</xdr:rowOff>
    </xdr:from>
    <xdr:to>
      <xdr:col>25</xdr:col>
      <xdr:colOff>1904</xdr:colOff>
      <xdr:row>31</xdr:row>
      <xdr:rowOff>364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7E9F146D-F3DD-1F1F-98CA-053938260DAF}"/>
            </a:ext>
          </a:extLst>
        </xdr:cNvPr>
        <xdr:cNvCxnSpPr/>
      </xdr:nvCxnSpPr>
      <xdr:spPr>
        <a:xfrm>
          <a:off x="38119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29</xdr:row>
      <xdr:rowOff>80010</xdr:rowOff>
    </xdr:from>
    <xdr:to>
      <xdr:col>26</xdr:col>
      <xdr:colOff>0</xdr:colOff>
      <xdr:row>31</xdr:row>
      <xdr:rowOff>363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FB0D7918-FADE-966B-107C-21AFC8656830}"/>
            </a:ext>
          </a:extLst>
        </xdr:cNvPr>
        <xdr:cNvCxnSpPr/>
      </xdr:nvCxnSpPr>
      <xdr:spPr>
        <a:xfrm>
          <a:off x="39624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1904</xdr:colOff>
      <xdr:row>29</xdr:row>
      <xdr:rowOff>80011</xdr:rowOff>
    </xdr:from>
    <xdr:to>
      <xdr:col>27</xdr:col>
      <xdr:colOff>1904</xdr:colOff>
      <xdr:row>31</xdr:row>
      <xdr:rowOff>364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B34D3E81-622D-55C0-7734-8474131FFCED}"/>
            </a:ext>
          </a:extLst>
        </xdr:cNvPr>
        <xdr:cNvCxnSpPr/>
      </xdr:nvCxnSpPr>
      <xdr:spPr>
        <a:xfrm>
          <a:off x="41167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29</xdr:row>
      <xdr:rowOff>80010</xdr:rowOff>
    </xdr:from>
    <xdr:to>
      <xdr:col>28</xdr:col>
      <xdr:colOff>0</xdr:colOff>
      <xdr:row>31</xdr:row>
      <xdr:rowOff>363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A059FE09-2965-B13E-CCE1-1C00336AEA99}"/>
            </a:ext>
          </a:extLst>
        </xdr:cNvPr>
        <xdr:cNvCxnSpPr/>
      </xdr:nvCxnSpPr>
      <xdr:spPr>
        <a:xfrm>
          <a:off x="4267200" y="3935730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1904</xdr:colOff>
      <xdr:row>29</xdr:row>
      <xdr:rowOff>80011</xdr:rowOff>
    </xdr:from>
    <xdr:to>
      <xdr:col>29</xdr:col>
      <xdr:colOff>1904</xdr:colOff>
      <xdr:row>31</xdr:row>
      <xdr:rowOff>364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CEF3150B-C432-2FA7-1F7A-6EFE9B78BCEA}"/>
            </a:ext>
          </a:extLst>
        </xdr:cNvPr>
        <xdr:cNvCxnSpPr/>
      </xdr:nvCxnSpPr>
      <xdr:spPr>
        <a:xfrm>
          <a:off x="4421504" y="3935731"/>
          <a:ext cx="0" cy="1794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75248</xdr:rowOff>
    </xdr:from>
    <xdr:to>
      <xdr:col>30</xdr:col>
      <xdr:colOff>0</xdr:colOff>
      <xdr:row>31</xdr:row>
      <xdr:rowOff>1860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id="{3D34D5BE-CCE7-0E91-21E3-2FD44D076152}"/>
            </a:ext>
          </a:extLst>
        </xdr:cNvPr>
        <xdr:cNvCxnSpPr/>
      </xdr:nvCxnSpPr>
      <xdr:spPr>
        <a:xfrm>
          <a:off x="4572000" y="3930968"/>
          <a:ext cx="0" cy="185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1904</xdr:colOff>
      <xdr:row>29</xdr:row>
      <xdr:rowOff>75249</xdr:rowOff>
    </xdr:from>
    <xdr:to>
      <xdr:col>31</xdr:col>
      <xdr:colOff>1904</xdr:colOff>
      <xdr:row>31</xdr:row>
      <xdr:rowOff>1861</xdr:rowOff>
    </xdr:to>
    <xdr:cxnSp macro="">
      <xdr:nvCxnSpPr>
        <xdr:cNvPr id="128" name="Straight Arrow Connector 127">
          <a:extLst>
            <a:ext uri="{FF2B5EF4-FFF2-40B4-BE49-F238E27FC236}">
              <a16:creationId xmlns:a16="http://schemas.microsoft.com/office/drawing/2014/main" id="{FC17266F-F1BE-8087-F289-00FD432332F3}"/>
            </a:ext>
          </a:extLst>
        </xdr:cNvPr>
        <xdr:cNvCxnSpPr/>
      </xdr:nvCxnSpPr>
      <xdr:spPr>
        <a:xfrm>
          <a:off x="4726304" y="3930969"/>
          <a:ext cx="0" cy="185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29</xdr:row>
      <xdr:rowOff>75248</xdr:rowOff>
    </xdr:from>
    <xdr:to>
      <xdr:col>32</xdr:col>
      <xdr:colOff>0</xdr:colOff>
      <xdr:row>31</xdr:row>
      <xdr:rowOff>1860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72F8786F-8102-F3BA-67D0-A3F5BB814579}"/>
            </a:ext>
          </a:extLst>
        </xdr:cNvPr>
        <xdr:cNvCxnSpPr/>
      </xdr:nvCxnSpPr>
      <xdr:spPr>
        <a:xfrm>
          <a:off x="4876800" y="3930968"/>
          <a:ext cx="0" cy="185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1904</xdr:colOff>
      <xdr:row>29</xdr:row>
      <xdr:rowOff>75249</xdr:rowOff>
    </xdr:from>
    <xdr:to>
      <xdr:col>33</xdr:col>
      <xdr:colOff>1904</xdr:colOff>
      <xdr:row>31</xdr:row>
      <xdr:rowOff>1861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ED91BBCF-6741-94FB-5725-45A82C420F2C}"/>
            </a:ext>
          </a:extLst>
        </xdr:cNvPr>
        <xdr:cNvCxnSpPr/>
      </xdr:nvCxnSpPr>
      <xdr:spPr>
        <a:xfrm>
          <a:off x="5031104" y="3930969"/>
          <a:ext cx="0" cy="185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29</xdr:row>
      <xdr:rowOff>75248</xdr:rowOff>
    </xdr:from>
    <xdr:to>
      <xdr:col>34</xdr:col>
      <xdr:colOff>0</xdr:colOff>
      <xdr:row>31</xdr:row>
      <xdr:rowOff>1860</xdr:rowOff>
    </xdr:to>
    <xdr:cxnSp macro="">
      <xdr:nvCxnSpPr>
        <xdr:cNvPr id="131" name="Straight Arrow Connector 130">
          <a:extLst>
            <a:ext uri="{FF2B5EF4-FFF2-40B4-BE49-F238E27FC236}">
              <a16:creationId xmlns:a16="http://schemas.microsoft.com/office/drawing/2014/main" id="{FC1F291A-93A7-AB72-3151-A5AED0F8C817}"/>
            </a:ext>
          </a:extLst>
        </xdr:cNvPr>
        <xdr:cNvCxnSpPr/>
      </xdr:nvCxnSpPr>
      <xdr:spPr>
        <a:xfrm>
          <a:off x="5181600" y="3930968"/>
          <a:ext cx="0" cy="185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80010</xdr:rowOff>
    </xdr:from>
    <xdr:to>
      <xdr:col>34</xdr:col>
      <xdr:colOff>4763</xdr:colOff>
      <xdr:row>29</xdr:row>
      <xdr:rowOff>80010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6EE3EA76-E412-1195-55C7-CD5B49883999}"/>
            </a:ext>
          </a:extLst>
        </xdr:cNvPr>
        <xdr:cNvCxnSpPr/>
      </xdr:nvCxnSpPr>
      <xdr:spPr>
        <a:xfrm>
          <a:off x="914400" y="3935730"/>
          <a:ext cx="42719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120968</xdr:colOff>
      <xdr:row>29</xdr:row>
      <xdr:rowOff>9525</xdr:rowOff>
    </xdr:from>
    <xdr:to>
      <xdr:col>16</xdr:col>
      <xdr:colOff>161909</xdr:colOff>
      <xdr:row>30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63B34A9D-C338-3BC7-C394-ED0CF0549523}"/>
            </a:ext>
          </a:extLst>
        </xdr:cNvPr>
        <xdr:cNvCxnSpPr/>
      </xdr:nvCxnSpPr>
      <xdr:spPr>
        <a:xfrm flipH="1" flipV="1">
          <a:off x="2397443" y="3865245"/>
          <a:ext cx="193476" cy="1200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122875</xdr:colOff>
      <xdr:row>32</xdr:row>
      <xdr:rowOff>0</xdr:rowOff>
    </xdr:from>
    <xdr:to>
      <xdr:col>36</xdr:col>
      <xdr:colOff>78136</xdr:colOff>
      <xdr:row>32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B8AD5252-9E55-F887-1CE6-C090C7CCC497}"/>
            </a:ext>
          </a:extLst>
        </xdr:cNvPr>
        <xdr:cNvCxnSpPr/>
      </xdr:nvCxnSpPr>
      <xdr:spPr>
        <a:xfrm>
          <a:off x="3313750" y="4244340"/>
          <a:ext cx="22412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31</xdr:row>
      <xdr:rowOff>78105</xdr:rowOff>
    </xdr:from>
    <xdr:to>
      <xdr:col>36</xdr:col>
      <xdr:colOff>1</xdr:colOff>
      <xdr:row>45</xdr:row>
      <xdr:rowOff>44791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C50A71BB-BB5E-1668-6100-6D3285A5A635}"/>
            </a:ext>
          </a:extLst>
        </xdr:cNvPr>
        <xdr:cNvCxnSpPr/>
      </xdr:nvCxnSpPr>
      <xdr:spPr>
        <a:xfrm>
          <a:off x="5486401" y="4183380"/>
          <a:ext cx="0" cy="17973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120970</xdr:colOff>
      <xdr:row>31</xdr:row>
      <xdr:rowOff>94296</xdr:rowOff>
    </xdr:from>
    <xdr:to>
      <xdr:col>36</xdr:col>
      <xdr:colOff>43056</xdr:colOff>
      <xdr:row>32</xdr:row>
      <xdr:rowOff>43977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E8C339F8-635E-98C1-A798-673884EE3CC9}"/>
            </a:ext>
          </a:extLst>
        </xdr:cNvPr>
        <xdr:cNvCxnSpPr/>
      </xdr:nvCxnSpPr>
      <xdr:spPr>
        <a:xfrm flipH="1">
          <a:off x="5445445" y="4199571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42863</xdr:colOff>
      <xdr:row>44</xdr:row>
      <xdr:rowOff>137159</xdr:rowOff>
    </xdr:from>
    <xdr:to>
      <xdr:col>36</xdr:col>
      <xdr:colOff>78330</xdr:colOff>
      <xdr:row>44</xdr:row>
      <xdr:rowOff>137159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8F3C8B6E-BCEF-5044-1FD9-C255F36332A9}"/>
            </a:ext>
          </a:extLst>
        </xdr:cNvPr>
        <xdr:cNvCxnSpPr/>
      </xdr:nvCxnSpPr>
      <xdr:spPr>
        <a:xfrm>
          <a:off x="5376863" y="5934074"/>
          <a:ext cx="1779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120967</xdr:colOff>
      <xdr:row>44</xdr:row>
      <xdr:rowOff>94295</xdr:rowOff>
    </xdr:from>
    <xdr:to>
      <xdr:col>36</xdr:col>
      <xdr:colOff>43053</xdr:colOff>
      <xdr:row>45</xdr:row>
      <xdr:rowOff>43976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63246087-F936-DD99-D73F-3497B243FCD9}"/>
            </a:ext>
          </a:extLst>
        </xdr:cNvPr>
        <xdr:cNvCxnSpPr/>
      </xdr:nvCxnSpPr>
      <xdr:spPr>
        <a:xfrm flipH="1">
          <a:off x="5445442" y="5891210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49530</xdr:colOff>
      <xdr:row>35</xdr:row>
      <xdr:rowOff>0</xdr:rowOff>
    </xdr:from>
    <xdr:to>
      <xdr:col>36</xdr:col>
      <xdr:colOff>78378</xdr:colOff>
      <xdr:row>35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AC4439A6-877B-4BA3-36D0-8C4033B79AE8}"/>
            </a:ext>
          </a:extLst>
        </xdr:cNvPr>
        <xdr:cNvCxnSpPr/>
      </xdr:nvCxnSpPr>
      <xdr:spPr>
        <a:xfrm>
          <a:off x="5231130" y="4632960"/>
          <a:ext cx="32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120969</xdr:colOff>
      <xdr:row>34</xdr:row>
      <xdr:rowOff>94296</xdr:rowOff>
    </xdr:from>
    <xdr:to>
      <xdr:col>36</xdr:col>
      <xdr:colOff>43055</xdr:colOff>
      <xdr:row>35</xdr:row>
      <xdr:rowOff>43977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3738ADA5-C02F-E65E-ADBA-A08A83B4AD0C}"/>
            </a:ext>
          </a:extLst>
        </xdr:cNvPr>
        <xdr:cNvCxnSpPr/>
      </xdr:nvCxnSpPr>
      <xdr:spPr>
        <a:xfrm flipH="1">
          <a:off x="5445444" y="4588191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9525</xdr:rowOff>
    </xdr:from>
    <xdr:to>
      <xdr:col>6</xdr:col>
      <xdr:colOff>0</xdr:colOff>
      <xdr:row>49</xdr:row>
      <xdr:rowOff>73590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F12BDF6-40FD-865D-977E-C91009A2E119}"/>
            </a:ext>
          </a:extLst>
        </xdr:cNvPr>
        <xdr:cNvCxnSpPr/>
      </xdr:nvCxnSpPr>
      <xdr:spPr>
        <a:xfrm>
          <a:off x="914400" y="6075045"/>
          <a:ext cx="0" cy="443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82868</xdr:colOff>
      <xdr:row>47</xdr:row>
      <xdr:rowOff>0</xdr:rowOff>
    </xdr:from>
    <xdr:to>
      <xdr:col>34</xdr:col>
      <xdr:colOff>85743</xdr:colOff>
      <xdr:row>47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F479E935-A821-24F0-BEAC-6E5C254C5DF4}"/>
            </a:ext>
          </a:extLst>
        </xdr:cNvPr>
        <xdr:cNvCxnSpPr/>
      </xdr:nvCxnSpPr>
      <xdr:spPr>
        <a:xfrm>
          <a:off x="844868" y="6195060"/>
          <a:ext cx="442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116205</xdr:colOff>
      <xdr:row>46</xdr:row>
      <xdr:rowOff>94297</xdr:rowOff>
    </xdr:from>
    <xdr:to>
      <xdr:col>6</xdr:col>
      <xdr:colOff>43901</xdr:colOff>
      <xdr:row>47</xdr:row>
      <xdr:rowOff>53752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E37A09B-EBDF-41CF-FABC-ED974D6DF9A1}"/>
            </a:ext>
          </a:extLst>
        </xdr:cNvPr>
        <xdr:cNvCxnSpPr/>
      </xdr:nvCxnSpPr>
      <xdr:spPr>
        <a:xfrm flipH="1">
          <a:off x="868680" y="6150292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116205</xdr:colOff>
      <xdr:row>48</xdr:row>
      <xdr:rowOff>89534</xdr:rowOff>
    </xdr:from>
    <xdr:to>
      <xdr:col>6</xdr:col>
      <xdr:colOff>43901</xdr:colOff>
      <xdr:row>49</xdr:row>
      <xdr:rowOff>48989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36295EEB-E866-88BD-44BE-B71999ACBA2D}"/>
            </a:ext>
          </a:extLst>
        </xdr:cNvPr>
        <xdr:cNvCxnSpPr/>
      </xdr:nvCxnSpPr>
      <xdr:spPr>
        <a:xfrm flipH="1">
          <a:off x="868680" y="6404609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85726</xdr:colOff>
      <xdr:row>49</xdr:row>
      <xdr:rowOff>0</xdr:rowOff>
    </xdr:from>
    <xdr:to>
      <xdr:col>34</xdr:col>
      <xdr:colOff>80963</xdr:colOff>
      <xdr:row>49</xdr:row>
      <xdr:rowOff>0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1EF093CB-1AC7-36CC-8937-54C9C1B4EEC8}"/>
            </a:ext>
          </a:extLst>
        </xdr:cNvPr>
        <xdr:cNvCxnSpPr/>
      </xdr:nvCxnSpPr>
      <xdr:spPr>
        <a:xfrm>
          <a:off x="847726" y="6454140"/>
          <a:ext cx="44148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46</xdr:row>
      <xdr:rowOff>9525</xdr:rowOff>
    </xdr:from>
    <xdr:to>
      <xdr:col>34</xdr:col>
      <xdr:colOff>0</xdr:colOff>
      <xdr:row>49</xdr:row>
      <xdr:rowOff>73590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955480B4-8434-2E07-4A6D-CF9FA1AA838D}"/>
            </a:ext>
          </a:extLst>
        </xdr:cNvPr>
        <xdr:cNvCxnSpPr/>
      </xdr:nvCxnSpPr>
      <xdr:spPr>
        <a:xfrm>
          <a:off x="5181600" y="6075045"/>
          <a:ext cx="0" cy="443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116205</xdr:colOff>
      <xdr:row>46</xdr:row>
      <xdr:rowOff>94297</xdr:rowOff>
    </xdr:from>
    <xdr:to>
      <xdr:col>34</xdr:col>
      <xdr:colOff>43901</xdr:colOff>
      <xdr:row>47</xdr:row>
      <xdr:rowOff>53752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C903040C-7067-0C83-8C6C-D5ACD90E118B}"/>
            </a:ext>
          </a:extLst>
        </xdr:cNvPr>
        <xdr:cNvCxnSpPr/>
      </xdr:nvCxnSpPr>
      <xdr:spPr>
        <a:xfrm flipH="1">
          <a:off x="5135880" y="6150292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116205</xdr:colOff>
      <xdr:row>48</xdr:row>
      <xdr:rowOff>89534</xdr:rowOff>
    </xdr:from>
    <xdr:to>
      <xdr:col>34</xdr:col>
      <xdr:colOff>43901</xdr:colOff>
      <xdr:row>49</xdr:row>
      <xdr:rowOff>48989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872AD877-3A6E-D46C-9D37-31D0FB1239B1}"/>
            </a:ext>
          </a:extLst>
        </xdr:cNvPr>
        <xdr:cNvCxnSpPr/>
      </xdr:nvCxnSpPr>
      <xdr:spPr>
        <a:xfrm flipH="1">
          <a:off x="5135880" y="6404609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36</xdr:row>
      <xdr:rowOff>11430</xdr:rowOff>
    </xdr:from>
    <xdr:to>
      <xdr:col>20</xdr:col>
      <xdr:colOff>0</xdr:colOff>
      <xdr:row>47</xdr:row>
      <xdr:rowOff>63818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1A602040-89EF-E955-25DB-EB34D9F42E35}"/>
            </a:ext>
          </a:extLst>
        </xdr:cNvPr>
        <xdr:cNvCxnSpPr/>
      </xdr:nvCxnSpPr>
      <xdr:spPr>
        <a:xfrm>
          <a:off x="3048000" y="4773930"/>
          <a:ext cx="0" cy="14849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116205</xdr:colOff>
      <xdr:row>46</xdr:row>
      <xdr:rowOff>89535</xdr:rowOff>
    </xdr:from>
    <xdr:to>
      <xdr:col>20</xdr:col>
      <xdr:colOff>43901</xdr:colOff>
      <xdr:row>47</xdr:row>
      <xdr:rowOff>48145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F834EC7B-14CB-23F4-A06F-2BB11A62E92D}"/>
            </a:ext>
          </a:extLst>
        </xdr:cNvPr>
        <xdr:cNvCxnSpPr/>
      </xdr:nvCxnSpPr>
      <xdr:spPr>
        <a:xfrm flipH="1">
          <a:off x="3002280" y="6145530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5</xdr:row>
      <xdr:rowOff>0</xdr:rowOff>
    </xdr:from>
    <xdr:to>
      <xdr:col>34</xdr:col>
      <xdr:colOff>68591</xdr:colOff>
      <xdr:row>5</xdr:row>
      <xdr:rowOff>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945FF227-740F-61C4-92DB-389BD7327152}"/>
            </a:ext>
          </a:extLst>
        </xdr:cNvPr>
        <xdr:cNvCxnSpPr/>
      </xdr:nvCxnSpPr>
      <xdr:spPr>
        <a:xfrm>
          <a:off x="847725" y="693420"/>
          <a:ext cx="43929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116205</xdr:colOff>
      <xdr:row>4</xdr:row>
      <xdr:rowOff>99060</xdr:rowOff>
    </xdr:from>
    <xdr:to>
      <xdr:col>6</xdr:col>
      <xdr:colOff>38291</xdr:colOff>
      <xdr:row>5</xdr:row>
      <xdr:rowOff>47816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2CD10E92-8D07-656C-5390-90AEC00DC542}"/>
            </a:ext>
          </a:extLst>
        </xdr:cNvPr>
        <xdr:cNvCxnSpPr/>
      </xdr:nvCxnSpPr>
      <xdr:spPr>
        <a:xfrm flipH="1">
          <a:off x="868680" y="653415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116205</xdr:colOff>
      <xdr:row>4</xdr:row>
      <xdr:rowOff>99060</xdr:rowOff>
    </xdr:from>
    <xdr:to>
      <xdr:col>34</xdr:col>
      <xdr:colOff>38291</xdr:colOff>
      <xdr:row>5</xdr:row>
      <xdr:rowOff>47816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336905C6-AFBB-849C-ABE5-78B05D6E891C}"/>
            </a:ext>
          </a:extLst>
        </xdr:cNvPr>
        <xdr:cNvCxnSpPr/>
      </xdr:nvCxnSpPr>
      <xdr:spPr>
        <a:xfrm flipH="1">
          <a:off x="5135880" y="653415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28577</xdr:colOff>
      <xdr:row>34</xdr:row>
      <xdr:rowOff>87032</xdr:rowOff>
    </xdr:from>
    <xdr:to>
      <xdr:col>20</xdr:col>
      <xdr:colOff>149581</xdr:colOff>
      <xdr:row>37</xdr:row>
      <xdr:rowOff>119570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53E30CD3-FDA2-6DC0-80C5-326B8775BCCB}"/>
            </a:ext>
          </a:extLst>
        </xdr:cNvPr>
        <xdr:cNvCxnSpPr/>
      </xdr:nvCxnSpPr>
      <xdr:spPr>
        <a:xfrm flipV="1">
          <a:off x="942977" y="4580927"/>
          <a:ext cx="2245052" cy="4211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33339</xdr:colOff>
      <xdr:row>35</xdr:row>
      <xdr:rowOff>30485</xdr:rowOff>
    </xdr:from>
    <xdr:to>
      <xdr:col>6</xdr:col>
      <xdr:colOff>109991</xdr:colOff>
      <xdr:row>38</xdr:row>
      <xdr:rowOff>38179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29005E8E-11BE-F0B6-F73D-4D33240A2BF4}"/>
            </a:ext>
          </a:extLst>
        </xdr:cNvPr>
        <xdr:cNvCxnSpPr/>
      </xdr:nvCxnSpPr>
      <xdr:spPr>
        <a:xfrm flipH="1" flipV="1">
          <a:off x="938214" y="4653920"/>
          <a:ext cx="76652" cy="4057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9527</xdr:colOff>
      <xdr:row>32</xdr:row>
      <xdr:rowOff>11436</xdr:rowOff>
    </xdr:from>
    <xdr:to>
      <xdr:col>20</xdr:col>
      <xdr:colOff>87599</xdr:colOff>
      <xdr:row>35</xdr:row>
      <xdr:rowOff>30695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7CA29A0C-76FD-511F-232A-06539375129D}"/>
            </a:ext>
          </a:extLst>
        </xdr:cNvPr>
        <xdr:cNvCxnSpPr/>
      </xdr:nvCxnSpPr>
      <xdr:spPr>
        <a:xfrm flipH="1" flipV="1">
          <a:off x="3057527" y="4255776"/>
          <a:ext cx="78072" cy="3981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33339</xdr:colOff>
      <xdr:row>33</xdr:row>
      <xdr:rowOff>130815</xdr:rowOff>
    </xdr:from>
    <xdr:to>
      <xdr:col>33</xdr:col>
      <xdr:colOff>144760</xdr:colOff>
      <xdr:row>37</xdr:row>
      <xdr:rowOff>9067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74F1AFD0-17B2-0C3D-1653-2787C2D9B49B}"/>
            </a:ext>
          </a:extLst>
        </xdr:cNvPr>
        <xdr:cNvCxnSpPr/>
      </xdr:nvCxnSpPr>
      <xdr:spPr>
        <a:xfrm>
          <a:off x="2928939" y="4495170"/>
          <a:ext cx="2235508" cy="4059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87017</xdr:colOff>
      <xdr:row>32</xdr:row>
      <xdr:rowOff>6669</xdr:rowOff>
    </xdr:from>
    <xdr:to>
      <xdr:col>20</xdr:col>
      <xdr:colOff>964</xdr:colOff>
      <xdr:row>34</xdr:row>
      <xdr:rowOff>78239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10BFCCBF-0ABC-4478-0837-F3F32C97F9B6}"/>
            </a:ext>
          </a:extLst>
        </xdr:cNvPr>
        <xdr:cNvCxnSpPr/>
      </xdr:nvCxnSpPr>
      <xdr:spPr>
        <a:xfrm flipH="1">
          <a:off x="2982617" y="4251009"/>
          <a:ext cx="66347" cy="3209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85113</xdr:colOff>
      <xdr:row>35</xdr:row>
      <xdr:rowOff>30482</xdr:rowOff>
    </xdr:from>
    <xdr:to>
      <xdr:col>33</xdr:col>
      <xdr:colOff>155195</xdr:colOff>
      <xdr:row>37</xdr:row>
      <xdr:rowOff>84930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49A0A321-0E05-2E09-BA99-E83EEFA4DB21}"/>
            </a:ext>
          </a:extLst>
        </xdr:cNvPr>
        <xdr:cNvCxnSpPr/>
      </xdr:nvCxnSpPr>
      <xdr:spPr>
        <a:xfrm flipH="1">
          <a:off x="5114313" y="4653917"/>
          <a:ext cx="60070" cy="313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</xdr:colOff>
      <xdr:row>37</xdr:row>
      <xdr:rowOff>49530</xdr:rowOff>
    </xdr:from>
    <xdr:to>
      <xdr:col>6</xdr:col>
      <xdr:colOff>127318</xdr:colOff>
      <xdr:row>38</xdr:row>
      <xdr:rowOff>11430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ED1A4D1F-CE8D-B4D4-EA16-20DE53CDEA5A}"/>
            </a:ext>
          </a:extLst>
        </xdr:cNvPr>
        <xdr:cNvCxnSpPr/>
      </xdr:nvCxnSpPr>
      <xdr:spPr>
        <a:xfrm flipH="1">
          <a:off x="963930" y="4941570"/>
          <a:ext cx="66675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47626</xdr:colOff>
      <xdr:row>34</xdr:row>
      <xdr:rowOff>47625</xdr:rowOff>
    </xdr:from>
    <xdr:to>
      <xdr:col>20</xdr:col>
      <xdr:colOff>116771</xdr:colOff>
      <xdr:row>35</xdr:row>
      <xdr:rowOff>9525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5DF926F2-92F4-4F05-3301-8888FE88B1FC}"/>
            </a:ext>
          </a:extLst>
        </xdr:cNvPr>
        <xdr:cNvCxnSpPr/>
      </xdr:nvCxnSpPr>
      <xdr:spPr>
        <a:xfrm flipH="1">
          <a:off x="3095626" y="4551045"/>
          <a:ext cx="59267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54293</xdr:colOff>
      <xdr:row>33</xdr:row>
      <xdr:rowOff>116205</xdr:rowOff>
    </xdr:from>
    <xdr:to>
      <xdr:col>19</xdr:col>
      <xdr:colOff>154834</xdr:colOff>
      <xdr:row>34</xdr:row>
      <xdr:rowOff>42183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E32AA725-C1D5-766B-4FAF-ED127000E592}"/>
            </a:ext>
          </a:extLst>
        </xdr:cNvPr>
        <xdr:cNvCxnSpPr/>
      </xdr:nvCxnSpPr>
      <xdr:spPr>
        <a:xfrm flipH="1">
          <a:off x="2949893" y="4480560"/>
          <a:ext cx="90487" cy="5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49532</xdr:colOff>
      <xdr:row>36</xdr:row>
      <xdr:rowOff>120967</xdr:rowOff>
    </xdr:from>
    <xdr:to>
      <xdr:col>33</xdr:col>
      <xdr:colOff>151330</xdr:colOff>
      <xdr:row>37</xdr:row>
      <xdr:rowOff>37109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69E86A0A-C13B-AA86-9500-63879DFC77F1}"/>
            </a:ext>
          </a:extLst>
        </xdr:cNvPr>
        <xdr:cNvCxnSpPr/>
      </xdr:nvCxnSpPr>
      <xdr:spPr>
        <a:xfrm flipH="1">
          <a:off x="5078732" y="4873942"/>
          <a:ext cx="90487" cy="5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</xdr:colOff>
      <xdr:row>35</xdr:row>
      <xdr:rowOff>9526</xdr:rowOff>
    </xdr:from>
    <xdr:to>
      <xdr:col>11</xdr:col>
      <xdr:colOff>6817</xdr:colOff>
      <xdr:row>35</xdr:row>
      <xdr:rowOff>9526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5B0F13EF-E0C0-537B-2392-3F3F11BC0C5E}"/>
            </a:ext>
          </a:extLst>
        </xdr:cNvPr>
        <xdr:cNvCxnSpPr/>
      </xdr:nvCxnSpPr>
      <xdr:spPr>
        <a:xfrm>
          <a:off x="928687" y="4642486"/>
          <a:ext cx="7545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122873</xdr:colOff>
      <xdr:row>34</xdr:row>
      <xdr:rowOff>16191</xdr:rowOff>
    </xdr:from>
    <xdr:to>
      <xdr:col>9</xdr:col>
      <xdr:colOff>122874</xdr:colOff>
      <xdr:row>35</xdr:row>
      <xdr:rowOff>43063</xdr:rowOff>
    </xdr:to>
    <xdr:sp macro="" textlink="">
      <xdr:nvSpPr>
        <xdr:cNvPr id="165" name="Arc 164">
          <a:extLst>
            <a:ext uri="{FF2B5EF4-FFF2-40B4-BE49-F238E27FC236}">
              <a16:creationId xmlns:a16="http://schemas.microsoft.com/office/drawing/2014/main" id="{6F0ED6D7-C9F0-135B-B612-93D872158A66}"/>
            </a:ext>
          </a:extLst>
        </xdr:cNvPr>
        <xdr:cNvSpPr/>
      </xdr:nvSpPr>
      <xdr:spPr>
        <a:xfrm rot="2344922">
          <a:off x="1332548" y="4519611"/>
          <a:ext cx="152401" cy="156412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5</xdr:col>
      <xdr:colOff>0</xdr:colOff>
      <xdr:row>55</xdr:row>
      <xdr:rowOff>133350</xdr:rowOff>
    </xdr:from>
    <xdr:to>
      <xdr:col>35</xdr:col>
      <xdr:colOff>9525</xdr:colOff>
      <xdr:row>69</xdr:row>
      <xdr:rowOff>133350</xdr:rowOff>
    </xdr:to>
    <xdr:grpSp>
      <xdr:nvGrpSpPr>
        <xdr:cNvPr id="2213113" name="Group 165">
          <a:extLst>
            <a:ext uri="{FF2B5EF4-FFF2-40B4-BE49-F238E27FC236}">
              <a16:creationId xmlns:a16="http://schemas.microsoft.com/office/drawing/2014/main" id="{80583B8B-76F2-AD53-16E7-C52469F6156F}"/>
            </a:ext>
          </a:extLst>
        </xdr:cNvPr>
        <xdr:cNvGrpSpPr>
          <a:grpSpLocks/>
        </xdr:cNvGrpSpPr>
      </xdr:nvGrpSpPr>
      <xdr:grpSpPr bwMode="auto">
        <a:xfrm>
          <a:off x="793750" y="8314267"/>
          <a:ext cx="4772025" cy="2074333"/>
          <a:chOff x="652462" y="6124575"/>
          <a:chExt cx="4872037" cy="2000248"/>
        </a:xfrm>
      </xdr:grpSpPr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A2698D4B-AAD0-2D62-6041-03E79D2D5ABA}"/>
              </a:ext>
            </a:extLst>
          </xdr:cNvPr>
          <xdr:cNvSpPr/>
        </xdr:nvSpPr>
        <xdr:spPr>
          <a:xfrm>
            <a:off x="5190798" y="8010523"/>
            <a:ext cx="333701" cy="1143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DB80ED42-3897-B414-F267-78533F0C932B}"/>
              </a:ext>
            </a:extLst>
          </xdr:cNvPr>
          <xdr:cNvSpPr/>
        </xdr:nvSpPr>
        <xdr:spPr>
          <a:xfrm>
            <a:off x="661996" y="8010523"/>
            <a:ext cx="333701" cy="1143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169" name="Freeform: Shape 168">
            <a:extLst>
              <a:ext uri="{FF2B5EF4-FFF2-40B4-BE49-F238E27FC236}">
                <a16:creationId xmlns:a16="http://schemas.microsoft.com/office/drawing/2014/main" id="{AD50FF38-83BE-785C-2344-50D0DAF2B081}"/>
              </a:ext>
            </a:extLst>
          </xdr:cNvPr>
          <xdr:cNvSpPr/>
        </xdr:nvSpPr>
        <xdr:spPr>
          <a:xfrm>
            <a:off x="814545" y="6124575"/>
            <a:ext cx="4528802" cy="1876423"/>
          </a:xfrm>
          <a:custGeom>
            <a:avLst/>
            <a:gdLst>
              <a:gd name="connsiteX0" fmla="*/ 0 w 4533900"/>
              <a:gd name="connsiteY0" fmla="*/ 1876425 h 1876425"/>
              <a:gd name="connsiteX1" fmla="*/ 0 w 4533900"/>
              <a:gd name="connsiteY1" fmla="*/ 438150 h 1876425"/>
              <a:gd name="connsiteX2" fmla="*/ 2266950 w 4533900"/>
              <a:gd name="connsiteY2" fmla="*/ 0 h 1876425"/>
              <a:gd name="connsiteX3" fmla="*/ 4533900 w 4533900"/>
              <a:gd name="connsiteY3" fmla="*/ 438150 h 1876425"/>
              <a:gd name="connsiteX4" fmla="*/ 4533900 w 4533900"/>
              <a:gd name="connsiteY4" fmla="*/ 1876425 h 1876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33900" h="1876425">
                <a:moveTo>
                  <a:pt x="0" y="1876425"/>
                </a:moveTo>
                <a:lnTo>
                  <a:pt x="0" y="438150"/>
                </a:lnTo>
                <a:lnTo>
                  <a:pt x="2266950" y="0"/>
                </a:lnTo>
                <a:lnTo>
                  <a:pt x="4533900" y="438150"/>
                </a:lnTo>
                <a:lnTo>
                  <a:pt x="4533900" y="1876425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8956454A-02BC-CFD9-917D-44DED63AD304}"/>
              </a:ext>
            </a:extLst>
          </xdr:cNvPr>
          <xdr:cNvCxnSpPr/>
        </xdr:nvCxnSpPr>
        <xdr:spPr>
          <a:xfrm>
            <a:off x="652462" y="8000998"/>
            <a:ext cx="34323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35C0AB26-8250-5990-E123-77C577C4E4AB}"/>
              </a:ext>
            </a:extLst>
          </xdr:cNvPr>
          <xdr:cNvCxnSpPr/>
        </xdr:nvCxnSpPr>
        <xdr:spPr>
          <a:xfrm>
            <a:off x="5181264" y="8000998"/>
            <a:ext cx="34323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17</xdr:col>
      <xdr:colOff>11430</xdr:colOff>
      <xdr:row>55</xdr:row>
      <xdr:rowOff>116205</xdr:rowOff>
    </xdr:from>
    <xdr:to>
      <xdr:col>19</xdr:col>
      <xdr:colOff>154508</xdr:colOff>
      <xdr:row>55</xdr:row>
      <xdr:rowOff>116205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D6975D77-C894-047A-B30A-A2DF40E179BF}"/>
            </a:ext>
          </a:extLst>
        </xdr:cNvPr>
        <xdr:cNvCxnSpPr/>
      </xdr:nvCxnSpPr>
      <xdr:spPr>
        <a:xfrm>
          <a:off x="2602230" y="7376160"/>
          <a:ext cx="43815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</xdr:colOff>
      <xdr:row>58</xdr:row>
      <xdr:rowOff>127635</xdr:rowOff>
    </xdr:from>
    <xdr:to>
      <xdr:col>34</xdr:col>
      <xdr:colOff>9525</xdr:colOff>
      <xdr:row>58</xdr:row>
      <xdr:rowOff>127635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id="{D5AF55FC-B1BE-81B3-364E-E9EE8D54C16B}"/>
            </a:ext>
          </a:extLst>
        </xdr:cNvPr>
        <xdr:cNvCxnSpPr/>
      </xdr:nvCxnSpPr>
      <xdr:spPr>
        <a:xfrm>
          <a:off x="4762500" y="7776210"/>
          <a:ext cx="42862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58</xdr:row>
      <xdr:rowOff>127635</xdr:rowOff>
    </xdr:from>
    <xdr:to>
      <xdr:col>5</xdr:col>
      <xdr:colOff>144888</xdr:colOff>
      <xdr:row>58</xdr:row>
      <xdr:rowOff>127635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739F107B-8755-A161-3BF9-06B59E6A1775}"/>
            </a:ext>
          </a:extLst>
        </xdr:cNvPr>
        <xdr:cNvCxnSpPr/>
      </xdr:nvCxnSpPr>
      <xdr:spPr>
        <a:xfrm>
          <a:off x="466725" y="7776210"/>
          <a:ext cx="430596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122874</xdr:colOff>
      <xdr:row>56</xdr:row>
      <xdr:rowOff>0</xdr:rowOff>
    </xdr:from>
    <xdr:to>
      <xdr:col>36</xdr:col>
      <xdr:colOff>78135</xdr:colOff>
      <xdr:row>56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A6C08773-7250-18AA-003B-433FEA5447DC}"/>
            </a:ext>
          </a:extLst>
        </xdr:cNvPr>
        <xdr:cNvCxnSpPr/>
      </xdr:nvCxnSpPr>
      <xdr:spPr>
        <a:xfrm>
          <a:off x="3313749" y="7399020"/>
          <a:ext cx="22412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55</xdr:row>
      <xdr:rowOff>78105</xdr:rowOff>
    </xdr:from>
    <xdr:to>
      <xdr:col>36</xdr:col>
      <xdr:colOff>0</xdr:colOff>
      <xdr:row>69</xdr:row>
      <xdr:rowOff>44791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F1B77CD0-424B-AC51-CB2F-534BB8B48230}"/>
            </a:ext>
          </a:extLst>
        </xdr:cNvPr>
        <xdr:cNvCxnSpPr/>
      </xdr:nvCxnSpPr>
      <xdr:spPr>
        <a:xfrm>
          <a:off x="5486400" y="7338060"/>
          <a:ext cx="0" cy="17973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120969</xdr:colOff>
      <xdr:row>55</xdr:row>
      <xdr:rowOff>94296</xdr:rowOff>
    </xdr:from>
    <xdr:to>
      <xdr:col>36</xdr:col>
      <xdr:colOff>43055</xdr:colOff>
      <xdr:row>56</xdr:row>
      <xdr:rowOff>43977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6EE9D184-3E2B-9FCD-E3AC-7FFD88833C8B}"/>
            </a:ext>
          </a:extLst>
        </xdr:cNvPr>
        <xdr:cNvCxnSpPr/>
      </xdr:nvCxnSpPr>
      <xdr:spPr>
        <a:xfrm flipH="1">
          <a:off x="5445444" y="7354251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42862</xdr:colOff>
      <xdr:row>68</xdr:row>
      <xdr:rowOff>137159</xdr:rowOff>
    </xdr:from>
    <xdr:to>
      <xdr:col>36</xdr:col>
      <xdr:colOff>78655</xdr:colOff>
      <xdr:row>68</xdr:row>
      <xdr:rowOff>137159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76C1A7D5-CBA7-3D53-BFE8-693595F5B9C3}"/>
            </a:ext>
          </a:extLst>
        </xdr:cNvPr>
        <xdr:cNvCxnSpPr/>
      </xdr:nvCxnSpPr>
      <xdr:spPr>
        <a:xfrm>
          <a:off x="5376862" y="9088754"/>
          <a:ext cx="17830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120966</xdr:colOff>
      <xdr:row>68</xdr:row>
      <xdr:rowOff>94295</xdr:rowOff>
    </xdr:from>
    <xdr:to>
      <xdr:col>36</xdr:col>
      <xdr:colOff>43052</xdr:colOff>
      <xdr:row>69</xdr:row>
      <xdr:rowOff>43976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4939E24-E70A-39A1-7F4D-AD04672ADFD7}"/>
            </a:ext>
          </a:extLst>
        </xdr:cNvPr>
        <xdr:cNvCxnSpPr/>
      </xdr:nvCxnSpPr>
      <xdr:spPr>
        <a:xfrm flipH="1">
          <a:off x="5445441" y="9045890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49529</xdr:colOff>
      <xdr:row>59</xdr:row>
      <xdr:rowOff>0</xdr:rowOff>
    </xdr:from>
    <xdr:to>
      <xdr:col>36</xdr:col>
      <xdr:colOff>78105</xdr:colOff>
      <xdr:row>59</xdr:row>
      <xdr:rowOff>0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FB453A11-8217-569C-7897-7DBD71C97FFE}"/>
            </a:ext>
          </a:extLst>
        </xdr:cNvPr>
        <xdr:cNvCxnSpPr/>
      </xdr:nvCxnSpPr>
      <xdr:spPr>
        <a:xfrm>
          <a:off x="5231129" y="7787640"/>
          <a:ext cx="32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120968</xdr:colOff>
      <xdr:row>58</xdr:row>
      <xdr:rowOff>94296</xdr:rowOff>
    </xdr:from>
    <xdr:to>
      <xdr:col>36</xdr:col>
      <xdr:colOff>43054</xdr:colOff>
      <xdr:row>59</xdr:row>
      <xdr:rowOff>43977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6A291A11-DCB3-DC5F-8407-BCC7D5F7CC63}"/>
            </a:ext>
          </a:extLst>
        </xdr:cNvPr>
        <xdr:cNvCxnSpPr/>
      </xdr:nvCxnSpPr>
      <xdr:spPr>
        <a:xfrm flipH="1">
          <a:off x="5445443" y="7742871"/>
          <a:ext cx="83820" cy="884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</xdr:colOff>
      <xdr:row>70</xdr:row>
      <xdr:rowOff>9525</xdr:rowOff>
    </xdr:from>
    <xdr:to>
      <xdr:col>6</xdr:col>
      <xdr:colOff>1904</xdr:colOff>
      <xdr:row>73</xdr:row>
      <xdr:rowOff>73590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E38C13C5-6680-490E-B56E-21D09A1C303D}"/>
            </a:ext>
          </a:extLst>
        </xdr:cNvPr>
        <xdr:cNvCxnSpPr/>
      </xdr:nvCxnSpPr>
      <xdr:spPr>
        <a:xfrm>
          <a:off x="916304" y="9229725"/>
          <a:ext cx="0" cy="443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</xdr:colOff>
      <xdr:row>71</xdr:row>
      <xdr:rowOff>0</xdr:rowOff>
    </xdr:from>
    <xdr:to>
      <xdr:col>34</xdr:col>
      <xdr:colOff>85724</xdr:colOff>
      <xdr:row>71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96CD9D9E-BE33-400C-14F2-FB8D867C40B7}"/>
            </a:ext>
          </a:extLst>
        </xdr:cNvPr>
        <xdr:cNvCxnSpPr/>
      </xdr:nvCxnSpPr>
      <xdr:spPr>
        <a:xfrm>
          <a:off x="852487" y="9349740"/>
          <a:ext cx="44148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116204</xdr:colOff>
      <xdr:row>70</xdr:row>
      <xdr:rowOff>94297</xdr:rowOff>
    </xdr:from>
    <xdr:to>
      <xdr:col>6</xdr:col>
      <xdr:colOff>43900</xdr:colOff>
      <xdr:row>71</xdr:row>
      <xdr:rowOff>53752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1FF7D91F-F5EE-7C28-C5FF-2CECCC032832}"/>
            </a:ext>
          </a:extLst>
        </xdr:cNvPr>
        <xdr:cNvCxnSpPr/>
      </xdr:nvCxnSpPr>
      <xdr:spPr>
        <a:xfrm flipH="1">
          <a:off x="868679" y="9304972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116204</xdr:colOff>
      <xdr:row>72</xdr:row>
      <xdr:rowOff>89534</xdr:rowOff>
    </xdr:from>
    <xdr:to>
      <xdr:col>6</xdr:col>
      <xdr:colOff>43900</xdr:colOff>
      <xdr:row>73</xdr:row>
      <xdr:rowOff>48989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15B7EBF9-D3D9-BDA2-9003-EC5D5586DAED}"/>
            </a:ext>
          </a:extLst>
        </xdr:cNvPr>
        <xdr:cNvCxnSpPr/>
      </xdr:nvCxnSpPr>
      <xdr:spPr>
        <a:xfrm flipH="1">
          <a:off x="868679" y="9559289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73</xdr:row>
      <xdr:rowOff>0</xdr:rowOff>
    </xdr:from>
    <xdr:to>
      <xdr:col>34</xdr:col>
      <xdr:colOff>82856</xdr:colOff>
      <xdr:row>73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234E373F-6492-1FAB-0EB4-68DFA1ECB7A6}"/>
            </a:ext>
          </a:extLst>
        </xdr:cNvPr>
        <xdr:cNvCxnSpPr/>
      </xdr:nvCxnSpPr>
      <xdr:spPr>
        <a:xfrm>
          <a:off x="847725" y="9608820"/>
          <a:ext cx="44072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1904</xdr:colOff>
      <xdr:row>70</xdr:row>
      <xdr:rowOff>9525</xdr:rowOff>
    </xdr:from>
    <xdr:to>
      <xdr:col>34</xdr:col>
      <xdr:colOff>1904</xdr:colOff>
      <xdr:row>73</xdr:row>
      <xdr:rowOff>73590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C3E65591-62A9-8628-F084-B064E78E5A61}"/>
            </a:ext>
          </a:extLst>
        </xdr:cNvPr>
        <xdr:cNvCxnSpPr/>
      </xdr:nvCxnSpPr>
      <xdr:spPr>
        <a:xfrm>
          <a:off x="5183504" y="9229725"/>
          <a:ext cx="0" cy="443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116204</xdr:colOff>
      <xdr:row>70</xdr:row>
      <xdr:rowOff>94297</xdr:rowOff>
    </xdr:from>
    <xdr:to>
      <xdr:col>34</xdr:col>
      <xdr:colOff>43900</xdr:colOff>
      <xdr:row>71</xdr:row>
      <xdr:rowOff>53752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3CA8B8A5-0F79-CE89-9619-888081246415}"/>
            </a:ext>
          </a:extLst>
        </xdr:cNvPr>
        <xdr:cNvCxnSpPr/>
      </xdr:nvCxnSpPr>
      <xdr:spPr>
        <a:xfrm flipH="1">
          <a:off x="5135879" y="9304972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116204</xdr:colOff>
      <xdr:row>72</xdr:row>
      <xdr:rowOff>89534</xdr:rowOff>
    </xdr:from>
    <xdr:to>
      <xdr:col>34</xdr:col>
      <xdr:colOff>43900</xdr:colOff>
      <xdr:row>73</xdr:row>
      <xdr:rowOff>48989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64EFB1D5-F248-FC84-7693-AEABCE9B5596}"/>
            </a:ext>
          </a:extLst>
        </xdr:cNvPr>
        <xdr:cNvCxnSpPr/>
      </xdr:nvCxnSpPr>
      <xdr:spPr>
        <a:xfrm flipH="1">
          <a:off x="5135879" y="9559289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1904</xdr:colOff>
      <xdr:row>60</xdr:row>
      <xdr:rowOff>11430</xdr:rowOff>
    </xdr:from>
    <xdr:to>
      <xdr:col>20</xdr:col>
      <xdr:colOff>1904</xdr:colOff>
      <xdr:row>71</xdr:row>
      <xdr:rowOff>73428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B30BAB84-1834-87CE-DDBC-C3B8270ECBC0}"/>
            </a:ext>
          </a:extLst>
        </xdr:cNvPr>
        <xdr:cNvCxnSpPr/>
      </xdr:nvCxnSpPr>
      <xdr:spPr>
        <a:xfrm>
          <a:off x="3049904" y="7928610"/>
          <a:ext cx="0" cy="14849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116204</xdr:colOff>
      <xdr:row>70</xdr:row>
      <xdr:rowOff>89535</xdr:rowOff>
    </xdr:from>
    <xdr:to>
      <xdr:col>20</xdr:col>
      <xdr:colOff>43900</xdr:colOff>
      <xdr:row>71</xdr:row>
      <xdr:rowOff>48145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6522D6C2-5DA5-8C7C-250B-90A1C0870157}"/>
            </a:ext>
          </a:extLst>
        </xdr:cNvPr>
        <xdr:cNvCxnSpPr/>
      </xdr:nvCxnSpPr>
      <xdr:spPr>
        <a:xfrm flipH="1">
          <a:off x="3002279" y="9300210"/>
          <a:ext cx="89058" cy="98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28576</xdr:colOff>
      <xdr:row>58</xdr:row>
      <xdr:rowOff>87032</xdr:rowOff>
    </xdr:from>
    <xdr:to>
      <xdr:col>20</xdr:col>
      <xdr:colOff>149580</xdr:colOff>
      <xdr:row>61</xdr:row>
      <xdr:rowOff>119570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F92FB81F-3248-0535-0C42-6DD056D19AB9}"/>
            </a:ext>
          </a:extLst>
        </xdr:cNvPr>
        <xdr:cNvCxnSpPr/>
      </xdr:nvCxnSpPr>
      <xdr:spPr>
        <a:xfrm flipV="1">
          <a:off x="942976" y="7735607"/>
          <a:ext cx="2245052" cy="4211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33338</xdr:colOff>
      <xdr:row>59</xdr:row>
      <xdr:rowOff>30485</xdr:rowOff>
    </xdr:from>
    <xdr:to>
      <xdr:col>6</xdr:col>
      <xdr:colOff>109990</xdr:colOff>
      <xdr:row>62</xdr:row>
      <xdr:rowOff>38179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C24327A3-2C8B-8C01-E01D-DFAC99EE141B}"/>
            </a:ext>
          </a:extLst>
        </xdr:cNvPr>
        <xdr:cNvCxnSpPr/>
      </xdr:nvCxnSpPr>
      <xdr:spPr>
        <a:xfrm flipH="1" flipV="1">
          <a:off x="938213" y="7808600"/>
          <a:ext cx="76652" cy="4057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9526</xdr:colOff>
      <xdr:row>56</xdr:row>
      <xdr:rowOff>11436</xdr:rowOff>
    </xdr:from>
    <xdr:to>
      <xdr:col>20</xdr:col>
      <xdr:colOff>87598</xdr:colOff>
      <xdr:row>59</xdr:row>
      <xdr:rowOff>30695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2F91964E-0236-5B4A-8229-7771420A6E6C}"/>
            </a:ext>
          </a:extLst>
        </xdr:cNvPr>
        <xdr:cNvCxnSpPr/>
      </xdr:nvCxnSpPr>
      <xdr:spPr>
        <a:xfrm flipH="1" flipV="1">
          <a:off x="3057526" y="7410456"/>
          <a:ext cx="78072" cy="3981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33338</xdr:colOff>
      <xdr:row>57</xdr:row>
      <xdr:rowOff>130815</xdr:rowOff>
    </xdr:from>
    <xdr:to>
      <xdr:col>33</xdr:col>
      <xdr:colOff>144759</xdr:colOff>
      <xdr:row>61</xdr:row>
      <xdr:rowOff>9067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5DA9C344-D520-719F-189F-4744837C4DD3}"/>
            </a:ext>
          </a:extLst>
        </xdr:cNvPr>
        <xdr:cNvCxnSpPr/>
      </xdr:nvCxnSpPr>
      <xdr:spPr>
        <a:xfrm>
          <a:off x="2928938" y="7649850"/>
          <a:ext cx="2235508" cy="4059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87016</xdr:colOff>
      <xdr:row>56</xdr:row>
      <xdr:rowOff>6669</xdr:rowOff>
    </xdr:from>
    <xdr:to>
      <xdr:col>20</xdr:col>
      <xdr:colOff>963</xdr:colOff>
      <xdr:row>58</xdr:row>
      <xdr:rowOff>78239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8A874A-BDC8-7414-8568-304516A9BBA7}"/>
            </a:ext>
          </a:extLst>
        </xdr:cNvPr>
        <xdr:cNvCxnSpPr/>
      </xdr:nvCxnSpPr>
      <xdr:spPr>
        <a:xfrm flipH="1">
          <a:off x="2982616" y="7405689"/>
          <a:ext cx="66347" cy="3209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85112</xdr:colOff>
      <xdr:row>59</xdr:row>
      <xdr:rowOff>30482</xdr:rowOff>
    </xdr:from>
    <xdr:to>
      <xdr:col>33</xdr:col>
      <xdr:colOff>155194</xdr:colOff>
      <xdr:row>61</xdr:row>
      <xdr:rowOff>84930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8F39770E-B7B7-8736-75A5-30131A98F4F1}"/>
            </a:ext>
          </a:extLst>
        </xdr:cNvPr>
        <xdr:cNvCxnSpPr/>
      </xdr:nvCxnSpPr>
      <xdr:spPr>
        <a:xfrm flipH="1">
          <a:off x="5114312" y="7808597"/>
          <a:ext cx="60070" cy="313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</xdr:colOff>
      <xdr:row>61</xdr:row>
      <xdr:rowOff>49530</xdr:rowOff>
    </xdr:from>
    <xdr:to>
      <xdr:col>6</xdr:col>
      <xdr:colOff>125729</xdr:colOff>
      <xdr:row>62</xdr:row>
      <xdr:rowOff>11430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8FE96B92-DFB4-530B-232B-13B860EF8F56}"/>
            </a:ext>
          </a:extLst>
        </xdr:cNvPr>
        <xdr:cNvCxnSpPr/>
      </xdr:nvCxnSpPr>
      <xdr:spPr>
        <a:xfrm flipH="1">
          <a:off x="963929" y="8096250"/>
          <a:ext cx="66675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58</xdr:row>
      <xdr:rowOff>47625</xdr:rowOff>
    </xdr:from>
    <xdr:to>
      <xdr:col>20</xdr:col>
      <xdr:colOff>116770</xdr:colOff>
      <xdr:row>59</xdr:row>
      <xdr:rowOff>9525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63135D63-0881-DD55-88D2-653B9B27BB07}"/>
            </a:ext>
          </a:extLst>
        </xdr:cNvPr>
        <xdr:cNvCxnSpPr/>
      </xdr:nvCxnSpPr>
      <xdr:spPr>
        <a:xfrm flipH="1">
          <a:off x="3095625" y="7705725"/>
          <a:ext cx="59267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54292</xdr:colOff>
      <xdr:row>57</xdr:row>
      <xdr:rowOff>116205</xdr:rowOff>
    </xdr:from>
    <xdr:to>
      <xdr:col>19</xdr:col>
      <xdr:colOff>154833</xdr:colOff>
      <xdr:row>58</xdr:row>
      <xdr:rowOff>42183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D072390B-940A-EBE3-0392-AAEA9085733C}"/>
            </a:ext>
          </a:extLst>
        </xdr:cNvPr>
        <xdr:cNvCxnSpPr/>
      </xdr:nvCxnSpPr>
      <xdr:spPr>
        <a:xfrm flipH="1">
          <a:off x="2949892" y="7635240"/>
          <a:ext cx="90487" cy="5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49531</xdr:colOff>
      <xdr:row>60</xdr:row>
      <xdr:rowOff>120967</xdr:rowOff>
    </xdr:from>
    <xdr:to>
      <xdr:col>33</xdr:col>
      <xdr:colOff>151329</xdr:colOff>
      <xdr:row>61</xdr:row>
      <xdr:rowOff>37109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E55F5453-0251-9FD2-BBD2-27BCBDA27A81}"/>
            </a:ext>
          </a:extLst>
        </xdr:cNvPr>
        <xdr:cNvCxnSpPr/>
      </xdr:nvCxnSpPr>
      <xdr:spPr>
        <a:xfrm flipH="1">
          <a:off x="5078731" y="8028622"/>
          <a:ext cx="90487" cy="5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14286</xdr:colOff>
      <xdr:row>59</xdr:row>
      <xdr:rowOff>9526</xdr:rowOff>
    </xdr:from>
    <xdr:to>
      <xdr:col>11</xdr:col>
      <xdr:colOff>14287</xdr:colOff>
      <xdr:row>59</xdr:row>
      <xdr:rowOff>9526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107586AF-0244-887D-25D9-AEEF6A8C2926}"/>
            </a:ext>
          </a:extLst>
        </xdr:cNvPr>
        <xdr:cNvCxnSpPr/>
      </xdr:nvCxnSpPr>
      <xdr:spPr>
        <a:xfrm>
          <a:off x="928686" y="7797166"/>
          <a:ext cx="7620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130492</xdr:colOff>
      <xdr:row>58</xdr:row>
      <xdr:rowOff>16191</xdr:rowOff>
    </xdr:from>
    <xdr:to>
      <xdr:col>9</xdr:col>
      <xdr:colOff>123566</xdr:colOff>
      <xdr:row>59</xdr:row>
      <xdr:rowOff>43063</xdr:rowOff>
    </xdr:to>
    <xdr:sp macro="" textlink="">
      <xdr:nvSpPr>
        <xdr:cNvPr id="203" name="Arc 202">
          <a:extLst>
            <a:ext uri="{FF2B5EF4-FFF2-40B4-BE49-F238E27FC236}">
              <a16:creationId xmlns:a16="http://schemas.microsoft.com/office/drawing/2014/main" id="{D275EC89-03F3-557A-C9AE-EAC3B9DCD362}"/>
            </a:ext>
          </a:extLst>
        </xdr:cNvPr>
        <xdr:cNvSpPr/>
      </xdr:nvSpPr>
      <xdr:spPr>
        <a:xfrm rot="2344922">
          <a:off x="1340167" y="7674291"/>
          <a:ext cx="145474" cy="156412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95</xdr:row>
      <xdr:rowOff>19050</xdr:rowOff>
    </xdr:from>
    <xdr:to>
      <xdr:col>20</xdr:col>
      <xdr:colOff>104775</xdr:colOff>
      <xdr:row>108</xdr:row>
      <xdr:rowOff>85725</xdr:rowOff>
    </xdr:to>
    <xdr:graphicFrame macro="">
      <xdr:nvGraphicFramePr>
        <xdr:cNvPr id="9075" name="Grafik 2">
          <a:extLst>
            <a:ext uri="{FF2B5EF4-FFF2-40B4-BE49-F238E27FC236}">
              <a16:creationId xmlns:a16="http://schemas.microsoft.com/office/drawing/2014/main" id="{E094CC6B-C959-7590-F288-BC8D5FFD3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95</xdr:row>
      <xdr:rowOff>9525</xdr:rowOff>
    </xdr:from>
    <xdr:to>
      <xdr:col>28</xdr:col>
      <xdr:colOff>171450</xdr:colOff>
      <xdr:row>108</xdr:row>
      <xdr:rowOff>57150</xdr:rowOff>
    </xdr:to>
    <xdr:graphicFrame macro="">
      <xdr:nvGraphicFramePr>
        <xdr:cNvPr id="9076" name="Grafik 3">
          <a:extLst>
            <a:ext uri="{FF2B5EF4-FFF2-40B4-BE49-F238E27FC236}">
              <a16:creationId xmlns:a16="http://schemas.microsoft.com/office/drawing/2014/main" id="{6548D167-F9C3-9375-D5FB-9849EEA0B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94</xdr:row>
      <xdr:rowOff>133350</xdr:rowOff>
    </xdr:from>
    <xdr:to>
      <xdr:col>36</xdr:col>
      <xdr:colOff>171450</xdr:colOff>
      <xdr:row>108</xdr:row>
      <xdr:rowOff>57150</xdr:rowOff>
    </xdr:to>
    <xdr:graphicFrame macro="">
      <xdr:nvGraphicFramePr>
        <xdr:cNvPr id="9077" name="Grafik 4">
          <a:extLst>
            <a:ext uri="{FF2B5EF4-FFF2-40B4-BE49-F238E27FC236}">
              <a16:creationId xmlns:a16="http://schemas.microsoft.com/office/drawing/2014/main" id="{A8D4E1C5-00C2-89E4-3B64-CDB73D524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171450</xdr:colOff>
      <xdr:row>121</xdr:row>
      <xdr:rowOff>19050</xdr:rowOff>
    </xdr:from>
    <xdr:to>
      <xdr:col>20</xdr:col>
      <xdr:colOff>104775</xdr:colOff>
      <xdr:row>134</xdr:row>
      <xdr:rowOff>85725</xdr:rowOff>
    </xdr:to>
    <xdr:graphicFrame macro="">
      <xdr:nvGraphicFramePr>
        <xdr:cNvPr id="9078" name="Grafik 5">
          <a:extLst>
            <a:ext uri="{FF2B5EF4-FFF2-40B4-BE49-F238E27FC236}">
              <a16:creationId xmlns:a16="http://schemas.microsoft.com/office/drawing/2014/main" id="{35C455E6-467C-B381-357E-075A6313D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121</xdr:row>
      <xdr:rowOff>9525</xdr:rowOff>
    </xdr:from>
    <xdr:to>
      <xdr:col>28</xdr:col>
      <xdr:colOff>171450</xdr:colOff>
      <xdr:row>134</xdr:row>
      <xdr:rowOff>57150</xdr:rowOff>
    </xdr:to>
    <xdr:graphicFrame macro="">
      <xdr:nvGraphicFramePr>
        <xdr:cNvPr id="9079" name="Grafik 6">
          <a:extLst>
            <a:ext uri="{FF2B5EF4-FFF2-40B4-BE49-F238E27FC236}">
              <a16:creationId xmlns:a16="http://schemas.microsoft.com/office/drawing/2014/main" id="{501D442E-3DB0-6C2E-20D1-2DD969918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120</xdr:row>
      <xdr:rowOff>133350</xdr:rowOff>
    </xdr:from>
    <xdr:to>
      <xdr:col>36</xdr:col>
      <xdr:colOff>171450</xdr:colOff>
      <xdr:row>134</xdr:row>
      <xdr:rowOff>57150</xdr:rowOff>
    </xdr:to>
    <xdr:graphicFrame macro="">
      <xdr:nvGraphicFramePr>
        <xdr:cNvPr id="9080" name="Grafik 7">
          <a:extLst>
            <a:ext uri="{FF2B5EF4-FFF2-40B4-BE49-F238E27FC236}">
              <a16:creationId xmlns:a16="http://schemas.microsoft.com/office/drawing/2014/main" id="{9CD5D496-7068-BAF1-B365-5D6CB09B5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171450</xdr:colOff>
      <xdr:row>146</xdr:row>
      <xdr:rowOff>19050</xdr:rowOff>
    </xdr:from>
    <xdr:to>
      <xdr:col>20</xdr:col>
      <xdr:colOff>104775</xdr:colOff>
      <xdr:row>159</xdr:row>
      <xdr:rowOff>85725</xdr:rowOff>
    </xdr:to>
    <xdr:graphicFrame macro="">
      <xdr:nvGraphicFramePr>
        <xdr:cNvPr id="9081" name="Grafik 8">
          <a:extLst>
            <a:ext uri="{FF2B5EF4-FFF2-40B4-BE49-F238E27FC236}">
              <a16:creationId xmlns:a16="http://schemas.microsoft.com/office/drawing/2014/main" id="{39F4E4D1-C35C-6173-B33D-8C76007EA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146</xdr:row>
      <xdr:rowOff>9525</xdr:rowOff>
    </xdr:from>
    <xdr:to>
      <xdr:col>28</xdr:col>
      <xdr:colOff>171450</xdr:colOff>
      <xdr:row>159</xdr:row>
      <xdr:rowOff>57150</xdr:rowOff>
    </xdr:to>
    <xdr:graphicFrame macro="">
      <xdr:nvGraphicFramePr>
        <xdr:cNvPr id="9082" name="Grafik 9">
          <a:extLst>
            <a:ext uri="{FF2B5EF4-FFF2-40B4-BE49-F238E27FC236}">
              <a16:creationId xmlns:a16="http://schemas.microsoft.com/office/drawing/2014/main" id="{273D233B-99A1-01E1-21C5-98AEB214A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145</xdr:row>
      <xdr:rowOff>133350</xdr:rowOff>
    </xdr:from>
    <xdr:to>
      <xdr:col>36</xdr:col>
      <xdr:colOff>171450</xdr:colOff>
      <xdr:row>159</xdr:row>
      <xdr:rowOff>57150</xdr:rowOff>
    </xdr:to>
    <xdr:graphicFrame macro="">
      <xdr:nvGraphicFramePr>
        <xdr:cNvPr id="9083" name="Grafik 10">
          <a:extLst>
            <a:ext uri="{FF2B5EF4-FFF2-40B4-BE49-F238E27FC236}">
              <a16:creationId xmlns:a16="http://schemas.microsoft.com/office/drawing/2014/main" id="{DC0090FF-83E2-6A95-7EE4-DDA165540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171</xdr:row>
      <xdr:rowOff>19050</xdr:rowOff>
    </xdr:from>
    <xdr:to>
      <xdr:col>20</xdr:col>
      <xdr:colOff>104775</xdr:colOff>
      <xdr:row>184</xdr:row>
      <xdr:rowOff>85725</xdr:rowOff>
    </xdr:to>
    <xdr:graphicFrame macro="">
      <xdr:nvGraphicFramePr>
        <xdr:cNvPr id="9084" name="Grafik 11">
          <a:extLst>
            <a:ext uri="{FF2B5EF4-FFF2-40B4-BE49-F238E27FC236}">
              <a16:creationId xmlns:a16="http://schemas.microsoft.com/office/drawing/2014/main" id="{B5B4292D-6959-9A62-04DD-55ECCA861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171</xdr:row>
      <xdr:rowOff>9525</xdr:rowOff>
    </xdr:from>
    <xdr:to>
      <xdr:col>28</xdr:col>
      <xdr:colOff>171450</xdr:colOff>
      <xdr:row>184</xdr:row>
      <xdr:rowOff>57150</xdr:rowOff>
    </xdr:to>
    <xdr:graphicFrame macro="">
      <xdr:nvGraphicFramePr>
        <xdr:cNvPr id="9085" name="Grafik 12">
          <a:extLst>
            <a:ext uri="{FF2B5EF4-FFF2-40B4-BE49-F238E27FC236}">
              <a16:creationId xmlns:a16="http://schemas.microsoft.com/office/drawing/2014/main" id="{ACC8D605-4D06-0BE7-798B-112722F7B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170</xdr:row>
      <xdr:rowOff>133350</xdr:rowOff>
    </xdr:from>
    <xdr:to>
      <xdr:col>36</xdr:col>
      <xdr:colOff>171450</xdr:colOff>
      <xdr:row>184</xdr:row>
      <xdr:rowOff>57150</xdr:rowOff>
    </xdr:to>
    <xdr:graphicFrame macro="">
      <xdr:nvGraphicFramePr>
        <xdr:cNvPr id="9086" name="Grafik 13">
          <a:extLst>
            <a:ext uri="{FF2B5EF4-FFF2-40B4-BE49-F238E27FC236}">
              <a16:creationId xmlns:a16="http://schemas.microsoft.com/office/drawing/2014/main" id="{540E2908-96E9-CC27-36FF-D740AA80D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95</xdr:row>
      <xdr:rowOff>19050</xdr:rowOff>
    </xdr:from>
    <xdr:to>
      <xdr:col>20</xdr:col>
      <xdr:colOff>104775</xdr:colOff>
      <xdr:row>108</xdr:row>
      <xdr:rowOff>85725</xdr:rowOff>
    </xdr:to>
    <xdr:graphicFrame macro="">
      <xdr:nvGraphicFramePr>
        <xdr:cNvPr id="206521" name="Grafik 2">
          <a:extLst>
            <a:ext uri="{FF2B5EF4-FFF2-40B4-BE49-F238E27FC236}">
              <a16:creationId xmlns:a16="http://schemas.microsoft.com/office/drawing/2014/main" id="{D385DA21-35DB-98F7-DD06-9BCD9A72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95</xdr:row>
      <xdr:rowOff>9525</xdr:rowOff>
    </xdr:from>
    <xdr:to>
      <xdr:col>28</xdr:col>
      <xdr:colOff>171450</xdr:colOff>
      <xdr:row>108</xdr:row>
      <xdr:rowOff>57150</xdr:rowOff>
    </xdr:to>
    <xdr:graphicFrame macro="">
      <xdr:nvGraphicFramePr>
        <xdr:cNvPr id="206522" name="Grafik 3">
          <a:extLst>
            <a:ext uri="{FF2B5EF4-FFF2-40B4-BE49-F238E27FC236}">
              <a16:creationId xmlns:a16="http://schemas.microsoft.com/office/drawing/2014/main" id="{B7E64202-D863-7F78-797E-411DF595C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94</xdr:row>
      <xdr:rowOff>133350</xdr:rowOff>
    </xdr:from>
    <xdr:to>
      <xdr:col>36</xdr:col>
      <xdr:colOff>171450</xdr:colOff>
      <xdr:row>108</xdr:row>
      <xdr:rowOff>57150</xdr:rowOff>
    </xdr:to>
    <xdr:graphicFrame macro="">
      <xdr:nvGraphicFramePr>
        <xdr:cNvPr id="206523" name="Grafik 4">
          <a:extLst>
            <a:ext uri="{FF2B5EF4-FFF2-40B4-BE49-F238E27FC236}">
              <a16:creationId xmlns:a16="http://schemas.microsoft.com/office/drawing/2014/main" id="{29D7DFB4-1018-CDCA-0987-0985AAB2E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146</xdr:row>
      <xdr:rowOff>114300</xdr:rowOff>
    </xdr:from>
    <xdr:to>
      <xdr:col>24</xdr:col>
      <xdr:colOff>200025</xdr:colOff>
      <xdr:row>160</xdr:row>
      <xdr:rowOff>28575</xdr:rowOff>
    </xdr:to>
    <xdr:graphicFrame macro="">
      <xdr:nvGraphicFramePr>
        <xdr:cNvPr id="206524" name="Grafik 5">
          <a:extLst>
            <a:ext uri="{FF2B5EF4-FFF2-40B4-BE49-F238E27FC236}">
              <a16:creationId xmlns:a16="http://schemas.microsoft.com/office/drawing/2014/main" id="{7B70BF4D-CD36-D373-7210-C2133703F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266700</xdr:colOff>
      <xdr:row>146</xdr:row>
      <xdr:rowOff>104775</xdr:rowOff>
    </xdr:from>
    <xdr:to>
      <xdr:col>31</xdr:col>
      <xdr:colOff>438150</xdr:colOff>
      <xdr:row>160</xdr:row>
      <xdr:rowOff>0</xdr:rowOff>
    </xdr:to>
    <xdr:graphicFrame macro="">
      <xdr:nvGraphicFramePr>
        <xdr:cNvPr id="206525" name="Grafik 6">
          <a:extLst>
            <a:ext uri="{FF2B5EF4-FFF2-40B4-BE49-F238E27FC236}">
              <a16:creationId xmlns:a16="http://schemas.microsoft.com/office/drawing/2014/main" id="{CDF47D25-BB36-FA49-2B6D-5444EA03C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19050</xdr:colOff>
      <xdr:row>146</xdr:row>
      <xdr:rowOff>114300</xdr:rowOff>
    </xdr:from>
    <xdr:to>
      <xdr:col>39</xdr:col>
      <xdr:colOff>190500</xdr:colOff>
      <xdr:row>160</xdr:row>
      <xdr:rowOff>38100</xdr:rowOff>
    </xdr:to>
    <xdr:graphicFrame macro="">
      <xdr:nvGraphicFramePr>
        <xdr:cNvPr id="206526" name="Grafik 7">
          <a:extLst>
            <a:ext uri="{FF2B5EF4-FFF2-40B4-BE49-F238E27FC236}">
              <a16:creationId xmlns:a16="http://schemas.microsoft.com/office/drawing/2014/main" id="{939A05B5-A11C-1338-3A25-9D4757B41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133350</xdr:colOff>
      <xdr:row>193</xdr:row>
      <xdr:rowOff>57150</xdr:rowOff>
    </xdr:from>
    <xdr:to>
      <xdr:col>22</xdr:col>
      <xdr:colOff>285750</xdr:colOff>
      <xdr:row>206</xdr:row>
      <xdr:rowOff>123825</xdr:rowOff>
    </xdr:to>
    <xdr:graphicFrame macro="">
      <xdr:nvGraphicFramePr>
        <xdr:cNvPr id="206527" name="Grafik 8">
          <a:extLst>
            <a:ext uri="{FF2B5EF4-FFF2-40B4-BE49-F238E27FC236}">
              <a16:creationId xmlns:a16="http://schemas.microsoft.com/office/drawing/2014/main" id="{F975E2ED-3855-9C42-C6F5-2EE9866B0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304800</xdr:colOff>
      <xdr:row>193</xdr:row>
      <xdr:rowOff>76200</xdr:rowOff>
    </xdr:from>
    <xdr:to>
      <xdr:col>29</xdr:col>
      <xdr:colOff>476250</xdr:colOff>
      <xdr:row>206</xdr:row>
      <xdr:rowOff>123825</xdr:rowOff>
    </xdr:to>
    <xdr:graphicFrame macro="">
      <xdr:nvGraphicFramePr>
        <xdr:cNvPr id="206528" name="Grafik 9">
          <a:extLst>
            <a:ext uri="{FF2B5EF4-FFF2-40B4-BE49-F238E27FC236}">
              <a16:creationId xmlns:a16="http://schemas.microsoft.com/office/drawing/2014/main" id="{ACBFF951-C2C6-B783-8823-2DC704081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504825</xdr:colOff>
      <xdr:row>193</xdr:row>
      <xdr:rowOff>57150</xdr:rowOff>
    </xdr:from>
    <xdr:to>
      <xdr:col>37</xdr:col>
      <xdr:colOff>152400</xdr:colOff>
      <xdr:row>206</xdr:row>
      <xdr:rowOff>133350</xdr:rowOff>
    </xdr:to>
    <xdr:graphicFrame macro="">
      <xdr:nvGraphicFramePr>
        <xdr:cNvPr id="206529" name="Grafik 10">
          <a:extLst>
            <a:ext uri="{FF2B5EF4-FFF2-40B4-BE49-F238E27FC236}">
              <a16:creationId xmlns:a16="http://schemas.microsoft.com/office/drawing/2014/main" id="{1F439349-DDE9-E413-A4FD-62A3787F7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222</xdr:row>
      <xdr:rowOff>19050</xdr:rowOff>
    </xdr:from>
    <xdr:to>
      <xdr:col>20</xdr:col>
      <xdr:colOff>104775</xdr:colOff>
      <xdr:row>235</xdr:row>
      <xdr:rowOff>85725</xdr:rowOff>
    </xdr:to>
    <xdr:graphicFrame macro="">
      <xdr:nvGraphicFramePr>
        <xdr:cNvPr id="206530" name="Grafik 11">
          <a:extLst>
            <a:ext uri="{FF2B5EF4-FFF2-40B4-BE49-F238E27FC236}">
              <a16:creationId xmlns:a16="http://schemas.microsoft.com/office/drawing/2014/main" id="{3E8D0609-CAD8-3E58-0592-6F02F1767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222</xdr:row>
      <xdr:rowOff>9525</xdr:rowOff>
    </xdr:from>
    <xdr:to>
      <xdr:col>28</xdr:col>
      <xdr:colOff>171450</xdr:colOff>
      <xdr:row>235</xdr:row>
      <xdr:rowOff>57150</xdr:rowOff>
    </xdr:to>
    <xdr:graphicFrame macro="">
      <xdr:nvGraphicFramePr>
        <xdr:cNvPr id="206531" name="Grafik 12">
          <a:extLst>
            <a:ext uri="{FF2B5EF4-FFF2-40B4-BE49-F238E27FC236}">
              <a16:creationId xmlns:a16="http://schemas.microsoft.com/office/drawing/2014/main" id="{9D429FF8-03E2-B553-ADA6-872C031F7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221</xdr:row>
      <xdr:rowOff>133350</xdr:rowOff>
    </xdr:from>
    <xdr:to>
      <xdr:col>36</xdr:col>
      <xdr:colOff>171450</xdr:colOff>
      <xdr:row>235</xdr:row>
      <xdr:rowOff>57150</xdr:rowOff>
    </xdr:to>
    <xdr:graphicFrame macro="">
      <xdr:nvGraphicFramePr>
        <xdr:cNvPr id="206532" name="Grafik 13">
          <a:extLst>
            <a:ext uri="{FF2B5EF4-FFF2-40B4-BE49-F238E27FC236}">
              <a16:creationId xmlns:a16="http://schemas.microsoft.com/office/drawing/2014/main" id="{0A0ECBE0-E76D-753F-E8CF-3A1F5D03A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116</xdr:row>
      <xdr:rowOff>47625</xdr:rowOff>
    </xdr:from>
    <xdr:to>
      <xdr:col>24</xdr:col>
      <xdr:colOff>219075</xdr:colOff>
      <xdr:row>129</xdr:row>
      <xdr:rowOff>114300</xdr:rowOff>
    </xdr:to>
    <xdr:graphicFrame macro="">
      <xdr:nvGraphicFramePr>
        <xdr:cNvPr id="457281" name="Grafik 2">
          <a:extLst>
            <a:ext uri="{FF2B5EF4-FFF2-40B4-BE49-F238E27FC236}">
              <a16:creationId xmlns:a16="http://schemas.microsoft.com/office/drawing/2014/main" id="{7F838C7C-3C40-02C5-50F0-A4B980F6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114300</xdr:colOff>
      <xdr:row>116</xdr:row>
      <xdr:rowOff>38100</xdr:rowOff>
    </xdr:from>
    <xdr:to>
      <xdr:col>32</xdr:col>
      <xdr:colOff>285750</xdr:colOff>
      <xdr:row>129</xdr:row>
      <xdr:rowOff>85725</xdr:rowOff>
    </xdr:to>
    <xdr:graphicFrame macro="">
      <xdr:nvGraphicFramePr>
        <xdr:cNvPr id="457282" name="Grafik 3">
          <a:extLst>
            <a:ext uri="{FF2B5EF4-FFF2-40B4-BE49-F238E27FC236}">
              <a16:creationId xmlns:a16="http://schemas.microsoft.com/office/drawing/2014/main" id="{5A548918-808D-3988-BEB9-CC4D5347E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114300</xdr:colOff>
      <xdr:row>116</xdr:row>
      <xdr:rowOff>19050</xdr:rowOff>
    </xdr:from>
    <xdr:to>
      <xdr:col>40</xdr:col>
      <xdr:colOff>285750</xdr:colOff>
      <xdr:row>129</xdr:row>
      <xdr:rowOff>85725</xdr:rowOff>
    </xdr:to>
    <xdr:graphicFrame macro="">
      <xdr:nvGraphicFramePr>
        <xdr:cNvPr id="457283" name="Grafik 4">
          <a:extLst>
            <a:ext uri="{FF2B5EF4-FFF2-40B4-BE49-F238E27FC236}">
              <a16:creationId xmlns:a16="http://schemas.microsoft.com/office/drawing/2014/main" id="{EA591182-7295-EC4E-4AF4-5952AC95D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</xdr:colOff>
      <xdr:row>162</xdr:row>
      <xdr:rowOff>114300</xdr:rowOff>
    </xdr:from>
    <xdr:to>
      <xdr:col>24</xdr:col>
      <xdr:colOff>200025</xdr:colOff>
      <xdr:row>176</xdr:row>
      <xdr:rowOff>28575</xdr:rowOff>
    </xdr:to>
    <xdr:graphicFrame macro="">
      <xdr:nvGraphicFramePr>
        <xdr:cNvPr id="457284" name="Grafik 5">
          <a:extLst>
            <a:ext uri="{FF2B5EF4-FFF2-40B4-BE49-F238E27FC236}">
              <a16:creationId xmlns:a16="http://schemas.microsoft.com/office/drawing/2014/main" id="{56A8B9F1-BC1D-414E-76EE-E8E736EC8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266700</xdr:colOff>
      <xdr:row>162</xdr:row>
      <xdr:rowOff>104775</xdr:rowOff>
    </xdr:from>
    <xdr:to>
      <xdr:col>31</xdr:col>
      <xdr:colOff>438150</xdr:colOff>
      <xdr:row>176</xdr:row>
      <xdr:rowOff>0</xdr:rowOff>
    </xdr:to>
    <xdr:graphicFrame macro="">
      <xdr:nvGraphicFramePr>
        <xdr:cNvPr id="457285" name="Grafik 6">
          <a:extLst>
            <a:ext uri="{FF2B5EF4-FFF2-40B4-BE49-F238E27FC236}">
              <a16:creationId xmlns:a16="http://schemas.microsoft.com/office/drawing/2014/main" id="{26209D2F-CADC-EC7C-ECFB-57486CBF8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19050</xdr:colOff>
      <xdr:row>162</xdr:row>
      <xdr:rowOff>114300</xdr:rowOff>
    </xdr:from>
    <xdr:to>
      <xdr:col>39</xdr:col>
      <xdr:colOff>190500</xdr:colOff>
      <xdr:row>176</xdr:row>
      <xdr:rowOff>38100</xdr:rowOff>
    </xdr:to>
    <xdr:graphicFrame macro="">
      <xdr:nvGraphicFramePr>
        <xdr:cNvPr id="457286" name="Grafik 7">
          <a:extLst>
            <a:ext uri="{FF2B5EF4-FFF2-40B4-BE49-F238E27FC236}">
              <a16:creationId xmlns:a16="http://schemas.microsoft.com/office/drawing/2014/main" id="{87737814-6E12-74AE-276D-5105DD879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133350</xdr:colOff>
      <xdr:row>202</xdr:row>
      <xdr:rowOff>0</xdr:rowOff>
    </xdr:from>
    <xdr:to>
      <xdr:col>22</xdr:col>
      <xdr:colOff>285750</xdr:colOff>
      <xdr:row>213</xdr:row>
      <xdr:rowOff>123825</xdr:rowOff>
    </xdr:to>
    <xdr:graphicFrame macro="">
      <xdr:nvGraphicFramePr>
        <xdr:cNvPr id="457287" name="Grafik 8">
          <a:extLst>
            <a:ext uri="{FF2B5EF4-FFF2-40B4-BE49-F238E27FC236}">
              <a16:creationId xmlns:a16="http://schemas.microsoft.com/office/drawing/2014/main" id="{58A2EB09-D236-BA0C-3708-E8584004B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304800</xdr:colOff>
      <xdr:row>202</xdr:row>
      <xdr:rowOff>0</xdr:rowOff>
    </xdr:from>
    <xdr:to>
      <xdr:col>29</xdr:col>
      <xdr:colOff>476250</xdr:colOff>
      <xdr:row>213</xdr:row>
      <xdr:rowOff>123825</xdr:rowOff>
    </xdr:to>
    <xdr:graphicFrame macro="">
      <xdr:nvGraphicFramePr>
        <xdr:cNvPr id="457288" name="Grafik 9">
          <a:extLst>
            <a:ext uri="{FF2B5EF4-FFF2-40B4-BE49-F238E27FC236}">
              <a16:creationId xmlns:a16="http://schemas.microsoft.com/office/drawing/2014/main" id="{3BE314AB-BBA2-FB3B-C8C2-32F5DA02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504825</xdr:colOff>
      <xdr:row>202</xdr:row>
      <xdr:rowOff>0</xdr:rowOff>
    </xdr:from>
    <xdr:to>
      <xdr:col>37</xdr:col>
      <xdr:colOff>152400</xdr:colOff>
      <xdr:row>213</xdr:row>
      <xdr:rowOff>133350</xdr:rowOff>
    </xdr:to>
    <xdr:graphicFrame macro="">
      <xdr:nvGraphicFramePr>
        <xdr:cNvPr id="457289" name="Grafik 10">
          <a:extLst>
            <a:ext uri="{FF2B5EF4-FFF2-40B4-BE49-F238E27FC236}">
              <a16:creationId xmlns:a16="http://schemas.microsoft.com/office/drawing/2014/main" id="{381D61DE-551B-C526-C3E1-52FD1F8CF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171450</xdr:colOff>
      <xdr:row>246</xdr:row>
      <xdr:rowOff>123825</xdr:rowOff>
    </xdr:from>
    <xdr:to>
      <xdr:col>22</xdr:col>
      <xdr:colOff>323850</xdr:colOff>
      <xdr:row>260</xdr:row>
      <xdr:rowOff>47625</xdr:rowOff>
    </xdr:to>
    <xdr:graphicFrame macro="">
      <xdr:nvGraphicFramePr>
        <xdr:cNvPr id="457290" name="Grafik 11">
          <a:extLst>
            <a:ext uri="{FF2B5EF4-FFF2-40B4-BE49-F238E27FC236}">
              <a16:creationId xmlns:a16="http://schemas.microsoft.com/office/drawing/2014/main" id="{2DCBB09D-68FA-A77A-C1CB-92169471A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219075</xdr:colOff>
      <xdr:row>246</xdr:row>
      <xdr:rowOff>114300</xdr:rowOff>
    </xdr:from>
    <xdr:to>
      <xdr:col>30</xdr:col>
      <xdr:colOff>390525</xdr:colOff>
      <xdr:row>260</xdr:row>
      <xdr:rowOff>19050</xdr:rowOff>
    </xdr:to>
    <xdr:graphicFrame macro="">
      <xdr:nvGraphicFramePr>
        <xdr:cNvPr id="457291" name="Grafik 12">
          <a:extLst>
            <a:ext uri="{FF2B5EF4-FFF2-40B4-BE49-F238E27FC236}">
              <a16:creationId xmlns:a16="http://schemas.microsoft.com/office/drawing/2014/main" id="{1EDB2C8F-1C1A-0B8B-FA2D-710EC4E8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219075</xdr:colOff>
      <xdr:row>246</xdr:row>
      <xdr:rowOff>95250</xdr:rowOff>
    </xdr:from>
    <xdr:to>
      <xdr:col>38</xdr:col>
      <xdr:colOff>390525</xdr:colOff>
      <xdr:row>260</xdr:row>
      <xdr:rowOff>19050</xdr:rowOff>
    </xdr:to>
    <xdr:graphicFrame macro="">
      <xdr:nvGraphicFramePr>
        <xdr:cNvPr id="457292" name="Grafik 13">
          <a:extLst>
            <a:ext uri="{FF2B5EF4-FFF2-40B4-BE49-F238E27FC236}">
              <a16:creationId xmlns:a16="http://schemas.microsoft.com/office/drawing/2014/main" id="{4E3B86A4-E2E0-59D9-07FF-7544BB8C1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</xdr:row>
      <xdr:rowOff>19050</xdr:rowOff>
    </xdr:from>
    <xdr:to>
      <xdr:col>10</xdr:col>
      <xdr:colOff>304800</xdr:colOff>
      <xdr:row>21</xdr:row>
      <xdr:rowOff>0</xdr:rowOff>
    </xdr:to>
    <xdr:grpSp>
      <xdr:nvGrpSpPr>
        <xdr:cNvPr id="1801847" name="Group 95">
          <a:extLst>
            <a:ext uri="{FF2B5EF4-FFF2-40B4-BE49-F238E27FC236}">
              <a16:creationId xmlns:a16="http://schemas.microsoft.com/office/drawing/2014/main" id="{25053F86-4D2D-4260-E540-80EBE08C756A}"/>
            </a:ext>
          </a:extLst>
        </xdr:cNvPr>
        <xdr:cNvGrpSpPr>
          <a:grpSpLocks/>
        </xdr:cNvGrpSpPr>
      </xdr:nvGrpSpPr>
      <xdr:grpSpPr bwMode="auto">
        <a:xfrm>
          <a:off x="759279" y="1019175"/>
          <a:ext cx="4852307" cy="1981200"/>
          <a:chOff x="652462" y="6124575"/>
          <a:chExt cx="4872037" cy="2000248"/>
        </a:xfrm>
      </xdr:grpSpPr>
      <xdr:sp macro="" textlink="">
        <xdr:nvSpPr>
          <xdr:cNvPr id="3" name="Rectangle 96">
            <a:extLst>
              <a:ext uri="{FF2B5EF4-FFF2-40B4-BE49-F238E27FC236}">
                <a16:creationId xmlns:a16="http://schemas.microsoft.com/office/drawing/2014/main" id="{872AD20B-BF75-8105-59DF-19B68E944BC5}"/>
              </a:ext>
            </a:extLst>
          </xdr:cNvPr>
          <xdr:cNvSpPr/>
        </xdr:nvSpPr>
        <xdr:spPr>
          <a:xfrm>
            <a:off x="5191450" y="8009424"/>
            <a:ext cx="333049" cy="1153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4" name="Rectangle 97">
            <a:extLst>
              <a:ext uri="{FF2B5EF4-FFF2-40B4-BE49-F238E27FC236}">
                <a16:creationId xmlns:a16="http://schemas.microsoft.com/office/drawing/2014/main" id="{5E527AA0-3474-7C9C-8A28-6EC207808A6D}"/>
              </a:ext>
            </a:extLst>
          </xdr:cNvPr>
          <xdr:cNvSpPr/>
        </xdr:nvSpPr>
        <xdr:spPr>
          <a:xfrm>
            <a:off x="661978" y="8009424"/>
            <a:ext cx="333049" cy="1153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5" name="Freeform: Shape 98">
            <a:extLst>
              <a:ext uri="{FF2B5EF4-FFF2-40B4-BE49-F238E27FC236}">
                <a16:creationId xmlns:a16="http://schemas.microsoft.com/office/drawing/2014/main" id="{5F248F22-6A02-671F-42CC-65602FCDC6A6}"/>
              </a:ext>
            </a:extLst>
          </xdr:cNvPr>
          <xdr:cNvSpPr/>
        </xdr:nvSpPr>
        <xdr:spPr>
          <a:xfrm>
            <a:off x="814229" y="6124575"/>
            <a:ext cx="4529472" cy="1875233"/>
          </a:xfrm>
          <a:custGeom>
            <a:avLst/>
            <a:gdLst>
              <a:gd name="connsiteX0" fmla="*/ 0 w 4533900"/>
              <a:gd name="connsiteY0" fmla="*/ 1876425 h 1876425"/>
              <a:gd name="connsiteX1" fmla="*/ 0 w 4533900"/>
              <a:gd name="connsiteY1" fmla="*/ 438150 h 1876425"/>
              <a:gd name="connsiteX2" fmla="*/ 2266950 w 4533900"/>
              <a:gd name="connsiteY2" fmla="*/ 0 h 1876425"/>
              <a:gd name="connsiteX3" fmla="*/ 4533900 w 4533900"/>
              <a:gd name="connsiteY3" fmla="*/ 438150 h 1876425"/>
              <a:gd name="connsiteX4" fmla="*/ 4533900 w 4533900"/>
              <a:gd name="connsiteY4" fmla="*/ 1876425 h 1876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33900" h="1876425">
                <a:moveTo>
                  <a:pt x="0" y="1876425"/>
                </a:moveTo>
                <a:lnTo>
                  <a:pt x="0" y="438150"/>
                </a:lnTo>
                <a:lnTo>
                  <a:pt x="2266950" y="0"/>
                </a:lnTo>
                <a:lnTo>
                  <a:pt x="4533900" y="438150"/>
                </a:lnTo>
                <a:lnTo>
                  <a:pt x="4533900" y="1876425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cxnSp macro="">
        <xdr:nvCxnSpPr>
          <xdr:cNvPr id="6" name="Straight Connector 99">
            <a:extLst>
              <a:ext uri="{FF2B5EF4-FFF2-40B4-BE49-F238E27FC236}">
                <a16:creationId xmlns:a16="http://schemas.microsoft.com/office/drawing/2014/main" id="{BD8C001C-AD25-1EC4-8B17-BA59BB7A1507}"/>
              </a:ext>
            </a:extLst>
          </xdr:cNvPr>
          <xdr:cNvCxnSpPr/>
        </xdr:nvCxnSpPr>
        <xdr:spPr>
          <a:xfrm>
            <a:off x="652462" y="7999808"/>
            <a:ext cx="34256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" name="Straight Connector 100">
            <a:extLst>
              <a:ext uri="{FF2B5EF4-FFF2-40B4-BE49-F238E27FC236}">
                <a16:creationId xmlns:a16="http://schemas.microsoft.com/office/drawing/2014/main" id="{D0FCA2B5-5907-CFD9-E064-B68D566EA428}"/>
              </a:ext>
            </a:extLst>
          </xdr:cNvPr>
          <xdr:cNvCxnSpPr/>
        </xdr:nvCxnSpPr>
        <xdr:spPr>
          <a:xfrm>
            <a:off x="5181934" y="7999808"/>
            <a:ext cx="342565" cy="0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</xdr:col>
      <xdr:colOff>28575</xdr:colOff>
      <xdr:row>6</xdr:row>
      <xdr:rowOff>66675</xdr:rowOff>
    </xdr:from>
    <xdr:to>
      <xdr:col>3</xdr:col>
      <xdr:colOff>38100</xdr:colOff>
      <xdr:row>11</xdr:row>
      <xdr:rowOff>47625</xdr:rowOff>
    </xdr:to>
    <xdr:grpSp>
      <xdr:nvGrpSpPr>
        <xdr:cNvPr id="1801848" name="Grup 31">
          <a:extLst>
            <a:ext uri="{FF2B5EF4-FFF2-40B4-BE49-F238E27FC236}">
              <a16:creationId xmlns:a16="http://schemas.microsoft.com/office/drawing/2014/main" id="{B88D4F2D-9BFC-AE44-7FC5-B08C16B4972F}"/>
            </a:ext>
          </a:extLst>
        </xdr:cNvPr>
        <xdr:cNvGrpSpPr>
          <a:grpSpLocks/>
        </xdr:cNvGrpSpPr>
      </xdr:nvGrpSpPr>
      <xdr:grpSpPr bwMode="auto">
        <a:xfrm>
          <a:off x="559254" y="923925"/>
          <a:ext cx="1070882" cy="695325"/>
          <a:chOff x="6237515" y="655864"/>
          <a:chExt cx="1062718" cy="698046"/>
        </a:xfrm>
      </xdr:grpSpPr>
      <xdr:cxnSp macro="">
        <xdr:nvCxnSpPr>
          <xdr:cNvPr id="9" name="Düz Ok Bağlayıcısı 8">
            <a:extLst>
              <a:ext uri="{FF2B5EF4-FFF2-40B4-BE49-F238E27FC236}">
                <a16:creationId xmlns:a16="http://schemas.microsoft.com/office/drawing/2014/main" id="{B5855588-630C-FFB9-7E8A-834700F0B4FD}"/>
              </a:ext>
            </a:extLst>
          </xdr:cNvPr>
          <xdr:cNvCxnSpPr/>
        </xdr:nvCxnSpPr>
        <xdr:spPr>
          <a:xfrm>
            <a:off x="6594889" y="1210476"/>
            <a:ext cx="432611" cy="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Düz Ok Bağlayıcısı 9">
            <a:extLst>
              <a:ext uri="{FF2B5EF4-FFF2-40B4-BE49-F238E27FC236}">
                <a16:creationId xmlns:a16="http://schemas.microsoft.com/office/drawing/2014/main" id="{DAC74169-0CD5-F520-2563-182057B7BE1B}"/>
              </a:ext>
            </a:extLst>
          </xdr:cNvPr>
          <xdr:cNvCxnSpPr/>
        </xdr:nvCxnSpPr>
        <xdr:spPr>
          <a:xfrm flipV="1">
            <a:off x="6604294" y="866234"/>
            <a:ext cx="9405" cy="344242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Serbest Form 21">
            <a:extLst>
              <a:ext uri="{FF2B5EF4-FFF2-40B4-BE49-F238E27FC236}">
                <a16:creationId xmlns:a16="http://schemas.microsoft.com/office/drawing/2014/main" id="{1063CFDC-69DB-E24E-4A4A-DDE636921FC7}"/>
              </a:ext>
            </a:extLst>
          </xdr:cNvPr>
          <xdr:cNvSpPr/>
        </xdr:nvSpPr>
        <xdr:spPr>
          <a:xfrm>
            <a:off x="6435011" y="1067042"/>
            <a:ext cx="310351" cy="286868"/>
          </a:xfrm>
          <a:custGeom>
            <a:avLst/>
            <a:gdLst>
              <a:gd name="connsiteX0" fmla="*/ 224518 w 455845"/>
              <a:gd name="connsiteY0" fmla="*/ 436808 h 436808"/>
              <a:gd name="connsiteX1" fmla="*/ 455839 w 455845"/>
              <a:gd name="connsiteY1" fmla="*/ 212290 h 436808"/>
              <a:gd name="connsiteX2" fmla="*/ 231321 w 455845"/>
              <a:gd name="connsiteY2" fmla="*/ 1379 h 436808"/>
              <a:gd name="connsiteX3" fmla="*/ 0 w 455845"/>
              <a:gd name="connsiteY3" fmla="*/ 137450 h 436808"/>
              <a:gd name="connsiteX0" fmla="*/ 224518 w 458522"/>
              <a:gd name="connsiteY0" fmla="*/ 436808 h 436808"/>
              <a:gd name="connsiteX1" fmla="*/ 346982 w 458522"/>
              <a:gd name="connsiteY1" fmla="*/ 341558 h 436808"/>
              <a:gd name="connsiteX2" fmla="*/ 455839 w 458522"/>
              <a:gd name="connsiteY2" fmla="*/ 212290 h 436808"/>
              <a:gd name="connsiteX3" fmla="*/ 231321 w 458522"/>
              <a:gd name="connsiteY3" fmla="*/ 1379 h 436808"/>
              <a:gd name="connsiteX4" fmla="*/ 0 w 458522"/>
              <a:gd name="connsiteY4" fmla="*/ 137450 h 436808"/>
              <a:gd name="connsiteX0" fmla="*/ 224518 w 455853"/>
              <a:gd name="connsiteY0" fmla="*/ 436808 h 436808"/>
              <a:gd name="connsiteX1" fmla="*/ 346982 w 455853"/>
              <a:gd name="connsiteY1" fmla="*/ 341558 h 436808"/>
              <a:gd name="connsiteX2" fmla="*/ 455839 w 455853"/>
              <a:gd name="connsiteY2" fmla="*/ 212290 h 436808"/>
              <a:gd name="connsiteX3" fmla="*/ 353785 w 455853"/>
              <a:gd name="connsiteY3" fmla="*/ 89825 h 436808"/>
              <a:gd name="connsiteX4" fmla="*/ 231321 w 455853"/>
              <a:gd name="connsiteY4" fmla="*/ 1379 h 436808"/>
              <a:gd name="connsiteX5" fmla="*/ 0 w 455853"/>
              <a:gd name="connsiteY5" fmla="*/ 137450 h 436808"/>
              <a:gd name="connsiteX0" fmla="*/ 224518 w 455853"/>
              <a:gd name="connsiteY0" fmla="*/ 436366 h 436366"/>
              <a:gd name="connsiteX1" fmla="*/ 346982 w 455853"/>
              <a:gd name="connsiteY1" fmla="*/ 341116 h 436366"/>
              <a:gd name="connsiteX2" fmla="*/ 455839 w 455853"/>
              <a:gd name="connsiteY2" fmla="*/ 211848 h 436366"/>
              <a:gd name="connsiteX3" fmla="*/ 353785 w 455853"/>
              <a:gd name="connsiteY3" fmla="*/ 89383 h 436366"/>
              <a:gd name="connsiteX4" fmla="*/ 231321 w 455853"/>
              <a:gd name="connsiteY4" fmla="*/ 937 h 436366"/>
              <a:gd name="connsiteX5" fmla="*/ 102054 w 455853"/>
              <a:gd name="connsiteY5" fmla="*/ 48562 h 436366"/>
              <a:gd name="connsiteX6" fmla="*/ 0 w 455853"/>
              <a:gd name="connsiteY6" fmla="*/ 137008 h 436366"/>
              <a:gd name="connsiteX0" fmla="*/ 224518 w 456819"/>
              <a:gd name="connsiteY0" fmla="*/ 436366 h 436366"/>
              <a:gd name="connsiteX1" fmla="*/ 394607 w 456819"/>
              <a:gd name="connsiteY1" fmla="*/ 354723 h 436366"/>
              <a:gd name="connsiteX2" fmla="*/ 455839 w 456819"/>
              <a:gd name="connsiteY2" fmla="*/ 211848 h 436366"/>
              <a:gd name="connsiteX3" fmla="*/ 353785 w 456819"/>
              <a:gd name="connsiteY3" fmla="*/ 89383 h 436366"/>
              <a:gd name="connsiteX4" fmla="*/ 231321 w 456819"/>
              <a:gd name="connsiteY4" fmla="*/ 937 h 436366"/>
              <a:gd name="connsiteX5" fmla="*/ 102054 w 456819"/>
              <a:gd name="connsiteY5" fmla="*/ 48562 h 436366"/>
              <a:gd name="connsiteX6" fmla="*/ 0 w 456819"/>
              <a:gd name="connsiteY6" fmla="*/ 137008 h 436366"/>
              <a:gd name="connsiteX0" fmla="*/ 224518 w 455981"/>
              <a:gd name="connsiteY0" fmla="*/ 435465 h 435465"/>
              <a:gd name="connsiteX1" fmla="*/ 394607 w 455981"/>
              <a:gd name="connsiteY1" fmla="*/ 353822 h 435465"/>
              <a:gd name="connsiteX2" fmla="*/ 455839 w 455981"/>
              <a:gd name="connsiteY2" fmla="*/ 210947 h 435465"/>
              <a:gd name="connsiteX3" fmla="*/ 380999 w 455981"/>
              <a:gd name="connsiteY3" fmla="*/ 54465 h 435465"/>
              <a:gd name="connsiteX4" fmla="*/ 231321 w 455981"/>
              <a:gd name="connsiteY4" fmla="*/ 36 h 435465"/>
              <a:gd name="connsiteX5" fmla="*/ 102054 w 455981"/>
              <a:gd name="connsiteY5" fmla="*/ 47661 h 435465"/>
              <a:gd name="connsiteX6" fmla="*/ 0 w 455981"/>
              <a:gd name="connsiteY6" fmla="*/ 136107 h 435465"/>
              <a:gd name="connsiteX0" fmla="*/ 224518 w 455981"/>
              <a:gd name="connsiteY0" fmla="*/ 436562 h 436562"/>
              <a:gd name="connsiteX1" fmla="*/ 394607 w 455981"/>
              <a:gd name="connsiteY1" fmla="*/ 354919 h 436562"/>
              <a:gd name="connsiteX2" fmla="*/ 455839 w 455981"/>
              <a:gd name="connsiteY2" fmla="*/ 212044 h 436562"/>
              <a:gd name="connsiteX3" fmla="*/ 380999 w 455981"/>
              <a:gd name="connsiteY3" fmla="*/ 55562 h 436562"/>
              <a:gd name="connsiteX4" fmla="*/ 231321 w 455981"/>
              <a:gd name="connsiteY4" fmla="*/ 1133 h 436562"/>
              <a:gd name="connsiteX5" fmla="*/ 88447 w 455981"/>
              <a:gd name="connsiteY5" fmla="*/ 28348 h 436562"/>
              <a:gd name="connsiteX6" fmla="*/ 0 w 455981"/>
              <a:gd name="connsiteY6" fmla="*/ 137204 h 43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5981" h="436562">
                <a:moveTo>
                  <a:pt x="224518" y="436562"/>
                </a:moveTo>
                <a:cubicBezTo>
                  <a:pt x="244929" y="420687"/>
                  <a:pt x="356054" y="392339"/>
                  <a:pt x="394607" y="354919"/>
                </a:cubicBezTo>
                <a:cubicBezTo>
                  <a:pt x="433160" y="317499"/>
                  <a:pt x="458107" y="261937"/>
                  <a:pt x="455839" y="212044"/>
                </a:cubicBezTo>
                <a:cubicBezTo>
                  <a:pt x="453571" y="162151"/>
                  <a:pt x="418419" y="90714"/>
                  <a:pt x="380999" y="55562"/>
                </a:cubicBezTo>
                <a:cubicBezTo>
                  <a:pt x="343579" y="20410"/>
                  <a:pt x="280080" y="5669"/>
                  <a:pt x="231321" y="1133"/>
                </a:cubicBezTo>
                <a:cubicBezTo>
                  <a:pt x="182562" y="-3403"/>
                  <a:pt x="127001" y="5670"/>
                  <a:pt x="88447" y="28348"/>
                </a:cubicBezTo>
                <a:cubicBezTo>
                  <a:pt x="49894" y="51027"/>
                  <a:pt x="17009" y="122463"/>
                  <a:pt x="0" y="137204"/>
                </a:cubicBezTo>
              </a:path>
            </a:pathLst>
          </a:custGeom>
          <a:noFill/>
          <a:ln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23" name="Metin kutusu 22">
            <a:extLst>
              <a:ext uri="{FF2B5EF4-FFF2-40B4-BE49-F238E27FC236}">
                <a16:creationId xmlns:a16="http://schemas.microsoft.com/office/drawing/2014/main" id="{D692FD27-B72B-5310-44C8-B31EE37268B2}"/>
              </a:ext>
            </a:extLst>
          </xdr:cNvPr>
          <xdr:cNvSpPr txBox="1"/>
        </xdr:nvSpPr>
        <xdr:spPr>
          <a:xfrm>
            <a:off x="6971073" y="1067042"/>
            <a:ext cx="329160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</a:t>
            </a:r>
          </a:p>
        </xdr:txBody>
      </xdr:sp>
      <xdr:sp macro="" textlink="">
        <xdr:nvSpPr>
          <xdr:cNvPr id="24" name="Metin kutusu 23">
            <a:extLst>
              <a:ext uri="{FF2B5EF4-FFF2-40B4-BE49-F238E27FC236}">
                <a16:creationId xmlns:a16="http://schemas.microsoft.com/office/drawing/2014/main" id="{CC93926A-9883-5731-BCD3-6239A681FD65}"/>
              </a:ext>
            </a:extLst>
          </xdr:cNvPr>
          <xdr:cNvSpPr txBox="1"/>
        </xdr:nvSpPr>
        <xdr:spPr>
          <a:xfrm>
            <a:off x="6491439" y="655864"/>
            <a:ext cx="338565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2</a:t>
            </a:r>
          </a:p>
        </xdr:txBody>
      </xdr:sp>
      <xdr:sp macro="" textlink="">
        <xdr:nvSpPr>
          <xdr:cNvPr id="25" name="Metin kutusu 24">
            <a:extLst>
              <a:ext uri="{FF2B5EF4-FFF2-40B4-BE49-F238E27FC236}">
                <a16:creationId xmlns:a16="http://schemas.microsoft.com/office/drawing/2014/main" id="{22033660-7857-6EBE-08D2-B699C08F6D31}"/>
              </a:ext>
            </a:extLst>
          </xdr:cNvPr>
          <xdr:cNvSpPr txBox="1"/>
        </xdr:nvSpPr>
        <xdr:spPr>
          <a:xfrm>
            <a:off x="6237515" y="1057480"/>
            <a:ext cx="329160" cy="2103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3</a:t>
            </a:r>
          </a:p>
        </xdr:txBody>
      </xdr:sp>
    </xdr:grpSp>
    <xdr:clientData/>
  </xdr:twoCellAnchor>
  <xdr:twoCellAnchor>
    <xdr:from>
      <xdr:col>5</xdr:col>
      <xdr:colOff>152400</xdr:colOff>
      <xdr:row>3</xdr:row>
      <xdr:rowOff>38100</xdr:rowOff>
    </xdr:from>
    <xdr:to>
      <xdr:col>7</xdr:col>
      <xdr:colOff>152400</xdr:colOff>
      <xdr:row>8</xdr:row>
      <xdr:rowOff>19050</xdr:rowOff>
    </xdr:to>
    <xdr:grpSp>
      <xdr:nvGrpSpPr>
        <xdr:cNvPr id="1801849" name="Grup 32">
          <a:extLst>
            <a:ext uri="{FF2B5EF4-FFF2-40B4-BE49-F238E27FC236}">
              <a16:creationId xmlns:a16="http://schemas.microsoft.com/office/drawing/2014/main" id="{EC95FE2C-B71F-92F6-273E-E38260F013A5}"/>
            </a:ext>
          </a:extLst>
        </xdr:cNvPr>
        <xdr:cNvGrpSpPr>
          <a:grpSpLocks/>
        </xdr:cNvGrpSpPr>
      </xdr:nvGrpSpPr>
      <xdr:grpSpPr bwMode="auto">
        <a:xfrm>
          <a:off x="2805793" y="466725"/>
          <a:ext cx="1061357" cy="695325"/>
          <a:chOff x="6237515" y="655864"/>
          <a:chExt cx="1062718" cy="698046"/>
        </a:xfrm>
      </xdr:grpSpPr>
      <xdr:cxnSp macro="">
        <xdr:nvCxnSpPr>
          <xdr:cNvPr id="34" name="Düz Ok Bağlayıcısı 33">
            <a:extLst>
              <a:ext uri="{FF2B5EF4-FFF2-40B4-BE49-F238E27FC236}">
                <a16:creationId xmlns:a16="http://schemas.microsoft.com/office/drawing/2014/main" id="{6F19D01B-E4E0-1516-8E22-4E4E5792D832}"/>
              </a:ext>
            </a:extLst>
          </xdr:cNvPr>
          <xdr:cNvCxnSpPr/>
        </xdr:nvCxnSpPr>
        <xdr:spPr>
          <a:xfrm>
            <a:off x="6598080" y="1210476"/>
            <a:ext cx="436473" cy="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Düz Ok Bağlayıcısı 34">
            <a:extLst>
              <a:ext uri="{FF2B5EF4-FFF2-40B4-BE49-F238E27FC236}">
                <a16:creationId xmlns:a16="http://schemas.microsoft.com/office/drawing/2014/main" id="{7DD7FAEE-09C0-40DD-D007-EEF7BB7747ED}"/>
              </a:ext>
            </a:extLst>
          </xdr:cNvPr>
          <xdr:cNvCxnSpPr/>
        </xdr:nvCxnSpPr>
        <xdr:spPr>
          <a:xfrm flipV="1">
            <a:off x="6607569" y="866234"/>
            <a:ext cx="9489" cy="344242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Serbest Form 35">
            <a:extLst>
              <a:ext uri="{FF2B5EF4-FFF2-40B4-BE49-F238E27FC236}">
                <a16:creationId xmlns:a16="http://schemas.microsoft.com/office/drawing/2014/main" id="{4E4150A0-9669-AED0-9CBF-C9B17DA71296}"/>
              </a:ext>
            </a:extLst>
          </xdr:cNvPr>
          <xdr:cNvSpPr/>
        </xdr:nvSpPr>
        <xdr:spPr>
          <a:xfrm>
            <a:off x="6436775" y="1067042"/>
            <a:ext cx="303634" cy="286868"/>
          </a:xfrm>
          <a:custGeom>
            <a:avLst/>
            <a:gdLst>
              <a:gd name="connsiteX0" fmla="*/ 224518 w 455845"/>
              <a:gd name="connsiteY0" fmla="*/ 436808 h 436808"/>
              <a:gd name="connsiteX1" fmla="*/ 455839 w 455845"/>
              <a:gd name="connsiteY1" fmla="*/ 212290 h 436808"/>
              <a:gd name="connsiteX2" fmla="*/ 231321 w 455845"/>
              <a:gd name="connsiteY2" fmla="*/ 1379 h 436808"/>
              <a:gd name="connsiteX3" fmla="*/ 0 w 455845"/>
              <a:gd name="connsiteY3" fmla="*/ 137450 h 436808"/>
              <a:gd name="connsiteX0" fmla="*/ 224518 w 458522"/>
              <a:gd name="connsiteY0" fmla="*/ 436808 h 436808"/>
              <a:gd name="connsiteX1" fmla="*/ 346982 w 458522"/>
              <a:gd name="connsiteY1" fmla="*/ 341558 h 436808"/>
              <a:gd name="connsiteX2" fmla="*/ 455839 w 458522"/>
              <a:gd name="connsiteY2" fmla="*/ 212290 h 436808"/>
              <a:gd name="connsiteX3" fmla="*/ 231321 w 458522"/>
              <a:gd name="connsiteY3" fmla="*/ 1379 h 436808"/>
              <a:gd name="connsiteX4" fmla="*/ 0 w 458522"/>
              <a:gd name="connsiteY4" fmla="*/ 137450 h 436808"/>
              <a:gd name="connsiteX0" fmla="*/ 224518 w 455853"/>
              <a:gd name="connsiteY0" fmla="*/ 436808 h 436808"/>
              <a:gd name="connsiteX1" fmla="*/ 346982 w 455853"/>
              <a:gd name="connsiteY1" fmla="*/ 341558 h 436808"/>
              <a:gd name="connsiteX2" fmla="*/ 455839 w 455853"/>
              <a:gd name="connsiteY2" fmla="*/ 212290 h 436808"/>
              <a:gd name="connsiteX3" fmla="*/ 353785 w 455853"/>
              <a:gd name="connsiteY3" fmla="*/ 89825 h 436808"/>
              <a:gd name="connsiteX4" fmla="*/ 231321 w 455853"/>
              <a:gd name="connsiteY4" fmla="*/ 1379 h 436808"/>
              <a:gd name="connsiteX5" fmla="*/ 0 w 455853"/>
              <a:gd name="connsiteY5" fmla="*/ 137450 h 436808"/>
              <a:gd name="connsiteX0" fmla="*/ 224518 w 455853"/>
              <a:gd name="connsiteY0" fmla="*/ 436366 h 436366"/>
              <a:gd name="connsiteX1" fmla="*/ 346982 w 455853"/>
              <a:gd name="connsiteY1" fmla="*/ 341116 h 436366"/>
              <a:gd name="connsiteX2" fmla="*/ 455839 w 455853"/>
              <a:gd name="connsiteY2" fmla="*/ 211848 h 436366"/>
              <a:gd name="connsiteX3" fmla="*/ 353785 w 455853"/>
              <a:gd name="connsiteY3" fmla="*/ 89383 h 436366"/>
              <a:gd name="connsiteX4" fmla="*/ 231321 w 455853"/>
              <a:gd name="connsiteY4" fmla="*/ 937 h 436366"/>
              <a:gd name="connsiteX5" fmla="*/ 102054 w 455853"/>
              <a:gd name="connsiteY5" fmla="*/ 48562 h 436366"/>
              <a:gd name="connsiteX6" fmla="*/ 0 w 455853"/>
              <a:gd name="connsiteY6" fmla="*/ 137008 h 436366"/>
              <a:gd name="connsiteX0" fmla="*/ 224518 w 456819"/>
              <a:gd name="connsiteY0" fmla="*/ 436366 h 436366"/>
              <a:gd name="connsiteX1" fmla="*/ 394607 w 456819"/>
              <a:gd name="connsiteY1" fmla="*/ 354723 h 436366"/>
              <a:gd name="connsiteX2" fmla="*/ 455839 w 456819"/>
              <a:gd name="connsiteY2" fmla="*/ 211848 h 436366"/>
              <a:gd name="connsiteX3" fmla="*/ 353785 w 456819"/>
              <a:gd name="connsiteY3" fmla="*/ 89383 h 436366"/>
              <a:gd name="connsiteX4" fmla="*/ 231321 w 456819"/>
              <a:gd name="connsiteY4" fmla="*/ 937 h 436366"/>
              <a:gd name="connsiteX5" fmla="*/ 102054 w 456819"/>
              <a:gd name="connsiteY5" fmla="*/ 48562 h 436366"/>
              <a:gd name="connsiteX6" fmla="*/ 0 w 456819"/>
              <a:gd name="connsiteY6" fmla="*/ 137008 h 436366"/>
              <a:gd name="connsiteX0" fmla="*/ 224518 w 455981"/>
              <a:gd name="connsiteY0" fmla="*/ 435465 h 435465"/>
              <a:gd name="connsiteX1" fmla="*/ 394607 w 455981"/>
              <a:gd name="connsiteY1" fmla="*/ 353822 h 435465"/>
              <a:gd name="connsiteX2" fmla="*/ 455839 w 455981"/>
              <a:gd name="connsiteY2" fmla="*/ 210947 h 435465"/>
              <a:gd name="connsiteX3" fmla="*/ 380999 w 455981"/>
              <a:gd name="connsiteY3" fmla="*/ 54465 h 435465"/>
              <a:gd name="connsiteX4" fmla="*/ 231321 w 455981"/>
              <a:gd name="connsiteY4" fmla="*/ 36 h 435465"/>
              <a:gd name="connsiteX5" fmla="*/ 102054 w 455981"/>
              <a:gd name="connsiteY5" fmla="*/ 47661 h 435465"/>
              <a:gd name="connsiteX6" fmla="*/ 0 w 455981"/>
              <a:gd name="connsiteY6" fmla="*/ 136107 h 435465"/>
              <a:gd name="connsiteX0" fmla="*/ 224518 w 455981"/>
              <a:gd name="connsiteY0" fmla="*/ 436562 h 436562"/>
              <a:gd name="connsiteX1" fmla="*/ 394607 w 455981"/>
              <a:gd name="connsiteY1" fmla="*/ 354919 h 436562"/>
              <a:gd name="connsiteX2" fmla="*/ 455839 w 455981"/>
              <a:gd name="connsiteY2" fmla="*/ 212044 h 436562"/>
              <a:gd name="connsiteX3" fmla="*/ 380999 w 455981"/>
              <a:gd name="connsiteY3" fmla="*/ 55562 h 436562"/>
              <a:gd name="connsiteX4" fmla="*/ 231321 w 455981"/>
              <a:gd name="connsiteY4" fmla="*/ 1133 h 436562"/>
              <a:gd name="connsiteX5" fmla="*/ 88447 w 455981"/>
              <a:gd name="connsiteY5" fmla="*/ 28348 h 436562"/>
              <a:gd name="connsiteX6" fmla="*/ 0 w 455981"/>
              <a:gd name="connsiteY6" fmla="*/ 137204 h 43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5981" h="436562">
                <a:moveTo>
                  <a:pt x="224518" y="436562"/>
                </a:moveTo>
                <a:cubicBezTo>
                  <a:pt x="244929" y="420687"/>
                  <a:pt x="356054" y="392339"/>
                  <a:pt x="394607" y="354919"/>
                </a:cubicBezTo>
                <a:cubicBezTo>
                  <a:pt x="433160" y="317499"/>
                  <a:pt x="458107" y="261937"/>
                  <a:pt x="455839" y="212044"/>
                </a:cubicBezTo>
                <a:cubicBezTo>
                  <a:pt x="453571" y="162151"/>
                  <a:pt x="418419" y="90714"/>
                  <a:pt x="380999" y="55562"/>
                </a:cubicBezTo>
                <a:cubicBezTo>
                  <a:pt x="343579" y="20410"/>
                  <a:pt x="280080" y="5669"/>
                  <a:pt x="231321" y="1133"/>
                </a:cubicBezTo>
                <a:cubicBezTo>
                  <a:pt x="182562" y="-3403"/>
                  <a:pt x="127001" y="5670"/>
                  <a:pt x="88447" y="28348"/>
                </a:cubicBezTo>
                <a:cubicBezTo>
                  <a:pt x="49894" y="51027"/>
                  <a:pt x="17009" y="122463"/>
                  <a:pt x="0" y="137204"/>
                </a:cubicBezTo>
              </a:path>
            </a:pathLst>
          </a:custGeom>
          <a:noFill/>
          <a:ln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37" name="Metin kutusu 36">
            <a:extLst>
              <a:ext uri="{FF2B5EF4-FFF2-40B4-BE49-F238E27FC236}">
                <a16:creationId xmlns:a16="http://schemas.microsoft.com/office/drawing/2014/main" id="{0009ABD4-84A1-5C23-B17F-7D6F1746B0EB}"/>
              </a:ext>
            </a:extLst>
          </xdr:cNvPr>
          <xdr:cNvSpPr txBox="1"/>
        </xdr:nvSpPr>
        <xdr:spPr>
          <a:xfrm>
            <a:off x="6968134" y="1067042"/>
            <a:ext cx="332099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4</a:t>
            </a:r>
          </a:p>
        </xdr:txBody>
      </xdr:sp>
      <xdr:sp macro="" textlink="">
        <xdr:nvSpPr>
          <xdr:cNvPr id="38" name="Metin kutusu 37">
            <a:extLst>
              <a:ext uri="{FF2B5EF4-FFF2-40B4-BE49-F238E27FC236}">
                <a16:creationId xmlns:a16="http://schemas.microsoft.com/office/drawing/2014/main" id="{39ACB39C-CCC9-AE10-C7F4-3948FDA53D97}"/>
              </a:ext>
            </a:extLst>
          </xdr:cNvPr>
          <xdr:cNvSpPr txBox="1"/>
        </xdr:nvSpPr>
        <xdr:spPr>
          <a:xfrm>
            <a:off x="6493706" y="655864"/>
            <a:ext cx="332099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5</a:t>
            </a:r>
          </a:p>
        </xdr:txBody>
      </xdr:sp>
      <xdr:sp macro="" textlink="">
        <xdr:nvSpPr>
          <xdr:cNvPr id="39" name="Metin kutusu 38">
            <a:extLst>
              <a:ext uri="{FF2B5EF4-FFF2-40B4-BE49-F238E27FC236}">
                <a16:creationId xmlns:a16="http://schemas.microsoft.com/office/drawing/2014/main" id="{0E4D1BAE-DAB9-4842-B601-BA5461A03CBC}"/>
              </a:ext>
            </a:extLst>
          </xdr:cNvPr>
          <xdr:cNvSpPr txBox="1"/>
        </xdr:nvSpPr>
        <xdr:spPr>
          <a:xfrm>
            <a:off x="6237515" y="1057480"/>
            <a:ext cx="332099" cy="2103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6</a:t>
            </a:r>
          </a:p>
        </xdr:txBody>
      </xdr:sp>
    </xdr:grpSp>
    <xdr:clientData/>
  </xdr:twoCellAnchor>
  <xdr:twoCellAnchor>
    <xdr:from>
      <xdr:col>9</xdr:col>
      <xdr:colOff>285750</xdr:colOff>
      <xdr:row>6</xdr:row>
      <xdr:rowOff>38100</xdr:rowOff>
    </xdr:from>
    <xdr:to>
      <xdr:col>11</xdr:col>
      <xdr:colOff>304800</xdr:colOff>
      <xdr:row>11</xdr:row>
      <xdr:rowOff>28575</xdr:rowOff>
    </xdr:to>
    <xdr:grpSp>
      <xdr:nvGrpSpPr>
        <xdr:cNvPr id="1801850" name="Grup 39">
          <a:extLst>
            <a:ext uri="{FF2B5EF4-FFF2-40B4-BE49-F238E27FC236}">
              <a16:creationId xmlns:a16="http://schemas.microsoft.com/office/drawing/2014/main" id="{C421B2D8-F623-5747-88E7-AA2FCCE87489}"/>
            </a:ext>
          </a:extLst>
        </xdr:cNvPr>
        <xdr:cNvGrpSpPr>
          <a:grpSpLocks/>
        </xdr:cNvGrpSpPr>
      </xdr:nvGrpSpPr>
      <xdr:grpSpPr bwMode="auto">
        <a:xfrm>
          <a:off x="5061857" y="895350"/>
          <a:ext cx="1080407" cy="704850"/>
          <a:chOff x="6223908" y="655864"/>
          <a:chExt cx="1076325" cy="698046"/>
        </a:xfrm>
      </xdr:grpSpPr>
      <xdr:cxnSp macro="">
        <xdr:nvCxnSpPr>
          <xdr:cNvPr id="41" name="Düz Ok Bağlayıcısı 40">
            <a:extLst>
              <a:ext uri="{FF2B5EF4-FFF2-40B4-BE49-F238E27FC236}">
                <a16:creationId xmlns:a16="http://schemas.microsoft.com/office/drawing/2014/main" id="{346D5C3F-7DFD-FA99-560C-4998360E7923}"/>
              </a:ext>
            </a:extLst>
          </xdr:cNvPr>
          <xdr:cNvCxnSpPr/>
        </xdr:nvCxnSpPr>
        <xdr:spPr>
          <a:xfrm>
            <a:off x="6592124" y="1212414"/>
            <a:ext cx="443748" cy="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Düz Ok Bağlayıcısı 41">
            <a:extLst>
              <a:ext uri="{FF2B5EF4-FFF2-40B4-BE49-F238E27FC236}">
                <a16:creationId xmlns:a16="http://schemas.microsoft.com/office/drawing/2014/main" id="{D14C97AD-B515-D98A-2C32-115EAE6B6ACF}"/>
              </a:ext>
            </a:extLst>
          </xdr:cNvPr>
          <xdr:cNvCxnSpPr/>
        </xdr:nvCxnSpPr>
        <xdr:spPr>
          <a:xfrm flipV="1">
            <a:off x="6611007" y="872824"/>
            <a:ext cx="0" cy="33959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Serbest Form 42">
            <a:extLst>
              <a:ext uri="{FF2B5EF4-FFF2-40B4-BE49-F238E27FC236}">
                <a16:creationId xmlns:a16="http://schemas.microsoft.com/office/drawing/2014/main" id="{CF365C7A-33EE-A75B-744D-5B2F58DEF25C}"/>
              </a:ext>
            </a:extLst>
          </xdr:cNvPr>
          <xdr:cNvSpPr/>
        </xdr:nvSpPr>
        <xdr:spPr>
          <a:xfrm>
            <a:off x="6431620" y="1070918"/>
            <a:ext cx="311568" cy="282992"/>
          </a:xfrm>
          <a:custGeom>
            <a:avLst/>
            <a:gdLst>
              <a:gd name="connsiteX0" fmla="*/ 224518 w 455845"/>
              <a:gd name="connsiteY0" fmla="*/ 436808 h 436808"/>
              <a:gd name="connsiteX1" fmla="*/ 455839 w 455845"/>
              <a:gd name="connsiteY1" fmla="*/ 212290 h 436808"/>
              <a:gd name="connsiteX2" fmla="*/ 231321 w 455845"/>
              <a:gd name="connsiteY2" fmla="*/ 1379 h 436808"/>
              <a:gd name="connsiteX3" fmla="*/ 0 w 455845"/>
              <a:gd name="connsiteY3" fmla="*/ 137450 h 436808"/>
              <a:gd name="connsiteX0" fmla="*/ 224518 w 458522"/>
              <a:gd name="connsiteY0" fmla="*/ 436808 h 436808"/>
              <a:gd name="connsiteX1" fmla="*/ 346982 w 458522"/>
              <a:gd name="connsiteY1" fmla="*/ 341558 h 436808"/>
              <a:gd name="connsiteX2" fmla="*/ 455839 w 458522"/>
              <a:gd name="connsiteY2" fmla="*/ 212290 h 436808"/>
              <a:gd name="connsiteX3" fmla="*/ 231321 w 458522"/>
              <a:gd name="connsiteY3" fmla="*/ 1379 h 436808"/>
              <a:gd name="connsiteX4" fmla="*/ 0 w 458522"/>
              <a:gd name="connsiteY4" fmla="*/ 137450 h 436808"/>
              <a:gd name="connsiteX0" fmla="*/ 224518 w 455853"/>
              <a:gd name="connsiteY0" fmla="*/ 436808 h 436808"/>
              <a:gd name="connsiteX1" fmla="*/ 346982 w 455853"/>
              <a:gd name="connsiteY1" fmla="*/ 341558 h 436808"/>
              <a:gd name="connsiteX2" fmla="*/ 455839 w 455853"/>
              <a:gd name="connsiteY2" fmla="*/ 212290 h 436808"/>
              <a:gd name="connsiteX3" fmla="*/ 353785 w 455853"/>
              <a:gd name="connsiteY3" fmla="*/ 89825 h 436808"/>
              <a:gd name="connsiteX4" fmla="*/ 231321 w 455853"/>
              <a:gd name="connsiteY4" fmla="*/ 1379 h 436808"/>
              <a:gd name="connsiteX5" fmla="*/ 0 w 455853"/>
              <a:gd name="connsiteY5" fmla="*/ 137450 h 436808"/>
              <a:gd name="connsiteX0" fmla="*/ 224518 w 455853"/>
              <a:gd name="connsiteY0" fmla="*/ 436366 h 436366"/>
              <a:gd name="connsiteX1" fmla="*/ 346982 w 455853"/>
              <a:gd name="connsiteY1" fmla="*/ 341116 h 436366"/>
              <a:gd name="connsiteX2" fmla="*/ 455839 w 455853"/>
              <a:gd name="connsiteY2" fmla="*/ 211848 h 436366"/>
              <a:gd name="connsiteX3" fmla="*/ 353785 w 455853"/>
              <a:gd name="connsiteY3" fmla="*/ 89383 h 436366"/>
              <a:gd name="connsiteX4" fmla="*/ 231321 w 455853"/>
              <a:gd name="connsiteY4" fmla="*/ 937 h 436366"/>
              <a:gd name="connsiteX5" fmla="*/ 102054 w 455853"/>
              <a:gd name="connsiteY5" fmla="*/ 48562 h 436366"/>
              <a:gd name="connsiteX6" fmla="*/ 0 w 455853"/>
              <a:gd name="connsiteY6" fmla="*/ 137008 h 436366"/>
              <a:gd name="connsiteX0" fmla="*/ 224518 w 456819"/>
              <a:gd name="connsiteY0" fmla="*/ 436366 h 436366"/>
              <a:gd name="connsiteX1" fmla="*/ 394607 w 456819"/>
              <a:gd name="connsiteY1" fmla="*/ 354723 h 436366"/>
              <a:gd name="connsiteX2" fmla="*/ 455839 w 456819"/>
              <a:gd name="connsiteY2" fmla="*/ 211848 h 436366"/>
              <a:gd name="connsiteX3" fmla="*/ 353785 w 456819"/>
              <a:gd name="connsiteY3" fmla="*/ 89383 h 436366"/>
              <a:gd name="connsiteX4" fmla="*/ 231321 w 456819"/>
              <a:gd name="connsiteY4" fmla="*/ 937 h 436366"/>
              <a:gd name="connsiteX5" fmla="*/ 102054 w 456819"/>
              <a:gd name="connsiteY5" fmla="*/ 48562 h 436366"/>
              <a:gd name="connsiteX6" fmla="*/ 0 w 456819"/>
              <a:gd name="connsiteY6" fmla="*/ 137008 h 436366"/>
              <a:gd name="connsiteX0" fmla="*/ 224518 w 455981"/>
              <a:gd name="connsiteY0" fmla="*/ 435465 h 435465"/>
              <a:gd name="connsiteX1" fmla="*/ 394607 w 455981"/>
              <a:gd name="connsiteY1" fmla="*/ 353822 h 435465"/>
              <a:gd name="connsiteX2" fmla="*/ 455839 w 455981"/>
              <a:gd name="connsiteY2" fmla="*/ 210947 h 435465"/>
              <a:gd name="connsiteX3" fmla="*/ 380999 w 455981"/>
              <a:gd name="connsiteY3" fmla="*/ 54465 h 435465"/>
              <a:gd name="connsiteX4" fmla="*/ 231321 w 455981"/>
              <a:gd name="connsiteY4" fmla="*/ 36 h 435465"/>
              <a:gd name="connsiteX5" fmla="*/ 102054 w 455981"/>
              <a:gd name="connsiteY5" fmla="*/ 47661 h 435465"/>
              <a:gd name="connsiteX6" fmla="*/ 0 w 455981"/>
              <a:gd name="connsiteY6" fmla="*/ 136107 h 435465"/>
              <a:gd name="connsiteX0" fmla="*/ 224518 w 455981"/>
              <a:gd name="connsiteY0" fmla="*/ 436562 h 436562"/>
              <a:gd name="connsiteX1" fmla="*/ 394607 w 455981"/>
              <a:gd name="connsiteY1" fmla="*/ 354919 h 436562"/>
              <a:gd name="connsiteX2" fmla="*/ 455839 w 455981"/>
              <a:gd name="connsiteY2" fmla="*/ 212044 h 436562"/>
              <a:gd name="connsiteX3" fmla="*/ 380999 w 455981"/>
              <a:gd name="connsiteY3" fmla="*/ 55562 h 436562"/>
              <a:gd name="connsiteX4" fmla="*/ 231321 w 455981"/>
              <a:gd name="connsiteY4" fmla="*/ 1133 h 436562"/>
              <a:gd name="connsiteX5" fmla="*/ 88447 w 455981"/>
              <a:gd name="connsiteY5" fmla="*/ 28348 h 436562"/>
              <a:gd name="connsiteX6" fmla="*/ 0 w 455981"/>
              <a:gd name="connsiteY6" fmla="*/ 137204 h 43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5981" h="436562">
                <a:moveTo>
                  <a:pt x="224518" y="436562"/>
                </a:moveTo>
                <a:cubicBezTo>
                  <a:pt x="244929" y="420687"/>
                  <a:pt x="356054" y="392339"/>
                  <a:pt x="394607" y="354919"/>
                </a:cubicBezTo>
                <a:cubicBezTo>
                  <a:pt x="433160" y="317499"/>
                  <a:pt x="458107" y="261937"/>
                  <a:pt x="455839" y="212044"/>
                </a:cubicBezTo>
                <a:cubicBezTo>
                  <a:pt x="453571" y="162151"/>
                  <a:pt x="418419" y="90714"/>
                  <a:pt x="380999" y="55562"/>
                </a:cubicBezTo>
                <a:cubicBezTo>
                  <a:pt x="343579" y="20410"/>
                  <a:pt x="280080" y="5669"/>
                  <a:pt x="231321" y="1133"/>
                </a:cubicBezTo>
                <a:cubicBezTo>
                  <a:pt x="182562" y="-3403"/>
                  <a:pt x="127001" y="5670"/>
                  <a:pt x="88447" y="28348"/>
                </a:cubicBezTo>
                <a:cubicBezTo>
                  <a:pt x="49894" y="51027"/>
                  <a:pt x="17009" y="122463"/>
                  <a:pt x="0" y="137204"/>
                </a:cubicBezTo>
              </a:path>
            </a:pathLst>
          </a:custGeom>
          <a:noFill/>
          <a:ln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44" name="Metin kutusu 43">
            <a:extLst>
              <a:ext uri="{FF2B5EF4-FFF2-40B4-BE49-F238E27FC236}">
                <a16:creationId xmlns:a16="http://schemas.microsoft.com/office/drawing/2014/main" id="{E5C8B8E3-6AB8-DCE0-00FD-FD1FFE77833A}"/>
              </a:ext>
            </a:extLst>
          </xdr:cNvPr>
          <xdr:cNvSpPr txBox="1"/>
        </xdr:nvSpPr>
        <xdr:spPr>
          <a:xfrm>
            <a:off x="6969782" y="1070918"/>
            <a:ext cx="330451" cy="216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7</a:t>
            </a:r>
          </a:p>
        </xdr:txBody>
      </xdr:sp>
      <xdr:sp macro="" textlink="">
        <xdr:nvSpPr>
          <xdr:cNvPr id="45" name="Metin kutusu 44">
            <a:extLst>
              <a:ext uri="{FF2B5EF4-FFF2-40B4-BE49-F238E27FC236}">
                <a16:creationId xmlns:a16="http://schemas.microsoft.com/office/drawing/2014/main" id="{5425D00F-20FB-5509-0B9D-BE9817296A69}"/>
              </a:ext>
            </a:extLst>
          </xdr:cNvPr>
          <xdr:cNvSpPr txBox="1"/>
        </xdr:nvSpPr>
        <xdr:spPr>
          <a:xfrm>
            <a:off x="6497710" y="655864"/>
            <a:ext cx="330451" cy="216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8</a:t>
            </a:r>
          </a:p>
        </xdr:txBody>
      </xdr:sp>
      <xdr:sp macro="" textlink="">
        <xdr:nvSpPr>
          <xdr:cNvPr id="46" name="Metin kutusu 45">
            <a:extLst>
              <a:ext uri="{FF2B5EF4-FFF2-40B4-BE49-F238E27FC236}">
                <a16:creationId xmlns:a16="http://schemas.microsoft.com/office/drawing/2014/main" id="{44E35903-9A01-D6DC-6389-179C29FACBDC}"/>
              </a:ext>
            </a:extLst>
          </xdr:cNvPr>
          <xdr:cNvSpPr txBox="1"/>
        </xdr:nvSpPr>
        <xdr:spPr>
          <a:xfrm>
            <a:off x="6223908" y="929423"/>
            <a:ext cx="330451" cy="216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9</a:t>
            </a:r>
          </a:p>
        </xdr:txBody>
      </xdr:sp>
    </xdr:grpSp>
    <xdr:clientData/>
  </xdr:twoCellAnchor>
  <xdr:twoCellAnchor>
    <xdr:from>
      <xdr:col>0</xdr:col>
      <xdr:colOff>485775</xdr:colOff>
      <xdr:row>16</xdr:row>
      <xdr:rowOff>9525</xdr:rowOff>
    </xdr:from>
    <xdr:to>
      <xdr:col>3</xdr:col>
      <xdr:colOff>19050</xdr:colOff>
      <xdr:row>20</xdr:row>
      <xdr:rowOff>133350</xdr:rowOff>
    </xdr:to>
    <xdr:grpSp>
      <xdr:nvGrpSpPr>
        <xdr:cNvPr id="1801851" name="Grup 46">
          <a:extLst>
            <a:ext uri="{FF2B5EF4-FFF2-40B4-BE49-F238E27FC236}">
              <a16:creationId xmlns:a16="http://schemas.microsoft.com/office/drawing/2014/main" id="{817F9539-B073-6CB9-B838-8C3174D3083F}"/>
            </a:ext>
          </a:extLst>
        </xdr:cNvPr>
        <xdr:cNvGrpSpPr>
          <a:grpSpLocks/>
        </xdr:cNvGrpSpPr>
      </xdr:nvGrpSpPr>
      <xdr:grpSpPr bwMode="auto">
        <a:xfrm>
          <a:off x="485775" y="2295525"/>
          <a:ext cx="1125311" cy="695325"/>
          <a:chOff x="6176283" y="655864"/>
          <a:chExt cx="1123950" cy="698046"/>
        </a:xfrm>
      </xdr:grpSpPr>
      <xdr:cxnSp macro="">
        <xdr:nvCxnSpPr>
          <xdr:cNvPr id="48" name="Düz Ok Bağlayıcısı 47">
            <a:extLst>
              <a:ext uri="{FF2B5EF4-FFF2-40B4-BE49-F238E27FC236}">
                <a16:creationId xmlns:a16="http://schemas.microsoft.com/office/drawing/2014/main" id="{7A9B4818-6D95-9AD8-6B40-190CC71241FA}"/>
              </a:ext>
            </a:extLst>
          </xdr:cNvPr>
          <xdr:cNvCxnSpPr/>
        </xdr:nvCxnSpPr>
        <xdr:spPr>
          <a:xfrm>
            <a:off x="6601306" y="1210476"/>
            <a:ext cx="434468" cy="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Düz Ok Bağlayıcısı 48">
            <a:extLst>
              <a:ext uri="{FF2B5EF4-FFF2-40B4-BE49-F238E27FC236}">
                <a16:creationId xmlns:a16="http://schemas.microsoft.com/office/drawing/2014/main" id="{885C3F46-917B-0E10-90ED-F078BEB22486}"/>
              </a:ext>
            </a:extLst>
          </xdr:cNvPr>
          <xdr:cNvCxnSpPr/>
        </xdr:nvCxnSpPr>
        <xdr:spPr>
          <a:xfrm flipV="1">
            <a:off x="6610751" y="866234"/>
            <a:ext cx="0" cy="344242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Serbest Form 49">
            <a:extLst>
              <a:ext uri="{FF2B5EF4-FFF2-40B4-BE49-F238E27FC236}">
                <a16:creationId xmlns:a16="http://schemas.microsoft.com/office/drawing/2014/main" id="{7078093B-092D-E097-6B4F-73F10C2DDCAA}"/>
              </a:ext>
            </a:extLst>
          </xdr:cNvPr>
          <xdr:cNvSpPr/>
        </xdr:nvSpPr>
        <xdr:spPr>
          <a:xfrm>
            <a:off x="6440742" y="1067042"/>
            <a:ext cx="302239" cy="286868"/>
          </a:xfrm>
          <a:custGeom>
            <a:avLst/>
            <a:gdLst>
              <a:gd name="connsiteX0" fmla="*/ 224518 w 455845"/>
              <a:gd name="connsiteY0" fmla="*/ 436808 h 436808"/>
              <a:gd name="connsiteX1" fmla="*/ 455839 w 455845"/>
              <a:gd name="connsiteY1" fmla="*/ 212290 h 436808"/>
              <a:gd name="connsiteX2" fmla="*/ 231321 w 455845"/>
              <a:gd name="connsiteY2" fmla="*/ 1379 h 436808"/>
              <a:gd name="connsiteX3" fmla="*/ 0 w 455845"/>
              <a:gd name="connsiteY3" fmla="*/ 137450 h 436808"/>
              <a:gd name="connsiteX0" fmla="*/ 224518 w 458522"/>
              <a:gd name="connsiteY0" fmla="*/ 436808 h 436808"/>
              <a:gd name="connsiteX1" fmla="*/ 346982 w 458522"/>
              <a:gd name="connsiteY1" fmla="*/ 341558 h 436808"/>
              <a:gd name="connsiteX2" fmla="*/ 455839 w 458522"/>
              <a:gd name="connsiteY2" fmla="*/ 212290 h 436808"/>
              <a:gd name="connsiteX3" fmla="*/ 231321 w 458522"/>
              <a:gd name="connsiteY3" fmla="*/ 1379 h 436808"/>
              <a:gd name="connsiteX4" fmla="*/ 0 w 458522"/>
              <a:gd name="connsiteY4" fmla="*/ 137450 h 436808"/>
              <a:gd name="connsiteX0" fmla="*/ 224518 w 455853"/>
              <a:gd name="connsiteY0" fmla="*/ 436808 h 436808"/>
              <a:gd name="connsiteX1" fmla="*/ 346982 w 455853"/>
              <a:gd name="connsiteY1" fmla="*/ 341558 h 436808"/>
              <a:gd name="connsiteX2" fmla="*/ 455839 w 455853"/>
              <a:gd name="connsiteY2" fmla="*/ 212290 h 436808"/>
              <a:gd name="connsiteX3" fmla="*/ 353785 w 455853"/>
              <a:gd name="connsiteY3" fmla="*/ 89825 h 436808"/>
              <a:gd name="connsiteX4" fmla="*/ 231321 w 455853"/>
              <a:gd name="connsiteY4" fmla="*/ 1379 h 436808"/>
              <a:gd name="connsiteX5" fmla="*/ 0 w 455853"/>
              <a:gd name="connsiteY5" fmla="*/ 137450 h 436808"/>
              <a:gd name="connsiteX0" fmla="*/ 224518 w 455853"/>
              <a:gd name="connsiteY0" fmla="*/ 436366 h 436366"/>
              <a:gd name="connsiteX1" fmla="*/ 346982 w 455853"/>
              <a:gd name="connsiteY1" fmla="*/ 341116 h 436366"/>
              <a:gd name="connsiteX2" fmla="*/ 455839 w 455853"/>
              <a:gd name="connsiteY2" fmla="*/ 211848 h 436366"/>
              <a:gd name="connsiteX3" fmla="*/ 353785 w 455853"/>
              <a:gd name="connsiteY3" fmla="*/ 89383 h 436366"/>
              <a:gd name="connsiteX4" fmla="*/ 231321 w 455853"/>
              <a:gd name="connsiteY4" fmla="*/ 937 h 436366"/>
              <a:gd name="connsiteX5" fmla="*/ 102054 w 455853"/>
              <a:gd name="connsiteY5" fmla="*/ 48562 h 436366"/>
              <a:gd name="connsiteX6" fmla="*/ 0 w 455853"/>
              <a:gd name="connsiteY6" fmla="*/ 137008 h 436366"/>
              <a:gd name="connsiteX0" fmla="*/ 224518 w 456819"/>
              <a:gd name="connsiteY0" fmla="*/ 436366 h 436366"/>
              <a:gd name="connsiteX1" fmla="*/ 394607 w 456819"/>
              <a:gd name="connsiteY1" fmla="*/ 354723 h 436366"/>
              <a:gd name="connsiteX2" fmla="*/ 455839 w 456819"/>
              <a:gd name="connsiteY2" fmla="*/ 211848 h 436366"/>
              <a:gd name="connsiteX3" fmla="*/ 353785 w 456819"/>
              <a:gd name="connsiteY3" fmla="*/ 89383 h 436366"/>
              <a:gd name="connsiteX4" fmla="*/ 231321 w 456819"/>
              <a:gd name="connsiteY4" fmla="*/ 937 h 436366"/>
              <a:gd name="connsiteX5" fmla="*/ 102054 w 456819"/>
              <a:gd name="connsiteY5" fmla="*/ 48562 h 436366"/>
              <a:gd name="connsiteX6" fmla="*/ 0 w 456819"/>
              <a:gd name="connsiteY6" fmla="*/ 137008 h 436366"/>
              <a:gd name="connsiteX0" fmla="*/ 224518 w 455981"/>
              <a:gd name="connsiteY0" fmla="*/ 435465 h 435465"/>
              <a:gd name="connsiteX1" fmla="*/ 394607 w 455981"/>
              <a:gd name="connsiteY1" fmla="*/ 353822 h 435465"/>
              <a:gd name="connsiteX2" fmla="*/ 455839 w 455981"/>
              <a:gd name="connsiteY2" fmla="*/ 210947 h 435465"/>
              <a:gd name="connsiteX3" fmla="*/ 380999 w 455981"/>
              <a:gd name="connsiteY3" fmla="*/ 54465 h 435465"/>
              <a:gd name="connsiteX4" fmla="*/ 231321 w 455981"/>
              <a:gd name="connsiteY4" fmla="*/ 36 h 435465"/>
              <a:gd name="connsiteX5" fmla="*/ 102054 w 455981"/>
              <a:gd name="connsiteY5" fmla="*/ 47661 h 435465"/>
              <a:gd name="connsiteX6" fmla="*/ 0 w 455981"/>
              <a:gd name="connsiteY6" fmla="*/ 136107 h 435465"/>
              <a:gd name="connsiteX0" fmla="*/ 224518 w 455981"/>
              <a:gd name="connsiteY0" fmla="*/ 436562 h 436562"/>
              <a:gd name="connsiteX1" fmla="*/ 394607 w 455981"/>
              <a:gd name="connsiteY1" fmla="*/ 354919 h 436562"/>
              <a:gd name="connsiteX2" fmla="*/ 455839 w 455981"/>
              <a:gd name="connsiteY2" fmla="*/ 212044 h 436562"/>
              <a:gd name="connsiteX3" fmla="*/ 380999 w 455981"/>
              <a:gd name="connsiteY3" fmla="*/ 55562 h 436562"/>
              <a:gd name="connsiteX4" fmla="*/ 231321 w 455981"/>
              <a:gd name="connsiteY4" fmla="*/ 1133 h 436562"/>
              <a:gd name="connsiteX5" fmla="*/ 88447 w 455981"/>
              <a:gd name="connsiteY5" fmla="*/ 28348 h 436562"/>
              <a:gd name="connsiteX6" fmla="*/ 0 w 455981"/>
              <a:gd name="connsiteY6" fmla="*/ 137204 h 43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5981" h="436562">
                <a:moveTo>
                  <a:pt x="224518" y="436562"/>
                </a:moveTo>
                <a:cubicBezTo>
                  <a:pt x="244929" y="420687"/>
                  <a:pt x="356054" y="392339"/>
                  <a:pt x="394607" y="354919"/>
                </a:cubicBezTo>
                <a:cubicBezTo>
                  <a:pt x="433160" y="317499"/>
                  <a:pt x="458107" y="261937"/>
                  <a:pt x="455839" y="212044"/>
                </a:cubicBezTo>
                <a:cubicBezTo>
                  <a:pt x="453571" y="162151"/>
                  <a:pt x="418419" y="90714"/>
                  <a:pt x="380999" y="55562"/>
                </a:cubicBezTo>
                <a:cubicBezTo>
                  <a:pt x="343579" y="20410"/>
                  <a:pt x="280080" y="5669"/>
                  <a:pt x="231321" y="1133"/>
                </a:cubicBezTo>
                <a:cubicBezTo>
                  <a:pt x="182562" y="-3403"/>
                  <a:pt x="127001" y="5670"/>
                  <a:pt x="88447" y="28348"/>
                </a:cubicBezTo>
                <a:cubicBezTo>
                  <a:pt x="49894" y="51027"/>
                  <a:pt x="17009" y="122463"/>
                  <a:pt x="0" y="137204"/>
                </a:cubicBezTo>
              </a:path>
            </a:pathLst>
          </a:custGeom>
          <a:noFill/>
          <a:ln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51" name="Metin kutusu 50">
            <a:extLst>
              <a:ext uri="{FF2B5EF4-FFF2-40B4-BE49-F238E27FC236}">
                <a16:creationId xmlns:a16="http://schemas.microsoft.com/office/drawing/2014/main" id="{8D73832B-F815-C6EE-5B14-B288AA02B4A1}"/>
              </a:ext>
            </a:extLst>
          </xdr:cNvPr>
          <xdr:cNvSpPr txBox="1"/>
        </xdr:nvSpPr>
        <xdr:spPr>
          <a:xfrm>
            <a:off x="6969659" y="1067042"/>
            <a:ext cx="330574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10</a:t>
            </a:r>
          </a:p>
        </xdr:txBody>
      </xdr:sp>
      <xdr:sp macro="" textlink="">
        <xdr:nvSpPr>
          <xdr:cNvPr id="52" name="Metin kutusu 51">
            <a:extLst>
              <a:ext uri="{FF2B5EF4-FFF2-40B4-BE49-F238E27FC236}">
                <a16:creationId xmlns:a16="http://schemas.microsoft.com/office/drawing/2014/main" id="{57FBE3A9-CEB3-6F75-2EDE-2C946ACC7DD0}"/>
              </a:ext>
            </a:extLst>
          </xdr:cNvPr>
          <xdr:cNvSpPr txBox="1"/>
        </xdr:nvSpPr>
        <xdr:spPr>
          <a:xfrm>
            <a:off x="6497412" y="655864"/>
            <a:ext cx="434468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 11</a:t>
            </a:r>
          </a:p>
        </xdr:txBody>
      </xdr:sp>
      <xdr:sp macro="" textlink="">
        <xdr:nvSpPr>
          <xdr:cNvPr id="53" name="Metin kutusu 52">
            <a:extLst>
              <a:ext uri="{FF2B5EF4-FFF2-40B4-BE49-F238E27FC236}">
                <a16:creationId xmlns:a16="http://schemas.microsoft.com/office/drawing/2014/main" id="{9F12B641-F0E1-7F4E-2249-41028F7ABA77}"/>
              </a:ext>
            </a:extLst>
          </xdr:cNvPr>
          <xdr:cNvSpPr txBox="1"/>
        </xdr:nvSpPr>
        <xdr:spPr>
          <a:xfrm>
            <a:off x="6176283" y="1047917"/>
            <a:ext cx="330574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12</a:t>
            </a:r>
          </a:p>
        </xdr:txBody>
      </xdr:sp>
    </xdr:grpSp>
    <xdr:clientData/>
  </xdr:twoCellAnchor>
  <xdr:twoCellAnchor>
    <xdr:from>
      <xdr:col>9</xdr:col>
      <xdr:colOff>219075</xdr:colOff>
      <xdr:row>16</xdr:row>
      <xdr:rowOff>9525</xdr:rowOff>
    </xdr:from>
    <xdr:to>
      <xdr:col>11</xdr:col>
      <xdr:colOff>285750</xdr:colOff>
      <xdr:row>20</xdr:row>
      <xdr:rowOff>133350</xdr:rowOff>
    </xdr:to>
    <xdr:grpSp>
      <xdr:nvGrpSpPr>
        <xdr:cNvPr id="1801852" name="Grup 53">
          <a:extLst>
            <a:ext uri="{FF2B5EF4-FFF2-40B4-BE49-F238E27FC236}">
              <a16:creationId xmlns:a16="http://schemas.microsoft.com/office/drawing/2014/main" id="{A24F4FF3-061F-4DD2-0ED9-C7D7B1402FAD}"/>
            </a:ext>
          </a:extLst>
        </xdr:cNvPr>
        <xdr:cNvGrpSpPr>
          <a:grpSpLocks/>
        </xdr:cNvGrpSpPr>
      </xdr:nvGrpSpPr>
      <xdr:grpSpPr bwMode="auto">
        <a:xfrm>
          <a:off x="4995182" y="2295525"/>
          <a:ext cx="1128032" cy="695325"/>
          <a:chOff x="6176283" y="655864"/>
          <a:chExt cx="1123950" cy="698046"/>
        </a:xfrm>
      </xdr:grpSpPr>
      <xdr:cxnSp macro="">
        <xdr:nvCxnSpPr>
          <xdr:cNvPr id="55" name="Düz Ok Bağlayıcısı 54">
            <a:extLst>
              <a:ext uri="{FF2B5EF4-FFF2-40B4-BE49-F238E27FC236}">
                <a16:creationId xmlns:a16="http://schemas.microsoft.com/office/drawing/2014/main" id="{73D76F0F-756D-AF1D-BD51-6121359FC7D1}"/>
              </a:ext>
            </a:extLst>
          </xdr:cNvPr>
          <xdr:cNvCxnSpPr/>
        </xdr:nvCxnSpPr>
        <xdr:spPr>
          <a:xfrm>
            <a:off x="6601306" y="1210476"/>
            <a:ext cx="434468" cy="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Düz Ok Bağlayıcısı 55">
            <a:extLst>
              <a:ext uri="{FF2B5EF4-FFF2-40B4-BE49-F238E27FC236}">
                <a16:creationId xmlns:a16="http://schemas.microsoft.com/office/drawing/2014/main" id="{8505B575-4722-2041-D82F-FE703A46EEAF}"/>
              </a:ext>
            </a:extLst>
          </xdr:cNvPr>
          <xdr:cNvCxnSpPr/>
        </xdr:nvCxnSpPr>
        <xdr:spPr>
          <a:xfrm flipV="1">
            <a:off x="6610751" y="866234"/>
            <a:ext cx="0" cy="344242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Serbest Form 56">
            <a:extLst>
              <a:ext uri="{FF2B5EF4-FFF2-40B4-BE49-F238E27FC236}">
                <a16:creationId xmlns:a16="http://schemas.microsoft.com/office/drawing/2014/main" id="{2DEC3D29-19F7-32A9-AA7B-37E1B0B87A4C}"/>
              </a:ext>
            </a:extLst>
          </xdr:cNvPr>
          <xdr:cNvSpPr/>
        </xdr:nvSpPr>
        <xdr:spPr>
          <a:xfrm>
            <a:off x="6440742" y="1067042"/>
            <a:ext cx="302239" cy="286868"/>
          </a:xfrm>
          <a:custGeom>
            <a:avLst/>
            <a:gdLst>
              <a:gd name="connsiteX0" fmla="*/ 224518 w 455845"/>
              <a:gd name="connsiteY0" fmla="*/ 436808 h 436808"/>
              <a:gd name="connsiteX1" fmla="*/ 455839 w 455845"/>
              <a:gd name="connsiteY1" fmla="*/ 212290 h 436808"/>
              <a:gd name="connsiteX2" fmla="*/ 231321 w 455845"/>
              <a:gd name="connsiteY2" fmla="*/ 1379 h 436808"/>
              <a:gd name="connsiteX3" fmla="*/ 0 w 455845"/>
              <a:gd name="connsiteY3" fmla="*/ 137450 h 436808"/>
              <a:gd name="connsiteX0" fmla="*/ 224518 w 458522"/>
              <a:gd name="connsiteY0" fmla="*/ 436808 h 436808"/>
              <a:gd name="connsiteX1" fmla="*/ 346982 w 458522"/>
              <a:gd name="connsiteY1" fmla="*/ 341558 h 436808"/>
              <a:gd name="connsiteX2" fmla="*/ 455839 w 458522"/>
              <a:gd name="connsiteY2" fmla="*/ 212290 h 436808"/>
              <a:gd name="connsiteX3" fmla="*/ 231321 w 458522"/>
              <a:gd name="connsiteY3" fmla="*/ 1379 h 436808"/>
              <a:gd name="connsiteX4" fmla="*/ 0 w 458522"/>
              <a:gd name="connsiteY4" fmla="*/ 137450 h 436808"/>
              <a:gd name="connsiteX0" fmla="*/ 224518 w 455853"/>
              <a:gd name="connsiteY0" fmla="*/ 436808 h 436808"/>
              <a:gd name="connsiteX1" fmla="*/ 346982 w 455853"/>
              <a:gd name="connsiteY1" fmla="*/ 341558 h 436808"/>
              <a:gd name="connsiteX2" fmla="*/ 455839 w 455853"/>
              <a:gd name="connsiteY2" fmla="*/ 212290 h 436808"/>
              <a:gd name="connsiteX3" fmla="*/ 353785 w 455853"/>
              <a:gd name="connsiteY3" fmla="*/ 89825 h 436808"/>
              <a:gd name="connsiteX4" fmla="*/ 231321 w 455853"/>
              <a:gd name="connsiteY4" fmla="*/ 1379 h 436808"/>
              <a:gd name="connsiteX5" fmla="*/ 0 w 455853"/>
              <a:gd name="connsiteY5" fmla="*/ 137450 h 436808"/>
              <a:gd name="connsiteX0" fmla="*/ 224518 w 455853"/>
              <a:gd name="connsiteY0" fmla="*/ 436366 h 436366"/>
              <a:gd name="connsiteX1" fmla="*/ 346982 w 455853"/>
              <a:gd name="connsiteY1" fmla="*/ 341116 h 436366"/>
              <a:gd name="connsiteX2" fmla="*/ 455839 w 455853"/>
              <a:gd name="connsiteY2" fmla="*/ 211848 h 436366"/>
              <a:gd name="connsiteX3" fmla="*/ 353785 w 455853"/>
              <a:gd name="connsiteY3" fmla="*/ 89383 h 436366"/>
              <a:gd name="connsiteX4" fmla="*/ 231321 w 455853"/>
              <a:gd name="connsiteY4" fmla="*/ 937 h 436366"/>
              <a:gd name="connsiteX5" fmla="*/ 102054 w 455853"/>
              <a:gd name="connsiteY5" fmla="*/ 48562 h 436366"/>
              <a:gd name="connsiteX6" fmla="*/ 0 w 455853"/>
              <a:gd name="connsiteY6" fmla="*/ 137008 h 436366"/>
              <a:gd name="connsiteX0" fmla="*/ 224518 w 456819"/>
              <a:gd name="connsiteY0" fmla="*/ 436366 h 436366"/>
              <a:gd name="connsiteX1" fmla="*/ 394607 w 456819"/>
              <a:gd name="connsiteY1" fmla="*/ 354723 h 436366"/>
              <a:gd name="connsiteX2" fmla="*/ 455839 w 456819"/>
              <a:gd name="connsiteY2" fmla="*/ 211848 h 436366"/>
              <a:gd name="connsiteX3" fmla="*/ 353785 w 456819"/>
              <a:gd name="connsiteY3" fmla="*/ 89383 h 436366"/>
              <a:gd name="connsiteX4" fmla="*/ 231321 w 456819"/>
              <a:gd name="connsiteY4" fmla="*/ 937 h 436366"/>
              <a:gd name="connsiteX5" fmla="*/ 102054 w 456819"/>
              <a:gd name="connsiteY5" fmla="*/ 48562 h 436366"/>
              <a:gd name="connsiteX6" fmla="*/ 0 w 456819"/>
              <a:gd name="connsiteY6" fmla="*/ 137008 h 436366"/>
              <a:gd name="connsiteX0" fmla="*/ 224518 w 455981"/>
              <a:gd name="connsiteY0" fmla="*/ 435465 h 435465"/>
              <a:gd name="connsiteX1" fmla="*/ 394607 w 455981"/>
              <a:gd name="connsiteY1" fmla="*/ 353822 h 435465"/>
              <a:gd name="connsiteX2" fmla="*/ 455839 w 455981"/>
              <a:gd name="connsiteY2" fmla="*/ 210947 h 435465"/>
              <a:gd name="connsiteX3" fmla="*/ 380999 w 455981"/>
              <a:gd name="connsiteY3" fmla="*/ 54465 h 435465"/>
              <a:gd name="connsiteX4" fmla="*/ 231321 w 455981"/>
              <a:gd name="connsiteY4" fmla="*/ 36 h 435465"/>
              <a:gd name="connsiteX5" fmla="*/ 102054 w 455981"/>
              <a:gd name="connsiteY5" fmla="*/ 47661 h 435465"/>
              <a:gd name="connsiteX6" fmla="*/ 0 w 455981"/>
              <a:gd name="connsiteY6" fmla="*/ 136107 h 435465"/>
              <a:gd name="connsiteX0" fmla="*/ 224518 w 455981"/>
              <a:gd name="connsiteY0" fmla="*/ 436562 h 436562"/>
              <a:gd name="connsiteX1" fmla="*/ 394607 w 455981"/>
              <a:gd name="connsiteY1" fmla="*/ 354919 h 436562"/>
              <a:gd name="connsiteX2" fmla="*/ 455839 w 455981"/>
              <a:gd name="connsiteY2" fmla="*/ 212044 h 436562"/>
              <a:gd name="connsiteX3" fmla="*/ 380999 w 455981"/>
              <a:gd name="connsiteY3" fmla="*/ 55562 h 436562"/>
              <a:gd name="connsiteX4" fmla="*/ 231321 w 455981"/>
              <a:gd name="connsiteY4" fmla="*/ 1133 h 436562"/>
              <a:gd name="connsiteX5" fmla="*/ 88447 w 455981"/>
              <a:gd name="connsiteY5" fmla="*/ 28348 h 436562"/>
              <a:gd name="connsiteX6" fmla="*/ 0 w 455981"/>
              <a:gd name="connsiteY6" fmla="*/ 137204 h 43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5981" h="436562">
                <a:moveTo>
                  <a:pt x="224518" y="436562"/>
                </a:moveTo>
                <a:cubicBezTo>
                  <a:pt x="244929" y="420687"/>
                  <a:pt x="356054" y="392339"/>
                  <a:pt x="394607" y="354919"/>
                </a:cubicBezTo>
                <a:cubicBezTo>
                  <a:pt x="433160" y="317499"/>
                  <a:pt x="458107" y="261937"/>
                  <a:pt x="455839" y="212044"/>
                </a:cubicBezTo>
                <a:cubicBezTo>
                  <a:pt x="453571" y="162151"/>
                  <a:pt x="418419" y="90714"/>
                  <a:pt x="380999" y="55562"/>
                </a:cubicBezTo>
                <a:cubicBezTo>
                  <a:pt x="343579" y="20410"/>
                  <a:pt x="280080" y="5669"/>
                  <a:pt x="231321" y="1133"/>
                </a:cubicBezTo>
                <a:cubicBezTo>
                  <a:pt x="182562" y="-3403"/>
                  <a:pt x="127001" y="5670"/>
                  <a:pt x="88447" y="28348"/>
                </a:cubicBezTo>
                <a:cubicBezTo>
                  <a:pt x="49894" y="51027"/>
                  <a:pt x="17009" y="122463"/>
                  <a:pt x="0" y="137204"/>
                </a:cubicBezTo>
              </a:path>
            </a:pathLst>
          </a:custGeom>
          <a:noFill/>
          <a:ln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r-TR"/>
          </a:p>
        </xdr:txBody>
      </xdr:sp>
      <xdr:sp macro="" textlink="">
        <xdr:nvSpPr>
          <xdr:cNvPr id="58" name="Metin kutusu 57">
            <a:extLst>
              <a:ext uri="{FF2B5EF4-FFF2-40B4-BE49-F238E27FC236}">
                <a16:creationId xmlns:a16="http://schemas.microsoft.com/office/drawing/2014/main" id="{C78E16F0-20B5-BDCD-1428-39EDC20DADF9}"/>
              </a:ext>
            </a:extLst>
          </xdr:cNvPr>
          <xdr:cNvSpPr txBox="1"/>
        </xdr:nvSpPr>
        <xdr:spPr>
          <a:xfrm>
            <a:off x="6969659" y="1067042"/>
            <a:ext cx="330574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13</a:t>
            </a:r>
          </a:p>
        </xdr:txBody>
      </xdr:sp>
      <xdr:sp macro="" textlink="">
        <xdr:nvSpPr>
          <xdr:cNvPr id="59" name="Metin kutusu 58">
            <a:extLst>
              <a:ext uri="{FF2B5EF4-FFF2-40B4-BE49-F238E27FC236}">
                <a16:creationId xmlns:a16="http://schemas.microsoft.com/office/drawing/2014/main" id="{A06CC77C-73D4-FB62-1EFE-ADF6CCB4BCD8}"/>
              </a:ext>
            </a:extLst>
          </xdr:cNvPr>
          <xdr:cNvSpPr txBox="1"/>
        </xdr:nvSpPr>
        <xdr:spPr>
          <a:xfrm>
            <a:off x="6554081" y="655864"/>
            <a:ext cx="330574" cy="2199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14</a:t>
            </a:r>
          </a:p>
        </xdr:txBody>
      </xdr:sp>
      <xdr:sp macro="" textlink="">
        <xdr:nvSpPr>
          <xdr:cNvPr id="60" name="Metin kutusu 59">
            <a:extLst>
              <a:ext uri="{FF2B5EF4-FFF2-40B4-BE49-F238E27FC236}">
                <a16:creationId xmlns:a16="http://schemas.microsoft.com/office/drawing/2014/main" id="{721B6F94-82EF-ADF8-DE42-FD23A8CDE2EB}"/>
              </a:ext>
            </a:extLst>
          </xdr:cNvPr>
          <xdr:cNvSpPr txBox="1"/>
        </xdr:nvSpPr>
        <xdr:spPr>
          <a:xfrm>
            <a:off x="6176283" y="1057480"/>
            <a:ext cx="330574" cy="2103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100"/>
              <a:t>15</a:t>
            </a:r>
          </a:p>
        </xdr:txBody>
      </xdr:sp>
    </xdr:grpSp>
    <xdr:clientData/>
  </xdr:twoCellAnchor>
  <xdr:twoCellAnchor>
    <xdr:from>
      <xdr:col>1</xdr:col>
      <xdr:colOff>122463</xdr:colOff>
      <xdr:row>12</xdr:row>
      <xdr:rowOff>27215</xdr:rowOff>
    </xdr:from>
    <xdr:to>
      <xdr:col>1</xdr:col>
      <xdr:colOff>374195</xdr:colOff>
      <xdr:row>17</xdr:row>
      <xdr:rowOff>0</xdr:rowOff>
    </xdr:to>
    <xdr:sp macro="" textlink="">
      <xdr:nvSpPr>
        <xdr:cNvPr id="61" name="Metin kutusu 60">
          <a:extLst>
            <a:ext uri="{FF2B5EF4-FFF2-40B4-BE49-F238E27FC236}">
              <a16:creationId xmlns:a16="http://schemas.microsoft.com/office/drawing/2014/main" id="{DC596E20-911D-949F-E971-340CD8A0AFED}"/>
            </a:ext>
          </a:extLst>
        </xdr:cNvPr>
        <xdr:cNvSpPr txBox="1"/>
      </xdr:nvSpPr>
      <xdr:spPr>
        <a:xfrm rot="16200000">
          <a:off x="435428" y="1959429"/>
          <a:ext cx="687160" cy="251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1.çubuk</a:t>
          </a:r>
        </a:p>
      </xdr:txBody>
    </xdr:sp>
    <xdr:clientData/>
  </xdr:twoCellAnchor>
  <xdr:twoCellAnchor>
    <xdr:from>
      <xdr:col>3</xdr:col>
      <xdr:colOff>104775</xdr:colOff>
      <xdr:row>6</xdr:row>
      <xdr:rowOff>111578</xdr:rowOff>
    </xdr:from>
    <xdr:to>
      <xdr:col>4</xdr:col>
      <xdr:colOff>261257</xdr:colOff>
      <xdr:row>8</xdr:row>
      <xdr:rowOff>77560</xdr:rowOff>
    </xdr:to>
    <xdr:sp macro="" textlink="">
      <xdr:nvSpPr>
        <xdr:cNvPr id="62" name="Metin kutusu 61">
          <a:extLst>
            <a:ext uri="{FF2B5EF4-FFF2-40B4-BE49-F238E27FC236}">
              <a16:creationId xmlns:a16="http://schemas.microsoft.com/office/drawing/2014/main" id="{DB07DFCE-4058-6D02-07D9-F89403F31562}"/>
            </a:ext>
          </a:extLst>
        </xdr:cNvPr>
        <xdr:cNvSpPr txBox="1"/>
      </xdr:nvSpPr>
      <xdr:spPr>
        <a:xfrm rot="20942949">
          <a:off x="1696811" y="968828"/>
          <a:ext cx="687160" cy="251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2.çubuk</a:t>
          </a:r>
        </a:p>
      </xdr:txBody>
    </xdr:sp>
    <xdr:clientData/>
  </xdr:twoCellAnchor>
  <xdr:twoCellAnchor>
    <xdr:from>
      <xdr:col>7</xdr:col>
      <xdr:colOff>311602</xdr:colOff>
      <xdr:row>6</xdr:row>
      <xdr:rowOff>134709</xdr:rowOff>
    </xdr:from>
    <xdr:to>
      <xdr:col>8</xdr:col>
      <xdr:colOff>468083</xdr:colOff>
      <xdr:row>8</xdr:row>
      <xdr:rowOff>100691</xdr:rowOff>
    </xdr:to>
    <xdr:sp macro="" textlink="">
      <xdr:nvSpPr>
        <xdr:cNvPr id="63" name="Metin kutusu 62">
          <a:extLst>
            <a:ext uri="{FF2B5EF4-FFF2-40B4-BE49-F238E27FC236}">
              <a16:creationId xmlns:a16="http://schemas.microsoft.com/office/drawing/2014/main" id="{11CCDAC3-9FA2-9DE1-6530-19F595FD111F}"/>
            </a:ext>
          </a:extLst>
        </xdr:cNvPr>
        <xdr:cNvSpPr txBox="1"/>
      </xdr:nvSpPr>
      <xdr:spPr>
        <a:xfrm rot="662036">
          <a:off x="4026352" y="991959"/>
          <a:ext cx="687160" cy="251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3.çubuk</a:t>
          </a:r>
        </a:p>
      </xdr:txBody>
    </xdr:sp>
    <xdr:clientData/>
  </xdr:twoCellAnchor>
  <xdr:twoCellAnchor>
    <xdr:from>
      <xdr:col>10</xdr:col>
      <xdr:colOff>130628</xdr:colOff>
      <xdr:row>11</xdr:row>
      <xdr:rowOff>76201</xdr:rowOff>
    </xdr:from>
    <xdr:to>
      <xdr:col>10</xdr:col>
      <xdr:colOff>382360</xdr:colOff>
      <xdr:row>16</xdr:row>
      <xdr:rowOff>48986</xdr:rowOff>
    </xdr:to>
    <xdr:sp macro="" textlink="">
      <xdr:nvSpPr>
        <xdr:cNvPr id="64" name="Metin kutusu 63">
          <a:extLst>
            <a:ext uri="{FF2B5EF4-FFF2-40B4-BE49-F238E27FC236}">
              <a16:creationId xmlns:a16="http://schemas.microsoft.com/office/drawing/2014/main" id="{D1E5DD1B-CD30-4D1A-8A8C-1E75B9B243E8}"/>
            </a:ext>
          </a:extLst>
        </xdr:cNvPr>
        <xdr:cNvSpPr txBox="1"/>
      </xdr:nvSpPr>
      <xdr:spPr>
        <a:xfrm rot="5400000">
          <a:off x="5219700" y="1865540"/>
          <a:ext cx="687160" cy="251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4.çubuk</a:t>
          </a:r>
        </a:p>
      </xdr:txBody>
    </xdr:sp>
    <xdr:clientData/>
  </xdr:twoCellAnchor>
  <xdr:twoCellAnchor>
    <xdr:from>
      <xdr:col>1</xdr:col>
      <xdr:colOff>442232</xdr:colOff>
      <xdr:row>12</xdr:row>
      <xdr:rowOff>115661</xdr:rowOff>
    </xdr:from>
    <xdr:to>
      <xdr:col>1</xdr:col>
      <xdr:colOff>449035</xdr:colOff>
      <xdr:row>15</xdr:row>
      <xdr:rowOff>40821</xdr:rowOff>
    </xdr:to>
    <xdr:cxnSp macro="">
      <xdr:nvCxnSpPr>
        <xdr:cNvPr id="66" name="Düz Ok Bağlayıcısı 65">
          <a:extLst>
            <a:ext uri="{FF2B5EF4-FFF2-40B4-BE49-F238E27FC236}">
              <a16:creationId xmlns:a16="http://schemas.microsoft.com/office/drawing/2014/main" id="{F38A2E68-B82F-9A04-2007-8639C19C739C}"/>
            </a:ext>
          </a:extLst>
        </xdr:cNvPr>
        <xdr:cNvCxnSpPr/>
      </xdr:nvCxnSpPr>
      <xdr:spPr>
        <a:xfrm flipV="1">
          <a:off x="972911" y="1830161"/>
          <a:ext cx="6803" cy="35378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50346</xdr:colOff>
      <xdr:row>13</xdr:row>
      <xdr:rowOff>43543</xdr:rowOff>
    </xdr:from>
    <xdr:to>
      <xdr:col>10</xdr:col>
      <xdr:colOff>57149</xdr:colOff>
      <xdr:row>15</xdr:row>
      <xdr:rowOff>111578</xdr:rowOff>
    </xdr:to>
    <xdr:cxnSp macro="">
      <xdr:nvCxnSpPr>
        <xdr:cNvPr id="67" name="Düz Ok Bağlayıcısı 66">
          <a:extLst>
            <a:ext uri="{FF2B5EF4-FFF2-40B4-BE49-F238E27FC236}">
              <a16:creationId xmlns:a16="http://schemas.microsoft.com/office/drawing/2014/main" id="{06D820A1-DF2A-49B3-0DA9-CC3302FE7070}"/>
            </a:ext>
          </a:extLst>
        </xdr:cNvPr>
        <xdr:cNvCxnSpPr/>
      </xdr:nvCxnSpPr>
      <xdr:spPr>
        <a:xfrm>
          <a:off x="5357132" y="1900918"/>
          <a:ext cx="6803" cy="35378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349703</xdr:colOff>
      <xdr:row>8</xdr:row>
      <xdr:rowOff>129267</xdr:rowOff>
    </xdr:from>
    <xdr:to>
      <xdr:col>4</xdr:col>
      <xdr:colOff>197303</xdr:colOff>
      <xdr:row>9</xdr:row>
      <xdr:rowOff>63954</xdr:rowOff>
    </xdr:to>
    <xdr:cxnSp macro="">
      <xdr:nvCxnSpPr>
        <xdr:cNvPr id="68" name="Düz Ok Bağlayıcısı 67">
          <a:extLst>
            <a:ext uri="{FF2B5EF4-FFF2-40B4-BE49-F238E27FC236}">
              <a16:creationId xmlns:a16="http://schemas.microsoft.com/office/drawing/2014/main" id="{05B12C1B-FD43-E217-396D-0C644B41BB1F}"/>
            </a:ext>
          </a:extLst>
        </xdr:cNvPr>
        <xdr:cNvCxnSpPr/>
      </xdr:nvCxnSpPr>
      <xdr:spPr>
        <a:xfrm flipV="1">
          <a:off x="1941739" y="1272267"/>
          <a:ext cx="378278" cy="7756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329292</xdr:colOff>
      <xdr:row>8</xdr:row>
      <xdr:rowOff>136071</xdr:rowOff>
    </xdr:from>
    <xdr:to>
      <xdr:col>8</xdr:col>
      <xdr:colOff>217714</xdr:colOff>
      <xdr:row>9</xdr:row>
      <xdr:rowOff>68036</xdr:rowOff>
    </xdr:to>
    <xdr:cxnSp macro="">
      <xdr:nvCxnSpPr>
        <xdr:cNvPr id="71" name="Düz Ok Bağlayıcısı 70">
          <a:extLst>
            <a:ext uri="{FF2B5EF4-FFF2-40B4-BE49-F238E27FC236}">
              <a16:creationId xmlns:a16="http://schemas.microsoft.com/office/drawing/2014/main" id="{29966603-4734-EA7C-71A4-67BB6F065BA7}"/>
            </a:ext>
          </a:extLst>
        </xdr:cNvPr>
        <xdr:cNvCxnSpPr/>
      </xdr:nvCxnSpPr>
      <xdr:spPr>
        <a:xfrm>
          <a:off x="4044042" y="1279071"/>
          <a:ext cx="419101" cy="7484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N78"/>
  <sheetViews>
    <sheetView showGridLines="0" tabSelected="1" zoomScaleNormal="100" workbookViewId="0">
      <selection activeCell="AQ31" sqref="AQ31"/>
    </sheetView>
  </sheetViews>
  <sheetFormatPr defaultColWidth="2.83203125" defaultRowHeight="11.25"/>
  <cols>
    <col min="1" max="2" width="2.83203125" style="51"/>
    <col min="3" max="3" width="2.83203125" style="51" customWidth="1"/>
    <col min="4" max="5" width="2.83203125" style="51"/>
    <col min="6" max="7" width="2.83203125" style="51" customWidth="1"/>
    <col min="8" max="32" width="2.83203125" style="51"/>
    <col min="33" max="34" width="2.83203125" style="51" customWidth="1"/>
    <col min="35" max="35" width="2.83203125" style="51"/>
    <col min="36" max="37" width="2.83203125" style="51" customWidth="1"/>
    <col min="38" max="38" width="2.83203125" style="51"/>
    <col min="39" max="39" width="2.83203125" style="51" customWidth="1"/>
    <col min="40" max="16384" width="2.83203125" style="51"/>
  </cols>
  <sheetData>
    <row r="1" spans="2:66" ht="12" thickBot="1"/>
    <row r="2" spans="2:66" ht="54" customHeight="1">
      <c r="B2" s="68" t="s">
        <v>157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70"/>
    </row>
    <row r="3" spans="2:66" ht="11.25" customHeight="1">
      <c r="B3" s="5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0" t="s">
        <v>13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53"/>
    </row>
    <row r="4" spans="2:66" ht="11.25" customHeight="1">
      <c r="B4" s="52"/>
      <c r="C4" s="1"/>
      <c r="D4" s="1"/>
      <c r="E4" s="1"/>
      <c r="F4" s="1"/>
      <c r="G4" s="1"/>
      <c r="H4" s="1"/>
      <c r="I4" s="1"/>
      <c r="J4" s="1"/>
      <c r="K4" s="1"/>
      <c r="L4" s="1"/>
      <c r="M4" s="59" t="s">
        <v>12</v>
      </c>
      <c r="N4" s="1"/>
      <c r="O4" s="1"/>
      <c r="P4" s="1"/>
      <c r="Q4" s="1"/>
      <c r="R4" s="1"/>
      <c r="S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BF4" s="1"/>
      <c r="BG4" s="1"/>
      <c r="BH4" s="1"/>
      <c r="BI4" s="1"/>
      <c r="BJ4" s="1"/>
      <c r="BK4" s="1"/>
      <c r="BL4" s="53"/>
      <c r="BN4" s="51" t="s">
        <v>163</v>
      </c>
    </row>
    <row r="5" spans="2:66" ht="11.25" customHeight="1">
      <c r="B5" s="5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63" t="s">
        <v>159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1"/>
      <c r="BG5" s="1"/>
      <c r="BH5" s="1"/>
      <c r="BI5" s="1"/>
      <c r="BJ5" s="1"/>
      <c r="BK5" s="1"/>
      <c r="BL5" s="53"/>
    </row>
    <row r="6" spans="2:66" ht="11.25" customHeight="1">
      <c r="B6" s="52"/>
      <c r="C6" s="1"/>
      <c r="D6" s="1"/>
      <c r="E6" s="1"/>
      <c r="F6" s="1"/>
      <c r="G6" s="1"/>
      <c r="H6" s="1"/>
      <c r="I6" s="1"/>
      <c r="J6" s="1"/>
      <c r="K6" s="1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1"/>
      <c r="BG6" s="1"/>
      <c r="BH6" s="1"/>
      <c r="BI6" s="1"/>
      <c r="BJ6" s="1"/>
      <c r="BK6" s="1"/>
      <c r="BL6" s="53"/>
    </row>
    <row r="7" spans="2:66" ht="11.25" customHeight="1">
      <c r="B7" s="5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1"/>
      <c r="BG7" s="1"/>
      <c r="BH7" s="1"/>
      <c r="BI7" s="1"/>
      <c r="BJ7" s="1"/>
      <c r="BK7" s="1"/>
      <c r="BL7" s="53"/>
    </row>
    <row r="8" spans="2:66" ht="11.25" customHeight="1">
      <c r="B8" s="52"/>
      <c r="C8" s="1"/>
      <c r="D8" s="1"/>
      <c r="E8" s="1"/>
      <c r="F8" s="1"/>
      <c r="G8" s="1"/>
      <c r="H8" s="1"/>
      <c r="I8" s="1"/>
      <c r="J8" s="1"/>
      <c r="K8" s="64">
        <v>4</v>
      </c>
      <c r="L8" s="64"/>
      <c r="M8" s="1" t="s">
        <v>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4">
        <v>5</v>
      </c>
      <c r="AC8" s="64"/>
      <c r="AD8" s="1" t="s">
        <v>10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1"/>
      <c r="BG8" s="1"/>
      <c r="BH8" s="1"/>
      <c r="BI8" s="1"/>
      <c r="BJ8" s="1"/>
      <c r="BK8" s="1"/>
      <c r="BL8" s="53"/>
    </row>
    <row r="9" spans="2:66" ht="11.25" customHeight="1">
      <c r="B9" s="5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3"/>
    </row>
    <row r="10" spans="2:66" ht="11.25" customHeight="1">
      <c r="B10" s="5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 t="s">
        <v>8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 t="s">
        <v>124</v>
      </c>
      <c r="AT10" s="64">
        <v>200000</v>
      </c>
      <c r="AU10" s="64"/>
      <c r="AV10" s="64"/>
      <c r="AW10" s="64"/>
      <c r="AX10" s="1" t="s">
        <v>123</v>
      </c>
      <c r="AY10" s="1"/>
      <c r="AZ10" s="1"/>
      <c r="BA10" s="1" t="s">
        <v>158</v>
      </c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53"/>
    </row>
    <row r="11" spans="2:66" ht="11.25" customHeight="1">
      <c r="B11" s="5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64">
        <v>2</v>
      </c>
      <c r="AM11" s="64"/>
      <c r="AN11" s="1" t="s">
        <v>0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53"/>
    </row>
    <row r="12" spans="2:66" ht="11.25" customHeight="1">
      <c r="B12" s="52"/>
      <c r="C12" s="1"/>
      <c r="D12" s="1"/>
      <c r="E12" s="1"/>
      <c r="F12" s="1"/>
      <c r="G12" s="1"/>
      <c r="H12" s="1"/>
      <c r="I12" s="1"/>
      <c r="J12" s="1"/>
      <c r="K12" s="1"/>
      <c r="L12" s="60" t="s">
        <v>153</v>
      </c>
      <c r="M12" s="64">
        <v>1943</v>
      </c>
      <c r="N12" s="64"/>
      <c r="O12" s="64"/>
      <c r="P12" s="1" t="s">
        <v>155</v>
      </c>
      <c r="R12" s="1"/>
      <c r="S12" s="1"/>
      <c r="T12" s="1"/>
      <c r="U12" s="1"/>
      <c r="V12" s="1"/>
      <c r="W12" s="1"/>
      <c r="X12" s="1"/>
      <c r="Y12" s="60" t="s">
        <v>153</v>
      </c>
      <c r="Z12" s="61">
        <f>+M12</f>
        <v>1943</v>
      </c>
      <c r="AA12" s="61"/>
      <c r="AB12" s="61"/>
      <c r="AC12" s="1" t="s">
        <v>155</v>
      </c>
      <c r="AE12" s="1"/>
      <c r="AF12" s="1"/>
      <c r="AG12" s="1"/>
      <c r="AH12" s="1"/>
      <c r="AI12" s="1" t="s">
        <v>4</v>
      </c>
      <c r="AJ12" s="1"/>
      <c r="AK12" s="1"/>
      <c r="AL12" s="1"/>
      <c r="AM12" s="1"/>
      <c r="AN12" s="1"/>
      <c r="AO12" s="49" t="s">
        <v>150</v>
      </c>
      <c r="AP12" s="1"/>
      <c r="AQ12" s="1"/>
      <c r="AR12" s="1"/>
      <c r="AS12" s="1"/>
      <c r="AT12" s="1"/>
      <c r="AU12" s="1"/>
      <c r="AV12" s="1"/>
      <c r="AW12" s="49" t="s">
        <v>151</v>
      </c>
      <c r="AX12" s="1"/>
      <c r="AY12" s="1"/>
      <c r="AZ12" s="1"/>
      <c r="BA12" s="1"/>
      <c r="BB12" s="1"/>
      <c r="BC12" s="1"/>
      <c r="BD12" s="1"/>
      <c r="BE12" s="49" t="s">
        <v>152</v>
      </c>
      <c r="BF12" s="1"/>
      <c r="BG12" s="1"/>
      <c r="BH12" s="1"/>
      <c r="BI12" s="1"/>
      <c r="BJ12" s="1"/>
      <c r="BK12" s="1"/>
      <c r="BL12" s="53"/>
    </row>
    <row r="13" spans="2:66" ht="11.25" customHeight="1">
      <c r="B13" s="52"/>
      <c r="C13" s="1"/>
      <c r="D13" s="1"/>
      <c r="E13" s="1"/>
      <c r="G13" s="1" t="s">
        <v>7</v>
      </c>
      <c r="H13" s="1"/>
      <c r="I13" s="61">
        <f>ATAN(AL11/M24)*180/PI()</f>
        <v>18.43494882292201</v>
      </c>
      <c r="J13" s="61"/>
      <c r="K13" s="1" t="s">
        <v>6</v>
      </c>
      <c r="L13" s="1" t="s">
        <v>122</v>
      </c>
      <c r="M13" s="64">
        <v>28.5</v>
      </c>
      <c r="N13" s="64"/>
      <c r="O13" s="64"/>
      <c r="P13" s="1" t="s">
        <v>156</v>
      </c>
      <c r="R13" s="1"/>
      <c r="S13" s="1"/>
      <c r="T13" s="1"/>
      <c r="U13" s="1"/>
      <c r="V13" s="1"/>
      <c r="W13" s="1"/>
      <c r="X13" s="1"/>
      <c r="Y13" s="1" t="s">
        <v>122</v>
      </c>
      <c r="Z13" s="61">
        <f>+M13</f>
        <v>28.5</v>
      </c>
      <c r="AA13" s="61"/>
      <c r="AB13" s="61"/>
      <c r="AC13" s="1" t="s">
        <v>156</v>
      </c>
      <c r="AE13" s="1"/>
      <c r="AF13" s="1"/>
      <c r="AI13" s="1"/>
      <c r="AJ13" s="1"/>
      <c r="AK13" s="1"/>
      <c r="AL13" s="1"/>
      <c r="AM13" s="1"/>
      <c r="AN13" s="1"/>
      <c r="AO13" s="1" t="s">
        <v>125</v>
      </c>
      <c r="AP13" s="1"/>
      <c r="AQ13" s="61">
        <f>+Rüzgar!O126</f>
        <v>-103.69006612518218</v>
      </c>
      <c r="AR13" s="61"/>
      <c r="AS13" s="61"/>
      <c r="AT13" s="1" t="s">
        <v>126</v>
      </c>
      <c r="AU13" s="1"/>
      <c r="AW13" s="1" t="s">
        <v>134</v>
      </c>
      <c r="AX13" s="1"/>
      <c r="AY13" s="61">
        <f>+Rüzgar!N126</f>
        <v>34.985088471539086</v>
      </c>
      <c r="AZ13" s="61"/>
      <c r="BA13" s="61"/>
      <c r="BB13" s="1" t="s">
        <v>5</v>
      </c>
      <c r="BC13" s="1"/>
      <c r="BD13" s="54"/>
      <c r="BE13" s="1" t="s">
        <v>142</v>
      </c>
      <c r="BF13" s="1"/>
      <c r="BG13" s="61">
        <f>+Rüzgar!M126</f>
        <v>30.327818937547242</v>
      </c>
      <c r="BH13" s="61"/>
      <c r="BI13" s="61"/>
      <c r="BJ13" s="1" t="s">
        <v>5</v>
      </c>
      <c r="BK13" s="54"/>
      <c r="BL13" s="53"/>
    </row>
    <row r="14" spans="2:66" ht="11.25" customHeight="1">
      <c r="B14" s="52"/>
      <c r="C14" s="62" t="s">
        <v>10</v>
      </c>
      <c r="D14" s="1"/>
      <c r="E14" s="1"/>
      <c r="G14" s="1"/>
      <c r="H14" s="1"/>
      <c r="I14" s="1"/>
      <c r="J14" s="1"/>
      <c r="K14" s="1"/>
      <c r="L14" s="1"/>
      <c r="M14" s="1"/>
      <c r="N14" s="1"/>
      <c r="O14" s="61">
        <f>SQRT(AA24^2+AL11^2)</f>
        <v>6.324555320336759</v>
      </c>
      <c r="P14" s="61"/>
      <c r="Q14" s="1" t="s">
        <v>0</v>
      </c>
      <c r="R14" s="1"/>
      <c r="S14" s="1"/>
      <c r="T14" s="1"/>
      <c r="U14" s="1"/>
      <c r="V14" s="1"/>
      <c r="W14" s="1"/>
      <c r="X14" s="1"/>
      <c r="Y14" s="1"/>
      <c r="Z14" s="61">
        <f>+O14</f>
        <v>6.324555320336759</v>
      </c>
      <c r="AA14" s="61"/>
      <c r="AB14" s="1" t="s">
        <v>0</v>
      </c>
      <c r="AC14" s="1"/>
      <c r="AD14" s="1"/>
      <c r="AE14" s="1"/>
      <c r="AF14" s="1"/>
      <c r="AI14" s="1"/>
      <c r="AJ14" s="1"/>
      <c r="AK14" s="62" t="s">
        <v>10</v>
      </c>
      <c r="AL14" s="1"/>
      <c r="AM14" s="1"/>
      <c r="AN14" s="1"/>
      <c r="AO14" s="1" t="s">
        <v>127</v>
      </c>
      <c r="AP14" s="1"/>
      <c r="AQ14" s="61">
        <f>+Rüzgar!O127</f>
        <v>64.190641647130477</v>
      </c>
      <c r="AR14" s="61"/>
      <c r="AS14" s="61"/>
      <c r="AT14" s="1" t="s">
        <v>126</v>
      </c>
      <c r="AU14" s="54"/>
      <c r="AW14" s="1" t="s">
        <v>135</v>
      </c>
      <c r="AX14" s="1"/>
      <c r="AY14" s="61">
        <f>+Rüzgar!N127</f>
        <v>6.9850884715390826</v>
      </c>
      <c r="AZ14" s="61"/>
      <c r="BA14" s="61"/>
      <c r="BB14" s="1" t="s">
        <v>5</v>
      </c>
      <c r="BC14" s="54"/>
      <c r="BD14" s="54"/>
      <c r="BE14" s="1" t="s">
        <v>143</v>
      </c>
      <c r="BF14" s="1"/>
      <c r="BG14" s="61">
        <f>+Rüzgar!M127</f>
        <v>30.327818937547242</v>
      </c>
      <c r="BH14" s="61"/>
      <c r="BI14" s="61"/>
      <c r="BJ14" s="1" t="s">
        <v>5</v>
      </c>
      <c r="BK14" s="54"/>
      <c r="BL14" s="53"/>
    </row>
    <row r="15" spans="2:66" ht="11.25" customHeight="1">
      <c r="B15" s="52"/>
      <c r="C15" s="62"/>
      <c r="D15" s="1"/>
      <c r="E15" s="1"/>
      <c r="F15" s="67" t="s">
        <v>155</v>
      </c>
      <c r="G15" s="67" t="s">
        <v>156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7" t="s">
        <v>155</v>
      </c>
      <c r="AH15" s="67" t="s">
        <v>156</v>
      </c>
      <c r="AI15" s="1"/>
      <c r="AJ15" s="1"/>
      <c r="AK15" s="62"/>
      <c r="AL15" s="1"/>
      <c r="AM15" s="55" t="s">
        <v>0</v>
      </c>
      <c r="AN15" s="1"/>
      <c r="AO15" s="1" t="s">
        <v>128</v>
      </c>
      <c r="AP15" s="1"/>
      <c r="AQ15" s="61">
        <f>+Rüzgar!O172</f>
        <v>64.190641647130505</v>
      </c>
      <c r="AR15" s="61"/>
      <c r="AS15" s="61"/>
      <c r="AT15" s="1" t="s">
        <v>126</v>
      </c>
      <c r="AU15" s="54"/>
      <c r="AW15" s="1" t="s">
        <v>136</v>
      </c>
      <c r="AX15" s="1"/>
      <c r="AY15" s="61">
        <f>+Rüzgar!N172</f>
        <v>-26.562616369565752</v>
      </c>
      <c r="AZ15" s="61"/>
      <c r="BA15" s="61"/>
      <c r="BB15" s="1" t="s">
        <v>5</v>
      </c>
      <c r="BC15" s="54"/>
      <c r="BD15" s="54"/>
      <c r="BE15" s="1" t="s">
        <v>144</v>
      </c>
      <c r="BF15" s="1"/>
      <c r="BG15" s="61">
        <f>+Rüzgar!M172</f>
        <v>16.217135199137374</v>
      </c>
      <c r="BH15" s="61"/>
      <c r="BI15" s="61"/>
      <c r="BJ15" s="1" t="s">
        <v>5</v>
      </c>
      <c r="BK15" s="54"/>
      <c r="BL15" s="53"/>
    </row>
    <row r="16" spans="2:66" ht="11.25" customHeight="1">
      <c r="B16" s="52"/>
      <c r="C16" s="62"/>
      <c r="D16" s="1"/>
      <c r="E16" s="1"/>
      <c r="F16" s="67"/>
      <c r="G16" s="6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F16" s="1"/>
      <c r="AG16" s="67"/>
      <c r="AH16" s="67"/>
      <c r="AI16" s="1"/>
      <c r="AJ16" s="1"/>
      <c r="AK16" s="62"/>
      <c r="AL16" s="1"/>
      <c r="AM16" s="65">
        <v>8</v>
      </c>
      <c r="AN16" s="1"/>
      <c r="AO16" s="1" t="s">
        <v>129</v>
      </c>
      <c r="AP16" s="1"/>
      <c r="AQ16" s="61">
        <f>+Rüzgar!O173</f>
        <v>-23.806095035070868</v>
      </c>
      <c r="AR16" s="61"/>
      <c r="AS16" s="61"/>
      <c r="AT16" s="1" t="s">
        <v>126</v>
      </c>
      <c r="AU16" s="54"/>
      <c r="AW16" s="1" t="s">
        <v>137</v>
      </c>
      <c r="AX16" s="1"/>
      <c r="AY16" s="61">
        <f>+Rüzgar!N173</f>
        <v>-1.2643950882187145</v>
      </c>
      <c r="AZ16" s="61"/>
      <c r="BA16" s="61"/>
      <c r="BB16" s="1" t="s">
        <v>5</v>
      </c>
      <c r="BC16" s="54"/>
      <c r="BD16" s="54"/>
      <c r="BE16" s="1" t="s">
        <v>145</v>
      </c>
      <c r="BF16" s="1"/>
      <c r="BG16" s="61">
        <f>+Rüzgar!M173</f>
        <v>16.217135199137374</v>
      </c>
      <c r="BH16" s="61"/>
      <c r="BI16" s="61"/>
      <c r="BJ16" s="1" t="s">
        <v>5</v>
      </c>
      <c r="BK16" s="54"/>
      <c r="BL16" s="53"/>
    </row>
    <row r="17" spans="2:64" ht="11.25" customHeight="1">
      <c r="B17" s="52"/>
      <c r="C17" s="65">
        <v>3.5</v>
      </c>
      <c r="D17" s="1"/>
      <c r="E17" s="1"/>
      <c r="F17" s="65">
        <v>1943</v>
      </c>
      <c r="G17" s="65">
        <v>28.5</v>
      </c>
      <c r="H17" s="1"/>
      <c r="I17" s="1"/>
      <c r="J17" s="1"/>
      <c r="K17" s="1"/>
      <c r="L17" s="1"/>
      <c r="M17" s="5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F17" s="1"/>
      <c r="AG17" s="62">
        <f>+F17</f>
        <v>1943</v>
      </c>
      <c r="AH17" s="62">
        <f>+G17</f>
        <v>28.5</v>
      </c>
      <c r="AI17" s="1"/>
      <c r="AJ17" s="1"/>
      <c r="AK17" s="65">
        <v>2.5</v>
      </c>
      <c r="AL17" s="1"/>
      <c r="AM17" s="65"/>
      <c r="AN17" s="1"/>
      <c r="AO17" s="1" t="s">
        <v>130</v>
      </c>
      <c r="AP17" s="1"/>
      <c r="AQ17" s="61">
        <f>+Rüzgar!O213</f>
        <v>-23.806095035070886</v>
      </c>
      <c r="AR17" s="61"/>
      <c r="AS17" s="61"/>
      <c r="AT17" s="1" t="s">
        <v>126</v>
      </c>
      <c r="AU17" s="54"/>
      <c r="AW17" s="1" t="s">
        <v>138</v>
      </c>
      <c r="AX17" s="1"/>
      <c r="AY17" s="61">
        <f>+Rüzgar!N213</f>
        <v>-10.741797190059394</v>
      </c>
      <c r="AZ17" s="61"/>
      <c r="BA17" s="61"/>
      <c r="BB17" s="1" t="s">
        <v>5</v>
      </c>
      <c r="BC17" s="54"/>
      <c r="BD17" s="54"/>
      <c r="BE17" s="1" t="s">
        <v>146</v>
      </c>
      <c r="BF17" s="1"/>
      <c r="BG17" s="61">
        <f>+Rüzgar!M213</f>
        <v>12.215071106380247</v>
      </c>
      <c r="BH17" s="61"/>
      <c r="BI17" s="61"/>
      <c r="BJ17" s="1" t="s">
        <v>5</v>
      </c>
      <c r="BK17" s="54"/>
      <c r="BL17" s="53"/>
    </row>
    <row r="18" spans="2:64" ht="11.25" customHeight="1">
      <c r="B18" s="52"/>
      <c r="C18" s="65"/>
      <c r="D18" s="1"/>
      <c r="E18" s="1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F18" s="1"/>
      <c r="AG18" s="62"/>
      <c r="AH18" s="62"/>
      <c r="AI18" s="1"/>
      <c r="AJ18" s="1"/>
      <c r="AK18" s="65"/>
      <c r="AL18" s="1"/>
      <c r="AM18" s="65"/>
      <c r="AN18" s="1"/>
      <c r="AO18" s="1" t="s">
        <v>131</v>
      </c>
      <c r="AP18" s="1"/>
      <c r="AQ18" s="61">
        <f>+Rüzgar!O214</f>
        <v>8.2568143965606247</v>
      </c>
      <c r="AR18" s="61"/>
      <c r="AS18" s="61"/>
      <c r="AT18" s="1" t="s">
        <v>126</v>
      </c>
      <c r="AU18" s="54"/>
      <c r="AW18" s="1" t="s">
        <v>139</v>
      </c>
      <c r="AX18" s="1"/>
      <c r="AY18" s="61">
        <f>+Rüzgar!N214</f>
        <v>20.880979411624402</v>
      </c>
      <c r="AZ18" s="61"/>
      <c r="BA18" s="61"/>
      <c r="BB18" s="1" t="s">
        <v>5</v>
      </c>
      <c r="BC18" s="54"/>
      <c r="BD18" s="1"/>
      <c r="BE18" s="1" t="s">
        <v>147</v>
      </c>
      <c r="BF18" s="1"/>
      <c r="BG18" s="61">
        <f>+Rüzgar!M214</f>
        <v>12.215071106380247</v>
      </c>
      <c r="BH18" s="61"/>
      <c r="BI18" s="61"/>
      <c r="BJ18" s="1" t="s">
        <v>5</v>
      </c>
      <c r="BK18" s="1"/>
      <c r="BL18" s="53"/>
    </row>
    <row r="19" spans="2:64" ht="11.25" customHeight="1">
      <c r="B19" s="52"/>
      <c r="C19" s="65"/>
      <c r="D19" s="1"/>
      <c r="E19" s="1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2"/>
      <c r="AH19" s="62"/>
      <c r="AI19" s="1"/>
      <c r="AJ19" s="1"/>
      <c r="AK19" s="65"/>
      <c r="AL19" s="1"/>
      <c r="AM19" s="1"/>
      <c r="AN19" s="1"/>
      <c r="AO19" s="1" t="s">
        <v>132</v>
      </c>
      <c r="AP19" s="1"/>
      <c r="AQ19" s="61">
        <f>+Rüzgar!O256</f>
        <v>8.2568143965606193</v>
      </c>
      <c r="AR19" s="61"/>
      <c r="AS19" s="61"/>
      <c r="AT19" s="1" t="s">
        <v>126</v>
      </c>
      <c r="AU19" s="1"/>
      <c r="AW19" s="1" t="s">
        <v>140</v>
      </c>
      <c r="AX19" s="1"/>
      <c r="AY19" s="61">
        <f>+Rüzgar!N256</f>
        <v>-4.9850884715417845</v>
      </c>
      <c r="AZ19" s="61"/>
      <c r="BA19" s="61"/>
      <c r="BB19" s="1" t="s">
        <v>5</v>
      </c>
      <c r="BC19" s="1"/>
      <c r="BD19" s="1"/>
      <c r="BE19" s="1" t="s">
        <v>148</v>
      </c>
      <c r="BF19" s="1"/>
      <c r="BG19" s="61">
        <f>+Rüzgar!M256</f>
        <v>23.672181062452793</v>
      </c>
      <c r="BH19" s="61"/>
      <c r="BI19" s="61"/>
      <c r="BJ19" s="1" t="s">
        <v>5</v>
      </c>
      <c r="BK19" s="1"/>
      <c r="BL19" s="53"/>
    </row>
    <row r="20" spans="2:64" ht="11.25" customHeight="1">
      <c r="B20" s="52"/>
      <c r="C20" s="1"/>
      <c r="D20" s="1"/>
      <c r="E20" s="1"/>
      <c r="F20" s="66" t="s">
        <v>153</v>
      </c>
      <c r="G20" s="62" t="s">
        <v>24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 t="s">
        <v>154</v>
      </c>
      <c r="AH20" s="62" t="s">
        <v>24</v>
      </c>
      <c r="AI20" s="1"/>
      <c r="AJ20" s="1"/>
      <c r="AK20" s="1"/>
      <c r="AL20" s="1"/>
      <c r="AM20" s="1"/>
      <c r="AN20" s="1"/>
      <c r="AO20" s="1" t="s">
        <v>133</v>
      </c>
      <c r="AP20" s="1"/>
      <c r="AQ20" s="61">
        <f>+Rüzgar!O257</f>
        <v>48.376106624226345</v>
      </c>
      <c r="AR20" s="61"/>
      <c r="AS20" s="61"/>
      <c r="AT20" s="1" t="s">
        <v>126</v>
      </c>
      <c r="AU20" s="1"/>
      <c r="AV20" s="1"/>
      <c r="AW20" s="1" t="s">
        <v>141</v>
      </c>
      <c r="AX20" s="1"/>
      <c r="AY20" s="61">
        <f>+Rüzgar!N257</f>
        <v>15.014911528458216</v>
      </c>
      <c r="AZ20" s="61"/>
      <c r="BA20" s="61"/>
      <c r="BB20" s="1" t="s">
        <v>5</v>
      </c>
      <c r="BC20" s="1"/>
      <c r="BD20" s="1"/>
      <c r="BE20" s="1" t="s">
        <v>149</v>
      </c>
      <c r="BF20" s="1"/>
      <c r="BG20" s="61">
        <f>+Rüzgar!M257</f>
        <v>23.672181062452793</v>
      </c>
      <c r="BH20" s="61"/>
      <c r="BI20" s="61"/>
      <c r="BJ20" s="1" t="s">
        <v>5</v>
      </c>
      <c r="BK20" s="1"/>
      <c r="BL20" s="53"/>
    </row>
    <row r="21" spans="2:64" ht="11.25" customHeight="1">
      <c r="B21" s="52"/>
      <c r="C21" s="1"/>
      <c r="D21" s="1"/>
      <c r="E21" s="1"/>
      <c r="F21" s="62"/>
      <c r="G21" s="6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2"/>
      <c r="AH21" s="62"/>
      <c r="AI21" s="1"/>
      <c r="AJ21" s="1"/>
      <c r="AK21" s="1"/>
      <c r="AL21" s="1"/>
      <c r="AM21" s="1"/>
      <c r="AN21" s="1"/>
      <c r="AO21" s="1"/>
      <c r="AP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53"/>
    </row>
    <row r="22" spans="2:64" ht="11.25" customHeight="1">
      <c r="B22" s="52"/>
      <c r="C22" s="1"/>
      <c r="D22" s="1"/>
      <c r="E22" s="48"/>
      <c r="F22" s="48"/>
      <c r="G22" s="48" t="s">
        <v>2</v>
      </c>
      <c r="H22" s="4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48"/>
      <c r="AH22" s="48" t="s">
        <v>1</v>
      </c>
      <c r="AI22" s="48"/>
      <c r="AJ22" s="48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53"/>
    </row>
    <row r="23" spans="2:64" ht="11.25" customHeight="1">
      <c r="B23" s="52"/>
      <c r="C23" s="1"/>
      <c r="D23" s="1"/>
      <c r="E23" s="48"/>
      <c r="F23" s="48"/>
      <c r="G23" s="48"/>
      <c r="H23" s="4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48"/>
      <c r="AH23" s="48"/>
      <c r="AI23" s="48"/>
      <c r="AJ23" s="48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53"/>
    </row>
    <row r="24" spans="2:64" ht="11.25" customHeight="1">
      <c r="B24" s="52"/>
      <c r="C24" s="1"/>
      <c r="D24" s="1"/>
      <c r="E24" s="1"/>
      <c r="F24" s="1"/>
      <c r="G24" s="1"/>
      <c r="H24" s="1"/>
      <c r="I24" s="1"/>
      <c r="J24" s="1"/>
      <c r="K24" s="1"/>
      <c r="L24" s="1"/>
      <c r="M24" s="64">
        <v>6</v>
      </c>
      <c r="N24" s="64"/>
      <c r="O24" s="1" t="s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61">
        <f>+M24</f>
        <v>6</v>
      </c>
      <c r="AB24" s="61"/>
      <c r="AC24" s="1" t="s">
        <v>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53"/>
    </row>
    <row r="25" spans="2:64" ht="11.25" customHeight="1">
      <c r="B25" s="5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53"/>
    </row>
    <row r="26" spans="2:64" ht="11.25" customHeight="1">
      <c r="B26" s="52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61">
        <f>+M24+AA24</f>
        <v>12</v>
      </c>
      <c r="U26" s="61"/>
      <c r="V26" s="1" t="s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53"/>
    </row>
    <row r="27" spans="2:64" ht="11.25" customHeight="1">
      <c r="B27" s="5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53"/>
    </row>
    <row r="28" spans="2:64" ht="11.25" customHeight="1">
      <c r="B28" s="5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53"/>
    </row>
    <row r="29" spans="2:64" ht="11.25" customHeight="1">
      <c r="B29" s="5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53"/>
    </row>
    <row r="30" spans="2:64" ht="11.25" customHeight="1">
      <c r="B30" s="52"/>
      <c r="C30" s="1"/>
      <c r="D30" s="1"/>
      <c r="E30" s="1"/>
      <c r="F30" s="1"/>
      <c r="G30" s="1"/>
      <c r="H30" s="1"/>
      <c r="I30" s="1"/>
      <c r="J30" s="1"/>
      <c r="K30" s="1"/>
      <c r="L30" s="59" t="s">
        <v>11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53"/>
    </row>
    <row r="31" spans="2:64" ht="11.25" customHeight="1">
      <c r="B31" s="5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53"/>
    </row>
    <row r="32" spans="2:64" ht="11.25" customHeight="1">
      <c r="B32" s="5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4">
        <v>10</v>
      </c>
      <c r="P32" s="64"/>
      <c r="Q32" s="1" t="s">
        <v>10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53"/>
    </row>
    <row r="33" spans="2:64" ht="11.25" customHeight="1">
      <c r="B33" s="5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53"/>
    </row>
    <row r="34" spans="2:64" ht="11.25" customHeight="1">
      <c r="B34" s="5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53"/>
    </row>
    <row r="35" spans="2:64" ht="11.25" customHeight="1">
      <c r="B35" s="5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 t="s">
        <v>8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53"/>
    </row>
    <row r="36" spans="2:64" ht="11.25" customHeight="1">
      <c r="B36" s="5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53"/>
    </row>
    <row r="37" spans="2:64" ht="11.25" customHeight="1">
      <c r="B37" s="5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1">
        <f>+AL11</f>
        <v>2</v>
      </c>
      <c r="AJ37" s="61"/>
      <c r="AK37" s="1" t="s">
        <v>0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53"/>
    </row>
    <row r="38" spans="2:64" ht="11.25" customHeight="1">
      <c r="B38" s="52"/>
      <c r="C38" s="1"/>
      <c r="D38" s="1"/>
      <c r="E38" s="1"/>
      <c r="F38" s="1" t="s">
        <v>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49" t="s">
        <v>150</v>
      </c>
      <c r="AP38" s="1"/>
      <c r="AQ38" s="1"/>
      <c r="AR38" s="1"/>
      <c r="AS38" s="1"/>
      <c r="AT38" s="1"/>
      <c r="AU38" s="1"/>
      <c r="AV38" s="1"/>
      <c r="AW38" s="49" t="s">
        <v>151</v>
      </c>
      <c r="AX38" s="1"/>
      <c r="AY38" s="1"/>
      <c r="AZ38" s="1"/>
      <c r="BA38" s="1"/>
      <c r="BB38" s="1"/>
      <c r="BC38" s="1"/>
      <c r="BD38" s="1"/>
      <c r="BE38" s="49" t="s">
        <v>152</v>
      </c>
      <c r="BF38" s="1"/>
      <c r="BG38" s="1"/>
      <c r="BH38" s="1"/>
      <c r="BI38" s="1"/>
      <c r="BJ38" s="1"/>
      <c r="BK38" s="1"/>
      <c r="BL38" s="53"/>
    </row>
    <row r="39" spans="2:64" ht="11.25" customHeight="1">
      <c r="B39" s="52"/>
      <c r="C39" s="1"/>
      <c r="D39" s="1"/>
      <c r="E39" s="1"/>
      <c r="F39" s="55"/>
      <c r="G39" s="1"/>
      <c r="H39" s="1"/>
      <c r="I39" s="1"/>
      <c r="J39" s="61">
        <f>ATAN(AI37/M50)*180/PI()</f>
        <v>18.43494882292201</v>
      </c>
      <c r="K39" s="61"/>
      <c r="L39" s="1" t="s">
        <v>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 t="s">
        <v>4</v>
      </c>
      <c r="AI39" s="1"/>
      <c r="AJ39" s="1"/>
      <c r="AK39" s="1"/>
      <c r="AL39" s="1"/>
      <c r="AM39" s="1"/>
      <c r="AN39" s="1"/>
      <c r="AO39" s="1" t="s">
        <v>125</v>
      </c>
      <c r="AP39" s="1"/>
      <c r="AQ39" s="61">
        <f>+Düşey!K105</f>
        <v>58.286300382472859</v>
      </c>
      <c r="AR39" s="61"/>
      <c r="AS39" s="61"/>
      <c r="AT39" s="1" t="s">
        <v>126</v>
      </c>
      <c r="AU39" s="1"/>
      <c r="AW39" s="1" t="s">
        <v>134</v>
      </c>
      <c r="AX39" s="1"/>
      <c r="AY39" s="61">
        <f>+Düşey!J105</f>
        <v>-18.507932705492546</v>
      </c>
      <c r="AZ39" s="61"/>
      <c r="BA39" s="61"/>
      <c r="BB39" s="1" t="s">
        <v>5</v>
      </c>
      <c r="BC39" s="1"/>
      <c r="BD39" s="54"/>
      <c r="BE39" s="1" t="s">
        <v>142</v>
      </c>
      <c r="BF39" s="1"/>
      <c r="BG39" s="61">
        <f>+Düşey!I105</f>
        <v>-63.24555320336718</v>
      </c>
      <c r="BH39" s="61"/>
      <c r="BI39" s="61"/>
      <c r="BJ39" s="1" t="s">
        <v>5</v>
      </c>
      <c r="BK39" s="1"/>
      <c r="BL39" s="53"/>
    </row>
    <row r="40" spans="2:64" ht="11.25" customHeight="1">
      <c r="B40" s="52"/>
      <c r="C40" s="1"/>
      <c r="D40" s="1"/>
      <c r="E40" s="1"/>
      <c r="F40" s="55"/>
      <c r="G40" s="1"/>
      <c r="H40" s="1"/>
      <c r="I40" s="1"/>
      <c r="J40" s="1"/>
      <c r="K40" s="1"/>
      <c r="L40" s="1"/>
      <c r="M40" s="1"/>
      <c r="N40" s="61">
        <f>SQRT(M50^2+AI37^2)</f>
        <v>6.324555320336759</v>
      </c>
      <c r="O40" s="61"/>
      <c r="P40" s="1" t="s">
        <v>0</v>
      </c>
      <c r="Q40" s="1"/>
      <c r="R40" s="1"/>
      <c r="S40" s="1"/>
      <c r="T40" s="1"/>
      <c r="U40" s="1"/>
      <c r="V40" s="1"/>
      <c r="W40" s="1"/>
      <c r="X40" s="1"/>
      <c r="Y40" s="1"/>
      <c r="Z40" s="61">
        <f>SQRT(AA50^2+AI37^2)</f>
        <v>6.324555320336759</v>
      </c>
      <c r="AA40" s="61"/>
      <c r="AB40" s="1" t="s">
        <v>0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 t="s">
        <v>127</v>
      </c>
      <c r="AP40" s="1"/>
      <c r="AQ40" s="61">
        <f>+Düşey!K106</f>
        <v>-89.777161261467512</v>
      </c>
      <c r="AR40" s="61"/>
      <c r="AS40" s="61"/>
      <c r="AT40" s="1" t="s">
        <v>126</v>
      </c>
      <c r="AU40" s="54"/>
      <c r="AW40" s="1" t="s">
        <v>135</v>
      </c>
      <c r="AX40" s="1"/>
      <c r="AY40" s="61">
        <f>+Düşey!J106</f>
        <v>-18.507932705492546</v>
      </c>
      <c r="AZ40" s="61"/>
      <c r="BA40" s="61"/>
      <c r="BB40" s="1" t="s">
        <v>5</v>
      </c>
      <c r="BC40" s="54"/>
      <c r="BD40" s="54"/>
      <c r="BE40" s="1" t="s">
        <v>143</v>
      </c>
      <c r="BF40" s="1"/>
      <c r="BG40" s="61">
        <f>+Düşey!I106</f>
        <v>-63.24555320336718</v>
      </c>
      <c r="BH40" s="61"/>
      <c r="BI40" s="61"/>
      <c r="BJ40" s="1" t="s">
        <v>5</v>
      </c>
      <c r="BK40" s="54"/>
      <c r="BL40" s="53"/>
    </row>
    <row r="41" spans="2:64" ht="11.25" customHeight="1">
      <c r="B41" s="52"/>
      <c r="C41" s="1"/>
      <c r="D41" s="1"/>
      <c r="E41" s="1"/>
      <c r="F41" s="55"/>
      <c r="G41" s="5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55"/>
      <c r="AI41" s="1"/>
      <c r="AJ41" s="1"/>
      <c r="AK41" s="1"/>
      <c r="AL41" s="1"/>
      <c r="AM41" s="1"/>
      <c r="AN41" s="1"/>
      <c r="AO41" s="1" t="s">
        <v>128</v>
      </c>
      <c r="AP41" s="1"/>
      <c r="AQ41" s="61">
        <f>+Düşey!O156</f>
        <v>-89.77716126146754</v>
      </c>
      <c r="AR41" s="61"/>
      <c r="AS41" s="61"/>
      <c r="AT41" s="1" t="s">
        <v>126</v>
      </c>
      <c r="AU41" s="54"/>
      <c r="AW41" s="1" t="s">
        <v>136</v>
      </c>
      <c r="AX41" s="1"/>
      <c r="AY41" s="61">
        <f>+Düşey!N156</f>
        <v>54.14727778695169</v>
      </c>
      <c r="AZ41" s="61"/>
      <c r="BA41" s="61"/>
      <c r="BB41" s="1" t="s">
        <v>5</v>
      </c>
      <c r="BC41" s="54"/>
      <c r="BD41" s="54"/>
      <c r="BE41" s="1" t="s">
        <v>144</v>
      </c>
      <c r="BF41" s="1"/>
      <c r="BG41" s="61">
        <f>+Düşey!M156</f>
        <v>-37.558166639144474</v>
      </c>
      <c r="BH41" s="61"/>
      <c r="BI41" s="61"/>
      <c r="BJ41" s="1" t="s">
        <v>5</v>
      </c>
      <c r="BK41" s="54"/>
      <c r="BL41" s="53"/>
    </row>
    <row r="42" spans="2:64" ht="11.25" customHeight="1">
      <c r="B42" s="52"/>
      <c r="C42" s="1"/>
      <c r="D42" s="1"/>
      <c r="E42" s="1"/>
      <c r="F42" s="55"/>
      <c r="G42" s="5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5"/>
      <c r="AI42" s="1"/>
      <c r="AJ42" s="55" t="s">
        <v>0</v>
      </c>
      <c r="AK42" s="1"/>
      <c r="AL42" s="1"/>
      <c r="AM42" s="1"/>
      <c r="AN42" s="1"/>
      <c r="AO42" s="1" t="s">
        <v>129</v>
      </c>
      <c r="AP42" s="1"/>
      <c r="AQ42" s="61">
        <f>+Düşey!O157</f>
        <v>62.943632937647386</v>
      </c>
      <c r="AR42" s="61"/>
      <c r="AS42" s="61"/>
      <c r="AT42" s="1" t="s">
        <v>126</v>
      </c>
      <c r="AU42" s="54"/>
      <c r="AW42" s="1" t="s">
        <v>137</v>
      </c>
      <c r="AX42" s="1"/>
      <c r="AY42" s="61">
        <f>+Düşey!N157</f>
        <v>-5.8527222130483061</v>
      </c>
      <c r="AZ42" s="61"/>
      <c r="BA42" s="61"/>
      <c r="BB42" s="1" t="s">
        <v>5</v>
      </c>
      <c r="BC42" s="54"/>
      <c r="BD42" s="54"/>
      <c r="BE42" s="1" t="s">
        <v>145</v>
      </c>
      <c r="BF42" s="1"/>
      <c r="BG42" s="61">
        <f>+Düşey!M157</f>
        <v>-17.558166639144474</v>
      </c>
      <c r="BH42" s="61"/>
      <c r="BI42" s="61"/>
      <c r="BJ42" s="1" t="s">
        <v>5</v>
      </c>
      <c r="BK42" s="54"/>
      <c r="BL42" s="53"/>
    </row>
    <row r="43" spans="2:64" ht="11.25" customHeight="1">
      <c r="B43" s="52"/>
      <c r="C43" s="1"/>
      <c r="D43" s="1"/>
      <c r="E43" s="1"/>
      <c r="F43" s="55"/>
      <c r="G43" s="5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55"/>
      <c r="AI43" s="1"/>
      <c r="AJ43" s="62">
        <f>+AM16</f>
        <v>8</v>
      </c>
      <c r="AK43" s="1"/>
      <c r="AL43" s="1"/>
      <c r="AM43" s="1"/>
      <c r="AN43" s="1"/>
      <c r="AO43" s="1" t="s">
        <v>130</v>
      </c>
      <c r="AP43" s="1"/>
      <c r="AQ43" s="61">
        <f>+Düşey!O206</f>
        <v>62.943632937647358</v>
      </c>
      <c r="AR43" s="61"/>
      <c r="AS43" s="61"/>
      <c r="AT43" s="1" t="s">
        <v>126</v>
      </c>
      <c r="AU43" s="54"/>
      <c r="AW43" s="1" t="s">
        <v>138</v>
      </c>
      <c r="AX43" s="1"/>
      <c r="AY43" s="61">
        <f>+Düşey!N206</f>
        <v>5.8527222130478691</v>
      </c>
      <c r="AZ43" s="61"/>
      <c r="BA43" s="61"/>
      <c r="BB43" s="1" t="s">
        <v>5</v>
      </c>
      <c r="BC43" s="54"/>
      <c r="BD43" s="54"/>
      <c r="BE43" s="1" t="s">
        <v>146</v>
      </c>
      <c r="BF43" s="1"/>
      <c r="BG43" s="61">
        <f>+Düşey!M206</f>
        <v>-17.558166639146698</v>
      </c>
      <c r="BH43" s="61"/>
      <c r="BI43" s="61"/>
      <c r="BJ43" s="1" t="s">
        <v>5</v>
      </c>
      <c r="BK43" s="54"/>
      <c r="BL43" s="53"/>
    </row>
    <row r="44" spans="2:64" ht="11.25" customHeight="1">
      <c r="B44" s="52"/>
      <c r="C44" s="1"/>
      <c r="D44" s="1"/>
      <c r="E44" s="1"/>
      <c r="F44" s="55"/>
      <c r="G44" s="5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5"/>
      <c r="AI44" s="1"/>
      <c r="AJ44" s="62"/>
      <c r="AK44" s="1"/>
      <c r="AL44" s="1"/>
      <c r="AM44" s="1"/>
      <c r="AN44" s="1"/>
      <c r="AO44" s="1" t="s">
        <v>131</v>
      </c>
      <c r="AP44" s="1"/>
      <c r="AQ44" s="61">
        <f>+Düşey!O207</f>
        <v>-89.777161261470326</v>
      </c>
      <c r="AR44" s="61"/>
      <c r="AS44" s="61"/>
      <c r="AT44" s="1" t="s">
        <v>126</v>
      </c>
      <c r="AU44" s="54"/>
      <c r="AW44" s="1" t="s">
        <v>139</v>
      </c>
      <c r="AX44" s="1"/>
      <c r="AY44" s="61">
        <f>+Düşey!N207</f>
        <v>-54.147277786952131</v>
      </c>
      <c r="AZ44" s="61"/>
      <c r="BA44" s="61"/>
      <c r="BB44" s="1" t="s">
        <v>5</v>
      </c>
      <c r="BC44" s="54"/>
      <c r="BD44" s="1"/>
      <c r="BE44" s="1" t="s">
        <v>147</v>
      </c>
      <c r="BF44" s="1"/>
      <c r="BG44" s="61">
        <f>+Düşey!M207</f>
        <v>-37.558166639146698</v>
      </c>
      <c r="BH44" s="61"/>
      <c r="BI44" s="61"/>
      <c r="BJ44" s="1" t="s">
        <v>5</v>
      </c>
      <c r="BK44" s="54"/>
      <c r="BL44" s="53"/>
    </row>
    <row r="45" spans="2:64" ht="11.25" customHeight="1">
      <c r="B45" s="52"/>
      <c r="C45" s="1"/>
      <c r="D45" s="1"/>
      <c r="E45" s="1"/>
      <c r="F45" s="55"/>
      <c r="G45" s="5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55"/>
      <c r="AI45" s="1"/>
      <c r="AJ45" s="62"/>
      <c r="AK45" s="1"/>
      <c r="AL45" s="1"/>
      <c r="AM45" s="1"/>
      <c r="AN45" s="1"/>
      <c r="AO45" s="1" t="s">
        <v>132</v>
      </c>
      <c r="AP45" s="1"/>
      <c r="AQ45" s="61">
        <f>+Düşey!K232</f>
        <v>-89.777161261470354</v>
      </c>
      <c r="AR45" s="61"/>
      <c r="AS45" s="61"/>
      <c r="AT45" s="1" t="s">
        <v>126</v>
      </c>
      <c r="AU45" s="1"/>
      <c r="AW45" s="1" t="s">
        <v>140</v>
      </c>
      <c r="AX45" s="1"/>
      <c r="AY45" s="61">
        <f>+Düşey!J232</f>
        <v>18.507932705493445</v>
      </c>
      <c r="AZ45" s="61"/>
      <c r="BA45" s="61"/>
      <c r="BB45" s="1" t="s">
        <v>5</v>
      </c>
      <c r="BC45" s="1"/>
      <c r="BD45" s="1"/>
      <c r="BE45" s="1" t="s">
        <v>148</v>
      </c>
      <c r="BF45" s="1"/>
      <c r="BG45" s="61">
        <f>+Düşey!I232</f>
        <v>-63.245553203368111</v>
      </c>
      <c r="BH45" s="61"/>
      <c r="BI45" s="61"/>
      <c r="BJ45" s="1" t="s">
        <v>5</v>
      </c>
      <c r="BK45" s="1"/>
      <c r="BL45" s="53"/>
    </row>
    <row r="46" spans="2:64" ht="11.25" customHeight="1">
      <c r="B46" s="52"/>
      <c r="C46" s="1"/>
      <c r="D46" s="1"/>
      <c r="E46" s="1"/>
      <c r="F46" s="55"/>
      <c r="G46" s="5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5"/>
      <c r="AI46" s="1"/>
      <c r="AJ46" s="1"/>
      <c r="AK46" s="1"/>
      <c r="AL46" s="1"/>
      <c r="AM46" s="1"/>
      <c r="AN46" s="1"/>
      <c r="AO46" s="1" t="s">
        <v>133</v>
      </c>
      <c r="AP46" s="1"/>
      <c r="AQ46" s="61">
        <f>+Düşey!K233</f>
        <v>58.286300382477187</v>
      </c>
      <c r="AR46" s="61"/>
      <c r="AS46" s="61"/>
      <c r="AT46" s="1" t="s">
        <v>126</v>
      </c>
      <c r="AU46" s="1"/>
      <c r="AV46" s="1"/>
      <c r="AW46" s="1" t="s">
        <v>141</v>
      </c>
      <c r="AX46" s="1"/>
      <c r="AY46" s="61">
        <f>+Düşey!J233</f>
        <v>18.507932705493445</v>
      </c>
      <c r="AZ46" s="61"/>
      <c r="BA46" s="61"/>
      <c r="BB46" s="1" t="s">
        <v>5</v>
      </c>
      <c r="BC46" s="1"/>
      <c r="BD46" s="1"/>
      <c r="BE46" s="1" t="s">
        <v>149</v>
      </c>
      <c r="BF46" s="1"/>
      <c r="BG46" s="61">
        <f>+Düşey!I233</f>
        <v>-63.245553203368111</v>
      </c>
      <c r="BH46" s="61"/>
      <c r="BI46" s="61"/>
      <c r="BJ46" s="1" t="s">
        <v>5</v>
      </c>
      <c r="BK46" s="1"/>
      <c r="BL46" s="53"/>
    </row>
    <row r="47" spans="2:64" ht="11.25" customHeight="1">
      <c r="B47" s="52"/>
      <c r="C47" s="1"/>
      <c r="D47" s="1"/>
      <c r="E47" s="1"/>
      <c r="F47" s="55"/>
      <c r="G47" s="5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55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53"/>
    </row>
    <row r="48" spans="2:64" ht="11.25" customHeight="1">
      <c r="B48" s="52"/>
      <c r="C48" s="1"/>
      <c r="D48" s="1"/>
      <c r="E48" s="1"/>
      <c r="F48" s="1"/>
      <c r="G48" s="1" t="s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 t="s">
        <v>1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53"/>
    </row>
    <row r="49" spans="2:64" ht="11.25" customHeight="1">
      <c r="B49" s="5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53"/>
    </row>
    <row r="50" spans="2:64" ht="11.25" customHeight="1">
      <c r="B50" s="52"/>
      <c r="C50" s="1"/>
      <c r="D50" s="1"/>
      <c r="E50" s="1"/>
      <c r="F50" s="1"/>
      <c r="G50" s="1"/>
      <c r="H50" s="1"/>
      <c r="I50" s="1"/>
      <c r="J50" s="1"/>
      <c r="K50" s="1"/>
      <c r="L50" s="1"/>
      <c r="M50" s="61">
        <f>+M24</f>
        <v>6</v>
      </c>
      <c r="N50" s="61"/>
      <c r="O50" s="1" t="s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1">
        <f>+M50</f>
        <v>6</v>
      </c>
      <c r="AB50" s="61"/>
      <c r="AC50" s="1" t="s">
        <v>0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53"/>
    </row>
    <row r="51" spans="2:64" ht="11.25" customHeight="1">
      <c r="B51" s="5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53"/>
    </row>
    <row r="52" spans="2:64" ht="11.25" customHeight="1">
      <c r="B52" s="5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61">
        <f>+T26</f>
        <v>12</v>
      </c>
      <c r="U52" s="61"/>
      <c r="V52" s="1" t="s">
        <v>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53"/>
    </row>
    <row r="53" spans="2:64" ht="11.25" customHeight="1">
      <c r="B53" s="5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53"/>
    </row>
    <row r="54" spans="2:64" ht="11.25" customHeight="1">
      <c r="B54" s="5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53"/>
    </row>
    <row r="55" spans="2:64" ht="11.25" customHeight="1">
      <c r="B55" s="5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53"/>
    </row>
    <row r="56" spans="2:64" ht="11.25" customHeight="1">
      <c r="B56" s="52"/>
      <c r="C56" s="1"/>
      <c r="D56" s="1"/>
      <c r="E56" s="1"/>
      <c r="F56" s="1"/>
      <c r="G56" s="1"/>
      <c r="H56" s="1"/>
      <c r="I56" s="1"/>
      <c r="J56" s="1"/>
      <c r="K56" s="1"/>
      <c r="L56" s="59" t="s">
        <v>9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53"/>
    </row>
    <row r="57" spans="2:64" ht="11.25" customHeight="1">
      <c r="B57" s="5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53"/>
    </row>
    <row r="58" spans="2:64" ht="11.25" customHeight="1">
      <c r="B58" s="5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53"/>
    </row>
    <row r="59" spans="2:64" ht="11.25" customHeight="1">
      <c r="B59" s="5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4">
        <v>4.5</v>
      </c>
      <c r="P59" s="64"/>
      <c r="Q59" s="64"/>
      <c r="R59" s="1" t="s">
        <v>5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53"/>
    </row>
    <row r="60" spans="2:64" ht="11.25" customHeight="1">
      <c r="B60" s="5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 t="s">
        <v>8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53"/>
    </row>
    <row r="61" spans="2:64" ht="11.25" customHeight="1">
      <c r="B61" s="5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1">
        <f>+AI37</f>
        <v>2</v>
      </c>
      <c r="AJ61" s="61"/>
      <c r="AK61" s="1" t="s">
        <v>0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53"/>
    </row>
    <row r="62" spans="2:64" ht="11.25" customHeight="1">
      <c r="B62" s="52"/>
      <c r="C62" s="64">
        <v>2.5</v>
      </c>
      <c r="D62" s="64"/>
      <c r="E62" s="64"/>
      <c r="F62" s="1" t="s">
        <v>5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49" t="s">
        <v>150</v>
      </c>
      <c r="AP62" s="1"/>
      <c r="AQ62" s="1"/>
      <c r="AR62" s="1"/>
      <c r="AS62" s="1"/>
      <c r="AT62" s="1"/>
      <c r="AU62" s="1"/>
      <c r="AV62" s="1"/>
      <c r="AW62" s="49" t="s">
        <v>151</v>
      </c>
      <c r="AX62" s="1"/>
      <c r="AY62" s="1"/>
      <c r="AZ62" s="1"/>
      <c r="BA62" s="1"/>
      <c r="BB62" s="1"/>
      <c r="BC62" s="1"/>
      <c r="BD62" s="1"/>
      <c r="BE62" s="49" t="s">
        <v>152</v>
      </c>
      <c r="BF62" s="1"/>
      <c r="BG62" s="1"/>
      <c r="BH62" s="1"/>
      <c r="BI62" s="1"/>
      <c r="BJ62" s="1"/>
      <c r="BK62" s="1"/>
      <c r="BL62" s="53"/>
    </row>
    <row r="63" spans="2:64" ht="11.25" customHeight="1">
      <c r="B63" s="52"/>
      <c r="C63" s="1"/>
      <c r="D63" s="1"/>
      <c r="E63" s="1"/>
      <c r="F63" s="1"/>
      <c r="G63" s="1" t="s">
        <v>7</v>
      </c>
      <c r="H63" s="1"/>
      <c r="I63" s="1"/>
      <c r="J63" s="61">
        <f>ATAN(AI61/M74)*180/PI()</f>
        <v>18.43494882292201</v>
      </c>
      <c r="K63" s="61"/>
      <c r="L63" s="1" t="s">
        <v>6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64">
        <f>+C62</f>
        <v>2.5</v>
      </c>
      <c r="AE63" s="64"/>
      <c r="AF63" s="64"/>
      <c r="AG63" s="1" t="s">
        <v>5</v>
      </c>
      <c r="AH63" s="1"/>
      <c r="AI63" s="1" t="s">
        <v>4</v>
      </c>
      <c r="AJ63" s="1"/>
      <c r="AK63" s="1"/>
      <c r="AL63" s="1"/>
      <c r="AM63" s="1"/>
      <c r="AN63" s="1"/>
      <c r="AO63" s="1" t="s">
        <v>125</v>
      </c>
      <c r="AP63" s="1"/>
      <c r="AQ63" s="61">
        <f>+Deprem!K105</f>
        <v>-22.966320430054974</v>
      </c>
      <c r="AR63" s="61"/>
      <c r="AS63" s="61"/>
      <c r="AT63" s="1" t="s">
        <v>126</v>
      </c>
      <c r="AU63" s="1"/>
      <c r="AW63" s="1" t="s">
        <v>134</v>
      </c>
      <c r="AX63" s="1"/>
      <c r="AY63" s="61">
        <f>+Deprem!J105</f>
        <v>4.7499999999994502</v>
      </c>
      <c r="AZ63" s="61"/>
      <c r="BA63" s="61"/>
      <c r="BB63" s="1" t="s">
        <v>5</v>
      </c>
      <c r="BC63" s="1"/>
      <c r="BD63" s="54"/>
      <c r="BE63" s="1" t="s">
        <v>142</v>
      </c>
      <c r="BF63" s="1"/>
      <c r="BG63" s="61">
        <f>+Deprem!I105</f>
        <v>3.2556132616567601</v>
      </c>
      <c r="BH63" s="61"/>
      <c r="BI63" s="61"/>
      <c r="BJ63" s="1" t="s">
        <v>5</v>
      </c>
      <c r="BK63" s="54"/>
      <c r="BL63" s="53"/>
    </row>
    <row r="64" spans="2:64" ht="11.25" customHeight="1">
      <c r="B64" s="5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1">
        <f>SQRT(M74^2+AI61^2)</f>
        <v>6.324555320336759</v>
      </c>
      <c r="O64" s="61"/>
      <c r="P64" s="1" t="s">
        <v>0</v>
      </c>
      <c r="Q64" s="1"/>
      <c r="R64" s="1"/>
      <c r="S64" s="1"/>
      <c r="T64" s="1"/>
      <c r="U64" s="1"/>
      <c r="V64" s="1"/>
      <c r="W64" s="1"/>
      <c r="X64" s="1"/>
      <c r="Y64" s="1"/>
      <c r="Z64" s="61">
        <f>SQRT(AA74^2+AI61^2)</f>
        <v>6.324555320336759</v>
      </c>
      <c r="AA64" s="61"/>
      <c r="AB64" s="1" t="s">
        <v>0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 t="s">
        <v>127</v>
      </c>
      <c r="AP64" s="1"/>
      <c r="AQ64" s="61">
        <f>+Deprem!K106</f>
        <v>15.033679569940633</v>
      </c>
      <c r="AR64" s="61"/>
      <c r="AS64" s="61"/>
      <c r="AT64" s="1" t="s">
        <v>126</v>
      </c>
      <c r="AU64" s="54"/>
      <c r="AW64" s="1" t="s">
        <v>135</v>
      </c>
      <c r="AX64" s="1"/>
      <c r="AY64" s="61">
        <f>+Deprem!J106</f>
        <v>4.7499999999994502</v>
      </c>
      <c r="AZ64" s="61"/>
      <c r="BA64" s="61"/>
      <c r="BB64" s="1" t="s">
        <v>5</v>
      </c>
      <c r="BC64" s="54"/>
      <c r="BD64" s="54"/>
      <c r="BE64" s="1" t="s">
        <v>143</v>
      </c>
      <c r="BF64" s="1"/>
      <c r="BG64" s="61">
        <f>+Deprem!I106</f>
        <v>3.2556132616567601</v>
      </c>
      <c r="BH64" s="61"/>
      <c r="BI64" s="61"/>
      <c r="BJ64" s="1" t="s">
        <v>5</v>
      </c>
      <c r="BK64" s="54"/>
      <c r="BL64" s="53"/>
    </row>
    <row r="65" spans="2:64" ht="11.25" customHeight="1">
      <c r="B65" s="52"/>
      <c r="C65" s="1"/>
      <c r="D65" s="1"/>
      <c r="E65" s="1"/>
      <c r="F65" s="5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55"/>
      <c r="AI65" s="1"/>
      <c r="AJ65" s="1"/>
      <c r="AK65" s="1"/>
      <c r="AL65" s="1"/>
      <c r="AM65" s="1"/>
      <c r="AN65" s="1"/>
      <c r="AO65" s="1" t="s">
        <v>128</v>
      </c>
      <c r="AP65" s="1"/>
      <c r="AQ65" s="61">
        <f>+Deprem!K131</f>
        <v>15.033679569940638</v>
      </c>
      <c r="AR65" s="61"/>
      <c r="AS65" s="61"/>
      <c r="AT65" s="1" t="s">
        <v>126</v>
      </c>
      <c r="AU65" s="54"/>
      <c r="AW65" s="1" t="s">
        <v>136</v>
      </c>
      <c r="AX65" s="1"/>
      <c r="AY65" s="61">
        <f>+Deprem!J131</f>
        <v>-2.3770334527075723</v>
      </c>
      <c r="AZ65" s="61"/>
      <c r="BA65" s="61"/>
      <c r="BB65" s="1" t="s">
        <v>5</v>
      </c>
      <c r="BC65" s="54"/>
      <c r="BD65" s="54"/>
      <c r="BE65" s="1" t="s">
        <v>144</v>
      </c>
      <c r="BF65" s="1"/>
      <c r="BG65" s="61">
        <f>+Deprem!I131</f>
        <v>3.1640527293642222</v>
      </c>
      <c r="BH65" s="61"/>
      <c r="BI65" s="61"/>
      <c r="BJ65" s="1" t="s">
        <v>5</v>
      </c>
      <c r="BK65" s="54"/>
      <c r="BL65" s="53"/>
    </row>
    <row r="66" spans="2:64" ht="11.25" customHeight="1">
      <c r="B66" s="52"/>
      <c r="C66" s="1"/>
      <c r="D66" s="1"/>
      <c r="E66" s="1"/>
      <c r="F66" s="5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5"/>
      <c r="AI66" s="1"/>
      <c r="AJ66" s="55" t="s">
        <v>0</v>
      </c>
      <c r="AK66" s="1"/>
      <c r="AL66" s="1"/>
      <c r="AM66" s="1"/>
      <c r="AN66" s="1"/>
      <c r="AO66" s="1" t="s">
        <v>129</v>
      </c>
      <c r="AP66" s="1"/>
      <c r="AQ66" s="61">
        <f>+Deprem!K132</f>
        <v>5.1514348342607263E-13</v>
      </c>
      <c r="AR66" s="61"/>
      <c r="AS66" s="61"/>
      <c r="AT66" s="1" t="s">
        <v>126</v>
      </c>
      <c r="AU66" s="54"/>
      <c r="AW66" s="1" t="s">
        <v>137</v>
      </c>
      <c r="AX66" s="1"/>
      <c r="AY66" s="61">
        <f>+Deprem!J132</f>
        <v>-2.3770334527075723</v>
      </c>
      <c r="AZ66" s="61"/>
      <c r="BA66" s="61"/>
      <c r="BB66" s="1" t="s">
        <v>5</v>
      </c>
      <c r="BC66" s="54"/>
      <c r="BD66" s="54"/>
      <c r="BE66" s="1" t="s">
        <v>145</v>
      </c>
      <c r="BF66" s="1"/>
      <c r="BG66" s="61">
        <f>+Deprem!I132</f>
        <v>3.1640527293642222</v>
      </c>
      <c r="BH66" s="61"/>
      <c r="BI66" s="61"/>
      <c r="BJ66" s="1" t="s">
        <v>5</v>
      </c>
      <c r="BK66" s="54"/>
      <c r="BL66" s="53"/>
    </row>
    <row r="67" spans="2:64" ht="11.25" customHeight="1">
      <c r="B67" s="52"/>
      <c r="C67" s="1"/>
      <c r="D67" s="1"/>
      <c r="E67" s="1"/>
      <c r="F67" s="5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55"/>
      <c r="AI67" s="1"/>
      <c r="AJ67" s="62">
        <f>+AJ43</f>
        <v>8</v>
      </c>
      <c r="AK67" s="1"/>
      <c r="AL67" s="1"/>
      <c r="AM67" s="1"/>
      <c r="AN67" s="1"/>
      <c r="AO67" s="1" t="s">
        <v>130</v>
      </c>
      <c r="AP67" s="1"/>
      <c r="AQ67" s="61">
        <f>+Deprem!K156</f>
        <v>5.0803805606847163E-13</v>
      </c>
      <c r="AR67" s="61"/>
      <c r="AS67" s="61"/>
      <c r="AT67" s="1" t="s">
        <v>126</v>
      </c>
      <c r="AU67" s="54"/>
      <c r="AW67" s="1" t="s">
        <v>138</v>
      </c>
      <c r="AX67" s="1"/>
      <c r="AY67" s="61">
        <f>+Deprem!J156</f>
        <v>-2.3770334527078476</v>
      </c>
      <c r="AZ67" s="61"/>
      <c r="BA67" s="61"/>
      <c r="BB67" s="1" t="s">
        <v>5</v>
      </c>
      <c r="BC67" s="54"/>
      <c r="BD67" s="54"/>
      <c r="BE67" s="1" t="s">
        <v>146</v>
      </c>
      <c r="BF67" s="1"/>
      <c r="BG67" s="61">
        <f>+Deprem!I156</f>
        <v>-3.1640527293635881</v>
      </c>
      <c r="BH67" s="61"/>
      <c r="BI67" s="61"/>
      <c r="BJ67" s="1" t="s">
        <v>5</v>
      </c>
      <c r="BK67" s="54"/>
      <c r="BL67" s="53"/>
    </row>
    <row r="68" spans="2:64" ht="11.25" customHeight="1">
      <c r="B68" s="52"/>
      <c r="C68" s="1"/>
      <c r="D68" s="1"/>
      <c r="E68" s="1"/>
      <c r="F68" s="5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5"/>
      <c r="AI68" s="1"/>
      <c r="AJ68" s="62"/>
      <c r="AK68" s="1"/>
      <c r="AL68" s="1"/>
      <c r="AM68" s="1"/>
      <c r="AN68" s="1"/>
      <c r="AO68" s="1" t="s">
        <v>131</v>
      </c>
      <c r="AP68" s="1"/>
      <c r="AQ68" s="61">
        <f>+Deprem!K157</f>
        <v>-15.033679569941363</v>
      </c>
      <c r="AR68" s="61"/>
      <c r="AS68" s="61"/>
      <c r="AT68" s="1" t="s">
        <v>126</v>
      </c>
      <c r="AU68" s="54"/>
      <c r="AW68" s="1" t="s">
        <v>139</v>
      </c>
      <c r="AX68" s="1"/>
      <c r="AY68" s="61">
        <f>+Deprem!J157</f>
        <v>-2.3770334527078476</v>
      </c>
      <c r="AZ68" s="61"/>
      <c r="BA68" s="61"/>
      <c r="BB68" s="1" t="s">
        <v>5</v>
      </c>
      <c r="BC68" s="54"/>
      <c r="BD68" s="1"/>
      <c r="BE68" s="1" t="s">
        <v>147</v>
      </c>
      <c r="BF68" s="1"/>
      <c r="BG68" s="61">
        <f>+Deprem!I157</f>
        <v>-3.1640527293635881</v>
      </c>
      <c r="BH68" s="61"/>
      <c r="BI68" s="61"/>
      <c r="BJ68" s="1" t="s">
        <v>5</v>
      </c>
      <c r="BK68" s="54"/>
      <c r="BL68" s="53"/>
    </row>
    <row r="69" spans="2:64" ht="11.25" customHeight="1">
      <c r="B69" s="52"/>
      <c r="C69" s="1"/>
      <c r="D69" s="1"/>
      <c r="E69" s="1"/>
      <c r="F69" s="5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55"/>
      <c r="AI69" s="1"/>
      <c r="AJ69" s="62"/>
      <c r="AK69" s="1"/>
      <c r="AL69" s="1"/>
      <c r="AM69" s="1"/>
      <c r="AN69" s="1"/>
      <c r="AO69" s="1" t="s">
        <v>132</v>
      </c>
      <c r="AP69" s="1"/>
      <c r="AQ69" s="61">
        <f>+Deprem!K181</f>
        <v>-15.033679569941365</v>
      </c>
      <c r="AR69" s="61"/>
      <c r="AS69" s="61"/>
      <c r="AT69" s="1" t="s">
        <v>126</v>
      </c>
      <c r="AU69" s="1"/>
      <c r="AW69" s="1" t="s">
        <v>140</v>
      </c>
      <c r="AX69" s="1"/>
      <c r="AY69" s="61">
        <f>+Deprem!J181</f>
        <v>4.7499999999996039</v>
      </c>
      <c r="AZ69" s="61"/>
      <c r="BA69" s="61"/>
      <c r="BB69" s="1" t="s">
        <v>5</v>
      </c>
      <c r="BC69" s="1"/>
      <c r="BD69" s="1"/>
      <c r="BE69" s="1" t="s">
        <v>148</v>
      </c>
      <c r="BF69" s="1"/>
      <c r="BG69" s="61">
        <f>+Deprem!I181</f>
        <v>-3.2556132616567659</v>
      </c>
      <c r="BH69" s="61"/>
      <c r="BI69" s="61"/>
      <c r="BJ69" s="1" t="s">
        <v>5</v>
      </c>
      <c r="BK69" s="54"/>
      <c r="BL69" s="53"/>
    </row>
    <row r="70" spans="2:64" ht="11.25" customHeight="1">
      <c r="B70" s="52"/>
      <c r="C70" s="1"/>
      <c r="D70" s="1"/>
      <c r="E70" s="1"/>
      <c r="F70" s="5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5"/>
      <c r="AI70" s="1"/>
      <c r="AJ70" s="1"/>
      <c r="AK70" s="1"/>
      <c r="AL70" s="1"/>
      <c r="AM70" s="1"/>
      <c r="AN70" s="1"/>
      <c r="AO70" s="1" t="s">
        <v>133</v>
      </c>
      <c r="AP70" s="1"/>
      <c r="AQ70" s="61">
        <f>+Deprem!K182</f>
        <v>22.966320430055472</v>
      </c>
      <c r="AR70" s="61"/>
      <c r="AS70" s="61"/>
      <c r="AT70" s="1" t="s">
        <v>126</v>
      </c>
      <c r="AU70" s="1"/>
      <c r="AV70" s="1"/>
      <c r="AW70" s="1" t="s">
        <v>141</v>
      </c>
      <c r="AX70" s="1"/>
      <c r="AY70" s="61">
        <f>+Deprem!J182</f>
        <v>4.7499999999996039</v>
      </c>
      <c r="AZ70" s="61"/>
      <c r="BA70" s="61"/>
      <c r="BB70" s="1" t="s">
        <v>5</v>
      </c>
      <c r="BC70" s="1"/>
      <c r="BD70" s="1"/>
      <c r="BE70" s="1" t="s">
        <v>149</v>
      </c>
      <c r="BF70" s="1"/>
      <c r="BG70" s="61">
        <f>+Deprem!I182</f>
        <v>-3.2556132616567659</v>
      </c>
      <c r="BH70" s="61"/>
      <c r="BI70" s="61"/>
      <c r="BJ70" s="1" t="s">
        <v>5</v>
      </c>
      <c r="BK70" s="54"/>
      <c r="BL70" s="53"/>
    </row>
    <row r="71" spans="2:64" ht="11.25" customHeight="1">
      <c r="B71" s="52"/>
      <c r="C71" s="1"/>
      <c r="D71" s="1"/>
      <c r="E71" s="1"/>
      <c r="F71" s="5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55"/>
      <c r="AI71" s="1"/>
      <c r="AJ71" s="1"/>
      <c r="AK71" s="1"/>
      <c r="AL71" s="1"/>
      <c r="AM71" s="1"/>
      <c r="AN71" s="1"/>
      <c r="AO71" s="1"/>
      <c r="AP71" s="1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3"/>
    </row>
    <row r="72" spans="2:64" ht="11.25" customHeight="1">
      <c r="B72" s="52"/>
      <c r="C72" s="1"/>
      <c r="D72" s="1"/>
      <c r="E72" s="1"/>
      <c r="F72" s="1"/>
      <c r="G72" s="1" t="s">
        <v>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 t="s">
        <v>1</v>
      </c>
      <c r="AJ72" s="1"/>
      <c r="AK72" s="1"/>
      <c r="AL72" s="1"/>
      <c r="AM72" s="1"/>
      <c r="AN72" s="1"/>
      <c r="AO72" s="1" t="s">
        <v>160</v>
      </c>
      <c r="AP72" s="1"/>
      <c r="AQ72" s="54"/>
      <c r="AR72" s="54"/>
      <c r="AS72" s="54"/>
      <c r="AT72" s="54"/>
      <c r="AU72" s="54"/>
      <c r="AX72" s="63">
        <f>+Deprem!F57</f>
        <v>8.4814441695438156E-2</v>
      </c>
      <c r="AY72" s="63"/>
      <c r="AZ72" s="63"/>
      <c r="BA72" s="63"/>
      <c r="BB72" s="54" t="s">
        <v>0</v>
      </c>
      <c r="BC72" s="54"/>
      <c r="BI72" s="54"/>
      <c r="BJ72" s="54"/>
      <c r="BK72" s="54"/>
      <c r="BL72" s="53"/>
    </row>
    <row r="73" spans="2:64" ht="11.25" customHeight="1">
      <c r="B73" s="5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61"/>
      <c r="AF73" s="61"/>
      <c r="AG73" s="61"/>
      <c r="AH73" s="1"/>
      <c r="AI73" s="1"/>
      <c r="AJ73" s="1"/>
      <c r="AK73" s="1"/>
      <c r="AL73" s="1"/>
      <c r="AM73" s="1"/>
      <c r="AN73" s="1"/>
      <c r="AO73" s="1" t="s">
        <v>161</v>
      </c>
      <c r="AP73" s="1"/>
      <c r="AQ73" s="1"/>
      <c r="AR73" s="1"/>
      <c r="AS73" s="1"/>
      <c r="AT73" s="1"/>
      <c r="AU73" s="1"/>
      <c r="AX73" s="63">
        <f>+Deprem!F60</f>
        <v>8.4866679099345255E-2</v>
      </c>
      <c r="AY73" s="63"/>
      <c r="AZ73" s="63"/>
      <c r="BA73" s="63"/>
      <c r="BB73" s="54" t="s">
        <v>0</v>
      </c>
      <c r="BC73" s="1"/>
      <c r="BI73" s="1"/>
      <c r="BJ73" s="1"/>
      <c r="BK73" s="1"/>
      <c r="BL73" s="53"/>
    </row>
    <row r="74" spans="2:64" ht="11.25" customHeight="1">
      <c r="B74" s="52"/>
      <c r="C74" s="1"/>
      <c r="D74" s="1"/>
      <c r="E74" s="1"/>
      <c r="F74" s="1"/>
      <c r="G74" s="1"/>
      <c r="H74" s="1"/>
      <c r="I74" s="1"/>
      <c r="J74" s="1"/>
      <c r="K74" s="1"/>
      <c r="L74" s="1"/>
      <c r="M74" s="61">
        <f>+M50</f>
        <v>6</v>
      </c>
      <c r="N74" s="61"/>
      <c r="O74" s="1" t="s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1">
        <f>+AA50</f>
        <v>6</v>
      </c>
      <c r="AB74" s="61"/>
      <c r="AC74" s="1" t="s">
        <v>0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 t="s">
        <v>162</v>
      </c>
      <c r="AP74" s="1"/>
      <c r="AQ74" s="1"/>
      <c r="AR74" s="1"/>
      <c r="AS74" s="1"/>
      <c r="AT74" s="1"/>
      <c r="AU74" s="1"/>
      <c r="AX74" s="63">
        <f>+Deprem!F63</f>
        <v>8.4814441695438877E-2</v>
      </c>
      <c r="AY74" s="63"/>
      <c r="AZ74" s="63"/>
      <c r="BA74" s="63"/>
      <c r="BB74" s="54" t="s">
        <v>0</v>
      </c>
      <c r="BC74" s="1"/>
      <c r="BI74" s="1"/>
      <c r="BJ74" s="1"/>
      <c r="BK74" s="1"/>
      <c r="BL74" s="53"/>
    </row>
    <row r="75" spans="2:64" ht="11.25" customHeight="1">
      <c r="B75" s="5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53"/>
    </row>
    <row r="76" spans="2:64" ht="11.25" customHeight="1">
      <c r="B76" s="5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61">
        <f>+T52</f>
        <v>12</v>
      </c>
      <c r="U76" s="61"/>
      <c r="V76" s="1" t="s">
        <v>0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53"/>
    </row>
    <row r="77" spans="2:64" ht="11.25" customHeight="1">
      <c r="B77" s="5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53"/>
    </row>
    <row r="78" spans="2:64" ht="11.25" customHeight="1" thickBot="1"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8"/>
    </row>
  </sheetData>
  <sheetProtection algorithmName="SHA-512" hashValue="AUBgQWUJIeEjTg8W1u7bBMdO3QFHLyvfr/9LuNXMDwAXjygGhAqyHyY+Y/5PzpP7pprtp/LP+GZZOQKWAw8C7A==" saltValue="Jw//UQK1MjX9X/i8lBAc1w==" spinCount="100000" sheet="1" objects="1" scenarios="1"/>
  <mergeCells count="129">
    <mergeCell ref="BG69:BI69"/>
    <mergeCell ref="M12:O12"/>
    <mergeCell ref="M13:O13"/>
    <mergeCell ref="Z12:AB12"/>
    <mergeCell ref="Z13:AB13"/>
    <mergeCell ref="AQ67:AS67"/>
    <mergeCell ref="AY67:BA67"/>
    <mergeCell ref="BG67:BI67"/>
    <mergeCell ref="AQ66:AS66"/>
    <mergeCell ref="AY66:BA66"/>
    <mergeCell ref="BG43:BI43"/>
    <mergeCell ref="AQ44:AS44"/>
    <mergeCell ref="AY44:BA44"/>
    <mergeCell ref="BG44:BI44"/>
    <mergeCell ref="BG39:BI39"/>
    <mergeCell ref="AY20:BA20"/>
    <mergeCell ref="AQ40:AS40"/>
    <mergeCell ref="AY40:BA40"/>
    <mergeCell ref="BG40:BI40"/>
    <mergeCell ref="AQ41:AS41"/>
    <mergeCell ref="AY41:BA41"/>
    <mergeCell ref="BG41:BI41"/>
    <mergeCell ref="BG20:BI20"/>
    <mergeCell ref="BG13:BI13"/>
    <mergeCell ref="B2:BL2"/>
    <mergeCell ref="AQ70:AS70"/>
    <mergeCell ref="AY70:BA70"/>
    <mergeCell ref="BG70:BI70"/>
    <mergeCell ref="AQ68:AS68"/>
    <mergeCell ref="AY68:BA68"/>
    <mergeCell ref="BG68:BI68"/>
    <mergeCell ref="AQ65:AS65"/>
    <mergeCell ref="AY65:BA65"/>
    <mergeCell ref="BG65:BI65"/>
    <mergeCell ref="BG66:BI66"/>
    <mergeCell ref="AQ63:AS63"/>
    <mergeCell ref="AY63:BA63"/>
    <mergeCell ref="BG63:BI63"/>
    <mergeCell ref="AQ64:AS64"/>
    <mergeCell ref="AY64:BA64"/>
    <mergeCell ref="BG64:BI64"/>
    <mergeCell ref="BG45:BI45"/>
    <mergeCell ref="AQ46:AS46"/>
    <mergeCell ref="AY46:BA46"/>
    <mergeCell ref="BG46:BI46"/>
    <mergeCell ref="BG42:BI42"/>
    <mergeCell ref="AQ43:AS43"/>
    <mergeCell ref="AP5:BE8"/>
    <mergeCell ref="AB8:AC8"/>
    <mergeCell ref="AG15:AG16"/>
    <mergeCell ref="AL11:AM11"/>
    <mergeCell ref="AM16:AM18"/>
    <mergeCell ref="AK14:AK16"/>
    <mergeCell ref="AK17:AK19"/>
    <mergeCell ref="F15:F16"/>
    <mergeCell ref="AT10:AW10"/>
    <mergeCell ref="AH20:AH21"/>
    <mergeCell ref="AQ13:AS13"/>
    <mergeCell ref="AQ14:AS14"/>
    <mergeCell ref="AQ15:AS15"/>
    <mergeCell ref="AQ16:AS16"/>
    <mergeCell ref="AQ17:AS17"/>
    <mergeCell ref="AQ18:AS18"/>
    <mergeCell ref="AQ19:AS19"/>
    <mergeCell ref="AQ20:AS20"/>
    <mergeCell ref="G15:G16"/>
    <mergeCell ref="AG17:AG19"/>
    <mergeCell ref="AH17:AH19"/>
    <mergeCell ref="AH15:AH16"/>
    <mergeCell ref="AG20:AG21"/>
    <mergeCell ref="K8:L8"/>
    <mergeCell ref="C14:C16"/>
    <mergeCell ref="C17:C19"/>
    <mergeCell ref="T26:U26"/>
    <mergeCell ref="M24:N24"/>
    <mergeCell ref="AA24:AB24"/>
    <mergeCell ref="T76:U76"/>
    <mergeCell ref="I13:J13"/>
    <mergeCell ref="O14:P14"/>
    <mergeCell ref="Z14:AA14"/>
    <mergeCell ref="N64:O64"/>
    <mergeCell ref="M74:N74"/>
    <mergeCell ref="AA74:AB74"/>
    <mergeCell ref="C62:E62"/>
    <mergeCell ref="J63:K63"/>
    <mergeCell ref="F20:F21"/>
    <mergeCell ref="Z40:AA40"/>
    <mergeCell ref="G20:G21"/>
    <mergeCell ref="O32:P32"/>
    <mergeCell ref="M50:N50"/>
    <mergeCell ref="J39:K39"/>
    <mergeCell ref="T52:U52"/>
    <mergeCell ref="F17:F19"/>
    <mergeCell ref="G17:G19"/>
    <mergeCell ref="BG14:BI14"/>
    <mergeCell ref="BG15:BI15"/>
    <mergeCell ref="BG16:BI16"/>
    <mergeCell ref="BG17:BI17"/>
    <mergeCell ref="BG18:BI18"/>
    <mergeCell ref="AD63:AF63"/>
    <mergeCell ref="BG19:BI19"/>
    <mergeCell ref="N40:O40"/>
    <mergeCell ref="AY14:BA14"/>
    <mergeCell ref="AY15:BA15"/>
    <mergeCell ref="AY16:BA16"/>
    <mergeCell ref="AY17:BA17"/>
    <mergeCell ref="AY18:BA18"/>
    <mergeCell ref="AQ45:AS45"/>
    <mergeCell ref="AY45:BA45"/>
    <mergeCell ref="AY19:BA19"/>
    <mergeCell ref="AY43:BA43"/>
    <mergeCell ref="AY13:BA13"/>
    <mergeCell ref="AE73:AG73"/>
    <mergeCell ref="AJ67:AJ69"/>
    <mergeCell ref="AI61:AJ61"/>
    <mergeCell ref="AX72:BA72"/>
    <mergeCell ref="AX73:BA73"/>
    <mergeCell ref="O59:Q59"/>
    <mergeCell ref="AX74:BA74"/>
    <mergeCell ref="AI37:AJ37"/>
    <mergeCell ref="AJ43:AJ45"/>
    <mergeCell ref="AA50:AB50"/>
    <mergeCell ref="AQ39:AS39"/>
    <mergeCell ref="AY39:BA39"/>
    <mergeCell ref="AQ42:AS42"/>
    <mergeCell ref="AY42:BA42"/>
    <mergeCell ref="Z64:AA64"/>
    <mergeCell ref="AQ69:AS69"/>
    <mergeCell ref="AY69:BA69"/>
  </mergeCells>
  <pageMargins left="0.7" right="0.7" top="0.75" bottom="0.75" header="0.3" footer="0.3"/>
  <pageSetup paperSize="9" orientation="portrait" horizontalDpi="4294967294" verticalDpi="0" r:id="rId1"/>
  <ignoredErrors>
    <ignoredError sqref="AD6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U75"/>
  <sheetViews>
    <sheetView zoomScale="90" zoomScaleNormal="90" workbookViewId="0">
      <selection activeCell="BJ11" sqref="BJ11"/>
    </sheetView>
  </sheetViews>
  <sheetFormatPr defaultColWidth="2.83203125" defaultRowHeight="11.25"/>
  <cols>
    <col min="1" max="59" width="2.83203125" style="1"/>
    <col min="60" max="60" width="6.33203125" style="1" bestFit="1" customWidth="1"/>
    <col min="61" max="61" width="7.5" style="1" customWidth="1"/>
    <col min="62" max="62" width="10.33203125" style="1" bestFit="1" customWidth="1"/>
    <col min="63" max="64" width="2.83203125" style="1"/>
    <col min="65" max="65" width="4.5" style="1" customWidth="1"/>
    <col min="66" max="67" width="2.83203125" style="1"/>
    <col min="68" max="68" width="10.33203125" style="1" bestFit="1" customWidth="1"/>
    <col min="69" max="69" width="3.5" style="1" customWidth="1"/>
    <col min="70" max="73" width="2.83203125" style="1"/>
    <col min="74" max="77" width="5.1640625" style="1" customWidth="1"/>
    <col min="78" max="78" width="12.33203125" style="1" customWidth="1"/>
    <col min="79" max="80" width="5.1640625" style="1" customWidth="1"/>
    <col min="81" max="81" width="11.33203125" style="38" bestFit="1" customWidth="1"/>
    <col min="82" max="82" width="12.33203125" style="38" bestFit="1" customWidth="1"/>
    <col min="83" max="84" width="11.33203125" style="38" bestFit="1" customWidth="1"/>
    <col min="85" max="85" width="12.33203125" style="38" bestFit="1" customWidth="1"/>
    <col min="86" max="86" width="11.33203125" style="38" bestFit="1" customWidth="1"/>
    <col min="87" max="87" width="2.83203125" style="1"/>
    <col min="88" max="93" width="5.5" style="1" customWidth="1"/>
    <col min="94" max="95" width="2.83203125" style="1"/>
    <col min="96" max="96" width="7.83203125" style="1" bestFit="1" customWidth="1"/>
    <col min="97" max="97" width="5.1640625" style="1" bestFit="1" customWidth="1"/>
    <col min="98" max="98" width="6.1640625" style="1" bestFit="1" customWidth="1"/>
    <col min="99" max="99" width="7.83203125" style="1" bestFit="1" customWidth="1"/>
    <col min="100" max="100" width="5.6640625" style="1" bestFit="1" customWidth="1"/>
    <col min="101" max="101" width="6.1640625" style="1" bestFit="1" customWidth="1"/>
    <col min="102" max="110" width="2.83203125" style="1"/>
    <col min="111" max="116" width="12.83203125" style="1" bestFit="1" customWidth="1"/>
    <col min="117" max="122" width="2.83203125" style="1"/>
    <col min="123" max="124" width="7.83203125" style="1" bestFit="1" customWidth="1"/>
    <col min="125" max="125" width="6.1640625" style="1" bestFit="1" customWidth="1"/>
    <col min="126" max="126" width="9.83203125" style="1" bestFit="1" customWidth="1"/>
    <col min="127" max="128" width="8.83203125" style="1" bestFit="1" customWidth="1"/>
    <col min="129" max="129" width="9.83203125" style="1" bestFit="1" customWidth="1"/>
    <col min="130" max="131" width="8.83203125" style="1" bestFit="1" customWidth="1"/>
    <col min="132" max="132" width="5.83203125" style="1" bestFit="1" customWidth="1"/>
    <col min="133" max="133" width="7.83203125" style="1" bestFit="1" customWidth="1"/>
    <col min="134" max="135" width="5.83203125" style="1" bestFit="1" customWidth="1"/>
    <col min="136" max="136" width="7.83203125" style="1" bestFit="1" customWidth="1"/>
    <col min="137" max="137" width="5.83203125" style="1" bestFit="1" customWidth="1"/>
    <col min="138" max="16384" width="2.83203125" style="1"/>
  </cols>
  <sheetData>
    <row r="1" spans="1:82" ht="12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I1" s="1" t="s">
        <v>27</v>
      </c>
      <c r="BM1" s="1" t="s">
        <v>39</v>
      </c>
    </row>
    <row r="2" spans="1:8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 t="s">
        <v>13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6"/>
    </row>
    <row r="3" spans="1:82" ht="12.75">
      <c r="A3" s="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12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I3" s="1" t="s">
        <v>28</v>
      </c>
    </row>
    <row r="4" spans="1:82">
      <c r="A4" s="2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I4" s="1" t="s">
        <v>21</v>
      </c>
      <c r="BJ4" s="21">
        <f>+Sheet1!M24</f>
        <v>6</v>
      </c>
      <c r="BK4" s="1" t="s">
        <v>0</v>
      </c>
      <c r="BX4" s="1" t="s">
        <v>118</v>
      </c>
      <c r="CB4" s="1" t="s">
        <v>117</v>
      </c>
      <c r="CC4" s="1"/>
      <c r="CD4" s="1"/>
    </row>
    <row r="5" spans="1:82">
      <c r="A5" s="2"/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3" t="e">
        <f>+M7+AA7</f>
        <v>#VALUE!</v>
      </c>
      <c r="U5" s="73"/>
      <c r="V5" s="2" t="s">
        <v>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9"/>
      <c r="BI5" s="1" t="s">
        <v>22</v>
      </c>
      <c r="BJ5" s="21">
        <f>+Sheet1!AM16</f>
        <v>8</v>
      </c>
      <c r="BK5" s="1" t="s">
        <v>0</v>
      </c>
      <c r="CB5" s="1" t="s">
        <v>109</v>
      </c>
      <c r="CC5" s="1">
        <f>BJ14*BJ5/2</f>
        <v>14</v>
      </c>
      <c r="CD5" s="1"/>
    </row>
    <row r="6" spans="1:82">
      <c r="A6" s="2"/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9"/>
      <c r="BI6" s="1" t="s">
        <v>23</v>
      </c>
      <c r="BJ6" s="21">
        <f>+Sheet1!AL11</f>
        <v>2</v>
      </c>
      <c r="BK6" s="1" t="s">
        <v>0</v>
      </c>
      <c r="BX6" s="26">
        <v>1</v>
      </c>
      <c r="BY6" s="1">
        <f>-1*(-1*HARF!BJ14*HARF!BJ5/2+HARF!BJ15*HARF!BJ41/2*HARF!BJ43)</f>
        <v>10</v>
      </c>
      <c r="CB6" s="1" t="s">
        <v>110</v>
      </c>
      <c r="CC6" s="1">
        <f>BJ14*BJ5^2/12</f>
        <v>18.666666666666668</v>
      </c>
      <c r="CD6" s="1"/>
    </row>
    <row r="7" spans="1:82">
      <c r="A7" s="2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76" t="s">
        <v>21</v>
      </c>
      <c r="N7" s="76"/>
      <c r="O7" s="2" t="s"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3" t="s">
        <v>21</v>
      </c>
      <c r="AB7" s="73"/>
      <c r="AC7" s="2" t="s">
        <v>0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9"/>
      <c r="BI7" s="1" t="s">
        <v>38</v>
      </c>
      <c r="BJ7" s="21">
        <f>+Sheet1!AT10*1000</f>
        <v>200000000</v>
      </c>
      <c r="BK7" s="1" t="s">
        <v>40</v>
      </c>
      <c r="BX7" s="26">
        <v>2</v>
      </c>
      <c r="BY7" s="1">
        <f>-1*(-1*HARF!BJ15*HARF!BJ41/2*HARF!BJ42)</f>
        <v>12</v>
      </c>
      <c r="CC7" s="1"/>
      <c r="CD7" s="1"/>
    </row>
    <row r="8" spans="1:82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9"/>
      <c r="BI8" s="1" t="s">
        <v>52</v>
      </c>
      <c r="BJ8" s="22">
        <f>+Sheet1!F17/100000000</f>
        <v>1.9429999999999999E-5</v>
      </c>
      <c r="BK8" s="1" t="s">
        <v>41</v>
      </c>
      <c r="BX8" s="26">
        <v>3</v>
      </c>
      <c r="BY8" s="1">
        <f>-1*(-1*HARF!BJ14*HARF!BJ32^2/12-HARF!BJ15*HARF!BJ41^2/12)</f>
        <v>32</v>
      </c>
      <c r="CB8" s="1" t="s">
        <v>111</v>
      </c>
      <c r="CC8" s="1">
        <f>BJ15*BJ41/2</f>
        <v>12.649110640673518</v>
      </c>
      <c r="CD8" s="1"/>
    </row>
    <row r="9" spans="1:82">
      <c r="A9" s="2"/>
      <c r="B9" s="7"/>
      <c r="C9" s="2"/>
      <c r="D9" s="2"/>
      <c r="E9" s="2"/>
      <c r="F9" s="2"/>
      <c r="G9" s="2"/>
      <c r="H9" s="2"/>
      <c r="I9" s="2"/>
      <c r="J9" s="2"/>
      <c r="K9" s="76" t="s">
        <v>18</v>
      </c>
      <c r="L9" s="76"/>
      <c r="M9" s="2" t="s">
        <v>10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76" t="s">
        <v>19</v>
      </c>
      <c r="AC9" s="76"/>
      <c r="AD9" s="2" t="s">
        <v>10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9"/>
      <c r="BI9" s="1" t="s">
        <v>53</v>
      </c>
      <c r="BJ9" s="22">
        <f>+Sheet1!G17/10000</f>
        <v>2.8500000000000001E-3</v>
      </c>
      <c r="BK9" s="1" t="s">
        <v>42</v>
      </c>
      <c r="BX9" s="26">
        <v>4</v>
      </c>
      <c r="BY9" s="1">
        <f>-1*(HARF!BJ15*HARF!BJ41/2*HARF!BJ43-HARF!BJ16*HARF!BJ50/2*-HARF!BJ52)</f>
        <v>1.0000000000000009</v>
      </c>
      <c r="CB9" s="1" t="s">
        <v>112</v>
      </c>
      <c r="CC9" s="1">
        <f>BJ15*BJ41^2/12</f>
        <v>13.333333333333336</v>
      </c>
      <c r="CD9" s="1"/>
    </row>
    <row r="10" spans="1:82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9"/>
      <c r="BI10" s="1" t="s">
        <v>54</v>
      </c>
      <c r="BJ10" s="22">
        <f>+Sheet1!M12/100000000</f>
        <v>1.9429999999999999E-5</v>
      </c>
      <c r="BK10" s="1" t="s">
        <v>41</v>
      </c>
      <c r="BX10" s="26">
        <v>5</v>
      </c>
      <c r="BY10" s="1">
        <f>-1*(-1*HARF!BJ15*HARF!BJ41/2*HARF!BJ42-HARF!BJ16*HARF!BJ50/2*HARF!BJ51)</f>
        <v>27</v>
      </c>
      <c r="CC10" s="1"/>
      <c r="CD10" s="1"/>
    </row>
    <row r="11" spans="1:82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9"/>
      <c r="BI11" s="1" t="s">
        <v>55</v>
      </c>
      <c r="BJ11" s="22">
        <f>+Sheet1!M13/10000</f>
        <v>2.8500000000000001E-3</v>
      </c>
      <c r="BK11" s="1" t="s">
        <v>42</v>
      </c>
      <c r="BX11" s="26">
        <v>6</v>
      </c>
      <c r="BY11" s="1">
        <f>-1*(HARF!BJ15*HARF!BJ41^2/12-HARF!BJ16*HARF!BJ50^2/12)</f>
        <v>3.3333333333333321</v>
      </c>
      <c r="CB11" s="1" t="s">
        <v>113</v>
      </c>
      <c r="CC11" s="1">
        <f>BJ16*BJ50/2</f>
        <v>15.811388300841898</v>
      </c>
      <c r="CD11" s="1"/>
    </row>
    <row r="12" spans="1:82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76" t="s">
        <v>23</v>
      </c>
      <c r="AM12" s="76"/>
      <c r="AN12" s="2" t="s">
        <v>0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9"/>
      <c r="BX12" s="26">
        <v>7</v>
      </c>
      <c r="BY12" s="1">
        <f>-1*(HARF!BJ16*HARF!BJ50/2*HARF!BJ52-HARF!BJ17*HARF!BJ59/2)</f>
        <v>15</v>
      </c>
      <c r="CB12" s="1" t="s">
        <v>114</v>
      </c>
      <c r="CC12" s="1">
        <f>BJ16*BJ50^2/12</f>
        <v>16.666666666666668</v>
      </c>
      <c r="CD12" s="1"/>
    </row>
    <row r="13" spans="1:82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10" t="s">
        <v>3</v>
      </c>
      <c r="M13" s="76">
        <v>0.5</v>
      </c>
      <c r="N13" s="76"/>
      <c r="O13" s="76"/>
      <c r="P13" s="2"/>
      <c r="Q13" s="2"/>
      <c r="R13" s="2"/>
      <c r="S13" s="2"/>
      <c r="T13" s="2"/>
      <c r="U13" s="2"/>
      <c r="V13" s="2"/>
      <c r="W13" s="2"/>
      <c r="X13" s="2"/>
      <c r="Y13" s="10" t="s">
        <v>3</v>
      </c>
      <c r="Z13" s="73">
        <f>+M13</f>
        <v>0.5</v>
      </c>
      <c r="AA13" s="73"/>
      <c r="AB13" s="73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 t="s">
        <v>16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9"/>
      <c r="BI13" s="1" t="s">
        <v>121</v>
      </c>
      <c r="BX13" s="26">
        <v>8</v>
      </c>
      <c r="BY13" s="1">
        <f>-1*(HARF!BJ16*HARF!BJ50/2*-HARF!BJ51)</f>
        <v>15</v>
      </c>
      <c r="CC13" s="1"/>
      <c r="CD13" s="1"/>
    </row>
    <row r="14" spans="1:82">
      <c r="A14" s="2"/>
      <c r="B14" s="7"/>
      <c r="C14" s="2"/>
      <c r="D14" s="2"/>
      <c r="E14" s="2"/>
      <c r="F14" s="2"/>
      <c r="G14" s="2" t="s">
        <v>7</v>
      </c>
      <c r="H14" s="2"/>
      <c r="I14" s="73" t="e">
        <f>ATAN(AL12/M7)*180/PI()</f>
        <v>#VALUE!</v>
      </c>
      <c r="J14" s="73"/>
      <c r="K14" s="11" t="s">
        <v>6</v>
      </c>
      <c r="L14" s="10" t="s">
        <v>25</v>
      </c>
      <c r="M14" s="76">
        <v>0.5</v>
      </c>
      <c r="N14" s="76"/>
      <c r="O14" s="7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4</v>
      </c>
      <c r="AI14" s="2"/>
      <c r="AJ14" s="2"/>
      <c r="AK14" s="2"/>
      <c r="AL14" s="2"/>
      <c r="AM14" s="2"/>
      <c r="AN14" s="2"/>
      <c r="AO14" s="2"/>
      <c r="AP14" s="2"/>
      <c r="AQ14" s="72" t="s">
        <v>14</v>
      </c>
      <c r="AR14" s="72"/>
      <c r="AS14" s="72"/>
      <c r="AT14" s="72"/>
      <c r="AU14" s="72"/>
      <c r="AV14" s="72"/>
      <c r="AW14" s="72"/>
      <c r="AX14" s="72"/>
      <c r="AY14" s="72"/>
      <c r="AZ14" s="72"/>
      <c r="BA14" s="2"/>
      <c r="BB14" s="2"/>
      <c r="BC14" s="2"/>
      <c r="BD14" s="2"/>
      <c r="BE14" s="9"/>
      <c r="BI14" s="1" t="s">
        <v>17</v>
      </c>
      <c r="BJ14" s="21">
        <f>+Sheet1!C17</f>
        <v>3.5</v>
      </c>
      <c r="BK14" s="1" t="s">
        <v>43</v>
      </c>
      <c r="BX14" s="26">
        <v>9</v>
      </c>
      <c r="BY14" s="1">
        <f>-1*(HARF!BJ16*HARF!BJ50^2/12-HARF!BJ17*HARF!BJ59^2/12)</f>
        <v>-3.3333333333333339</v>
      </c>
      <c r="CB14" s="1" t="s">
        <v>115</v>
      </c>
      <c r="CC14" s="1">
        <f>BJ17*BJ5/2</f>
        <v>10</v>
      </c>
      <c r="CD14" s="1"/>
    </row>
    <row r="15" spans="1:82">
      <c r="A15" s="2"/>
      <c r="B15" s="7"/>
      <c r="C15" s="71" t="s">
        <v>10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3" t="e">
        <f>SQRT(AA7^2+AL12^2)</f>
        <v>#VALUE!</v>
      </c>
      <c r="P15" s="73"/>
      <c r="Q15" s="2" t="s">
        <v>0</v>
      </c>
      <c r="R15" s="2"/>
      <c r="S15" s="2"/>
      <c r="T15" s="2"/>
      <c r="U15" s="2"/>
      <c r="V15" s="2"/>
      <c r="W15" s="2"/>
      <c r="X15" s="2"/>
      <c r="Y15" s="2"/>
      <c r="Z15" s="73" t="e">
        <f>+O15</f>
        <v>#VALUE!</v>
      </c>
      <c r="AA15" s="73"/>
      <c r="AB15" s="2" t="s">
        <v>0</v>
      </c>
      <c r="AC15" s="2"/>
      <c r="AD15" s="2"/>
      <c r="AE15" s="2"/>
      <c r="AF15" s="2"/>
      <c r="AG15" s="2"/>
      <c r="AH15" s="2"/>
      <c r="AI15" s="2"/>
      <c r="AJ15" s="2"/>
      <c r="AK15" s="71" t="s">
        <v>10</v>
      </c>
      <c r="AL15" s="2"/>
      <c r="AM15" s="2"/>
      <c r="AN15" s="2"/>
      <c r="AO15" s="2"/>
      <c r="AP15" s="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2"/>
      <c r="BB15" s="2"/>
      <c r="BC15" s="2"/>
      <c r="BD15" s="2"/>
      <c r="BE15" s="9"/>
      <c r="BI15" s="1" t="s">
        <v>18</v>
      </c>
      <c r="BJ15" s="21">
        <f>+Sheet1!K8</f>
        <v>4</v>
      </c>
      <c r="BK15" s="1" t="s">
        <v>43</v>
      </c>
      <c r="CB15" s="1" t="s">
        <v>116</v>
      </c>
      <c r="CC15" s="1">
        <f>BJ17*BJ5^2/12</f>
        <v>13.333333333333334</v>
      </c>
      <c r="CD15" s="1"/>
    </row>
    <row r="16" spans="1:82">
      <c r="A16" s="2"/>
      <c r="B16" s="7"/>
      <c r="C16" s="71"/>
      <c r="D16" s="2"/>
      <c r="E16" s="2"/>
      <c r="F16" s="7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2"/>
      <c r="AI16" s="2"/>
      <c r="AJ16" s="2"/>
      <c r="AK16" s="71"/>
      <c r="AL16" s="2"/>
      <c r="AM16" s="12" t="s">
        <v>0</v>
      </c>
      <c r="AN16" s="2"/>
      <c r="AO16" s="2"/>
      <c r="AP16" s="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2"/>
      <c r="BB16" s="2"/>
      <c r="BC16" s="2"/>
      <c r="BD16" s="2"/>
      <c r="BE16" s="9"/>
      <c r="BI16" s="1" t="s">
        <v>19</v>
      </c>
      <c r="BJ16" s="21">
        <f>+Sheet1!AB8</f>
        <v>5</v>
      </c>
      <c r="BK16" s="1" t="s">
        <v>43</v>
      </c>
    </row>
    <row r="17" spans="1:151" ht="11.25" customHeight="1">
      <c r="A17" s="2"/>
      <c r="B17" s="7"/>
      <c r="C17" s="71"/>
      <c r="D17" s="2"/>
      <c r="E17" s="2"/>
      <c r="F17" s="7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2"/>
      <c r="AI17" s="2"/>
      <c r="AJ17" s="2"/>
      <c r="AK17" s="71"/>
      <c r="AL17" s="2"/>
      <c r="AM17" s="77" t="s">
        <v>22</v>
      </c>
      <c r="AN17" s="2"/>
      <c r="AO17" s="2"/>
      <c r="AP17" s="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2"/>
      <c r="BB17" s="2"/>
      <c r="BC17" s="2"/>
      <c r="BD17" s="2"/>
      <c r="BE17" s="9"/>
      <c r="BI17" s="1" t="s">
        <v>20</v>
      </c>
      <c r="BJ17" s="21">
        <f>+Sheet1!AK17</f>
        <v>2.5</v>
      </c>
      <c r="BK17" s="1" t="s">
        <v>43</v>
      </c>
    </row>
    <row r="18" spans="1:151">
      <c r="A18" s="2"/>
      <c r="B18" s="7"/>
      <c r="C18" s="77" t="s">
        <v>17</v>
      </c>
      <c r="D18" s="2"/>
      <c r="E18" s="2"/>
      <c r="F18" s="77">
        <v>1</v>
      </c>
      <c r="G18" s="77">
        <v>1</v>
      </c>
      <c r="H18" s="2"/>
      <c r="I18" s="2"/>
      <c r="J18" s="2"/>
      <c r="K18" s="2"/>
      <c r="L18" s="2"/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1">
        <f>+F18</f>
        <v>1</v>
      </c>
      <c r="AI18" s="2"/>
      <c r="AJ18" s="2"/>
      <c r="AK18" s="77" t="s">
        <v>20</v>
      </c>
      <c r="AL18" s="2"/>
      <c r="AM18" s="77"/>
      <c r="AN18" s="2"/>
      <c r="AO18" s="2"/>
      <c r="AP18" s="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"/>
      <c r="BB18" s="2"/>
      <c r="BC18" s="2"/>
      <c r="BD18" s="2"/>
      <c r="BE18" s="9"/>
    </row>
    <row r="19" spans="1:151">
      <c r="A19" s="2"/>
      <c r="B19" s="7"/>
      <c r="C19" s="77"/>
      <c r="D19" s="2"/>
      <c r="E19" s="2"/>
      <c r="F19" s="77"/>
      <c r="G19" s="7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1"/>
      <c r="AI19" s="2"/>
      <c r="AJ19" s="2"/>
      <c r="AK19" s="77"/>
      <c r="AL19" s="2"/>
      <c r="AM19" s="7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9"/>
      <c r="BI19" s="1" t="s">
        <v>59</v>
      </c>
    </row>
    <row r="20" spans="1:151">
      <c r="A20" s="2"/>
      <c r="B20" s="7"/>
      <c r="C20" s="77"/>
      <c r="D20" s="2"/>
      <c r="E20" s="2"/>
      <c r="F20" s="77"/>
      <c r="G20" s="7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1"/>
      <c r="AI20" s="2"/>
      <c r="AJ20" s="2"/>
      <c r="AK20" s="77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9"/>
      <c r="BI20" s="1" t="s">
        <v>99</v>
      </c>
      <c r="BJ20" s="21">
        <f>+Sheet1!O32</f>
        <v>10</v>
      </c>
      <c r="BK20" s="1" t="s">
        <v>43</v>
      </c>
    </row>
    <row r="21" spans="1:151">
      <c r="A21" s="2"/>
      <c r="B21" s="7"/>
      <c r="C21" s="2"/>
      <c r="D21" s="2"/>
      <c r="E21" s="2"/>
      <c r="F21" s="75" t="s">
        <v>3</v>
      </c>
      <c r="G21" s="71" t="s">
        <v>24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5" t="s">
        <v>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9"/>
    </row>
    <row r="22" spans="1:151">
      <c r="A22" s="2"/>
      <c r="B22" s="7"/>
      <c r="C22" s="2"/>
      <c r="D22" s="2"/>
      <c r="E22" s="2"/>
      <c r="F22" s="71"/>
      <c r="G22" s="7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9"/>
      <c r="BI22" s="1" t="s">
        <v>29</v>
      </c>
    </row>
    <row r="23" spans="1:151">
      <c r="A23" s="2"/>
      <c r="B23" s="7"/>
      <c r="C23" s="2"/>
      <c r="D23" s="2"/>
      <c r="E23" s="13"/>
      <c r="F23" s="13"/>
      <c r="G23" s="13" t="s">
        <v>2</v>
      </c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3"/>
      <c r="AH23" s="13" t="s">
        <v>1</v>
      </c>
      <c r="AI23" s="13"/>
      <c r="AJ23" s="1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9"/>
      <c r="BI23" s="1" t="s">
        <v>30</v>
      </c>
      <c r="BJ23" s="21">
        <f>+Sheet1!C62</f>
        <v>2.5</v>
      </c>
      <c r="BK23" s="1" t="s">
        <v>44</v>
      </c>
    </row>
    <row r="24" spans="1:151">
      <c r="A24" s="2"/>
      <c r="B24" s="7"/>
      <c r="C24" s="2"/>
      <c r="D24" s="2"/>
      <c r="E24" s="13"/>
      <c r="F24" s="13"/>
      <c r="G24" s="13"/>
      <c r="H24" s="1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3"/>
      <c r="AH24" s="13"/>
      <c r="AI24" s="13"/>
      <c r="AJ24" s="1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9"/>
      <c r="BI24" s="1" t="s">
        <v>31</v>
      </c>
      <c r="BJ24" s="21">
        <f>+Sheet1!O59</f>
        <v>4.5</v>
      </c>
      <c r="BK24" s="1" t="s">
        <v>44</v>
      </c>
    </row>
    <row r="25" spans="1:151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9"/>
      <c r="BI25" s="1" t="s">
        <v>32</v>
      </c>
      <c r="BJ25" s="21">
        <f>+Sheet1!AD63</f>
        <v>2.5</v>
      </c>
      <c r="BK25" s="1" t="s">
        <v>44</v>
      </c>
    </row>
    <row r="26" spans="1:151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9"/>
    </row>
    <row r="27" spans="1:151" ht="12.7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8" t="s">
        <v>11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9"/>
      <c r="BI27" s="44" t="s">
        <v>26</v>
      </c>
      <c r="DG27" s="20">
        <f t="array" ref="DG27:DL27">TRANSPOSE(DM28:DM33)</f>
        <v>10</v>
      </c>
      <c r="DH27" s="20">
        <v>11</v>
      </c>
      <c r="DI27" s="20">
        <v>12</v>
      </c>
      <c r="DJ27" s="20">
        <v>1</v>
      </c>
      <c r="DK27" s="20">
        <v>2</v>
      </c>
      <c r="DL27" s="20">
        <v>3</v>
      </c>
    </row>
    <row r="28" spans="1:151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9"/>
      <c r="BH28" s="1" t="s">
        <v>45</v>
      </c>
      <c r="BI28" s="1" t="s">
        <v>33</v>
      </c>
      <c r="BJ28" s="1">
        <v>0</v>
      </c>
      <c r="BM28" s="1" t="s">
        <v>51</v>
      </c>
      <c r="BO28" s="1" t="s">
        <v>38</v>
      </c>
      <c r="BP28" s="1">
        <f>BJ7</f>
        <v>200000000</v>
      </c>
      <c r="BV28" s="19">
        <f t="array" ref="BV28:CA33">TRANSPOSE(CJ28:CO33)</f>
        <v>0</v>
      </c>
      <c r="BW28" s="19">
        <v>-1</v>
      </c>
      <c r="BX28" s="19">
        <v>0</v>
      </c>
      <c r="BY28" s="19">
        <v>0</v>
      </c>
      <c r="BZ28" s="19">
        <v>0</v>
      </c>
      <c r="CA28" s="19">
        <v>0</v>
      </c>
      <c r="CC28" s="39">
        <f>BP28*BP30/BJ32</f>
        <v>71250</v>
      </c>
      <c r="CD28" s="39">
        <v>0</v>
      </c>
      <c r="CE28" s="39">
        <v>0</v>
      </c>
      <c r="CF28" s="39">
        <f>-CC28</f>
        <v>-71250</v>
      </c>
      <c r="CG28" s="39">
        <v>0</v>
      </c>
      <c r="CH28" s="39">
        <v>0</v>
      </c>
      <c r="CJ28" s="19">
        <f>BJ33</f>
        <v>0</v>
      </c>
      <c r="CK28" s="19">
        <f>BJ34</f>
        <v>1</v>
      </c>
      <c r="CL28" s="19">
        <v>0</v>
      </c>
      <c r="CM28" s="19">
        <v>0</v>
      </c>
      <c r="CN28" s="19">
        <v>0</v>
      </c>
      <c r="CO28" s="19">
        <v>0</v>
      </c>
      <c r="CR28" s="19">
        <f t="array" ref="CR28:CW33">MMULT(BV28:CA33,CC28:CH33)</f>
        <v>0</v>
      </c>
      <c r="CS28" s="19">
        <v>-91.078125</v>
      </c>
      <c r="CT28" s="19">
        <v>-364.3125</v>
      </c>
      <c r="CU28" s="19">
        <v>0</v>
      </c>
      <c r="CV28" s="19">
        <v>91.078125</v>
      </c>
      <c r="CW28" s="19">
        <v>-364.3125</v>
      </c>
      <c r="CY28" s="19">
        <f t="shared" ref="CY28:DD33" si="0">CJ28</f>
        <v>0</v>
      </c>
      <c r="CZ28" s="19">
        <f t="shared" si="0"/>
        <v>1</v>
      </c>
      <c r="DA28" s="19">
        <f t="shared" si="0"/>
        <v>0</v>
      </c>
      <c r="DB28" s="19">
        <f t="shared" si="0"/>
        <v>0</v>
      </c>
      <c r="DC28" s="19">
        <f t="shared" si="0"/>
        <v>0</v>
      </c>
      <c r="DD28" s="19">
        <f t="shared" si="0"/>
        <v>0</v>
      </c>
      <c r="DG28" s="19">
        <f t="array" ref="DG28:DL33">MMULT(CR28:CW33,CY28:DD33)</f>
        <v>91.078125</v>
      </c>
      <c r="DH28" s="19">
        <v>0</v>
      </c>
      <c r="DI28" s="19">
        <v>-364.3125</v>
      </c>
      <c r="DJ28" s="19">
        <v>-91.078125</v>
      </c>
      <c r="DK28" s="19">
        <v>0</v>
      </c>
      <c r="DL28" s="19">
        <v>-364.3125</v>
      </c>
      <c r="DM28" s="20">
        <f t="shared" ref="DM28:DM33" si="1">BM29</f>
        <v>10</v>
      </c>
    </row>
    <row r="29" spans="1:151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6">
        <v>6</v>
      </c>
      <c r="P29" s="76"/>
      <c r="Q29" s="2" t="s">
        <v>10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9"/>
      <c r="BH29" s="1" t="s">
        <v>45</v>
      </c>
      <c r="BI29" s="1" t="s">
        <v>34</v>
      </c>
      <c r="BJ29" s="1">
        <v>0</v>
      </c>
      <c r="BM29" s="1">
        <v>10</v>
      </c>
      <c r="BO29" s="1" t="s">
        <v>57</v>
      </c>
      <c r="BP29" s="17">
        <f>BJ8</f>
        <v>1.9429999999999999E-5</v>
      </c>
      <c r="BQ29" s="17"/>
      <c r="BV29" s="19">
        <v>1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C29" s="39">
        <v>0</v>
      </c>
      <c r="CD29" s="39">
        <f>12*BP28*BP29/BJ32^3</f>
        <v>91.078125</v>
      </c>
      <c r="CE29" s="39">
        <f>6*BP28*BP29/BJ32^2</f>
        <v>364.3125</v>
      </c>
      <c r="CF29" s="39">
        <v>0</v>
      </c>
      <c r="CG29" s="39">
        <f>-CD29</f>
        <v>-91.078125</v>
      </c>
      <c r="CH29" s="39">
        <f>CE29</f>
        <v>364.3125</v>
      </c>
      <c r="CJ29" s="19">
        <f>-CK28</f>
        <v>-1</v>
      </c>
      <c r="CK29" s="19">
        <f>CJ28</f>
        <v>0</v>
      </c>
      <c r="CL29" s="19">
        <v>0</v>
      </c>
      <c r="CM29" s="19">
        <v>0</v>
      </c>
      <c r="CN29" s="19">
        <v>0</v>
      </c>
      <c r="CO29" s="19">
        <v>0</v>
      </c>
      <c r="CR29" s="19">
        <v>71250</v>
      </c>
      <c r="CS29" s="19">
        <v>0</v>
      </c>
      <c r="CT29" s="19">
        <v>0</v>
      </c>
      <c r="CU29" s="19">
        <v>-71250</v>
      </c>
      <c r="CV29" s="19">
        <v>0</v>
      </c>
      <c r="CW29" s="19">
        <v>0</v>
      </c>
      <c r="CY29" s="19">
        <f t="shared" si="0"/>
        <v>-1</v>
      </c>
      <c r="CZ29" s="19">
        <f t="shared" si="0"/>
        <v>0</v>
      </c>
      <c r="DA29" s="19">
        <f t="shared" si="0"/>
        <v>0</v>
      </c>
      <c r="DB29" s="19">
        <f t="shared" si="0"/>
        <v>0</v>
      </c>
      <c r="DC29" s="19">
        <f t="shared" si="0"/>
        <v>0</v>
      </c>
      <c r="DD29" s="19">
        <f t="shared" si="0"/>
        <v>0</v>
      </c>
      <c r="DG29" s="19">
        <v>0</v>
      </c>
      <c r="DH29" s="19">
        <v>71250</v>
      </c>
      <c r="DI29" s="19">
        <v>0</v>
      </c>
      <c r="DJ29" s="19">
        <v>0</v>
      </c>
      <c r="DK29" s="19">
        <v>-71250</v>
      </c>
      <c r="DL29" s="19">
        <v>0</v>
      </c>
      <c r="DM29" s="20">
        <f t="shared" si="1"/>
        <v>11</v>
      </c>
    </row>
    <row r="30" spans="1:151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9"/>
      <c r="BH30" s="1" t="s">
        <v>45</v>
      </c>
      <c r="BI30" s="1" t="s">
        <v>35</v>
      </c>
      <c r="BJ30" s="1">
        <v>0</v>
      </c>
      <c r="BM30" s="1">
        <v>11</v>
      </c>
      <c r="BO30" s="1" t="s">
        <v>58</v>
      </c>
      <c r="BP30" s="17">
        <f>BJ9</f>
        <v>2.8500000000000001E-3</v>
      </c>
      <c r="BQ30" s="17"/>
      <c r="BR30" s="1" t="s">
        <v>50</v>
      </c>
      <c r="BV30" s="19">
        <v>0</v>
      </c>
      <c r="BW30" s="19">
        <v>0</v>
      </c>
      <c r="BX30" s="19">
        <v>1</v>
      </c>
      <c r="BY30" s="19">
        <v>0</v>
      </c>
      <c r="BZ30" s="19">
        <v>0</v>
      </c>
      <c r="CA30" s="19">
        <v>0</v>
      </c>
      <c r="CC30" s="39">
        <v>0</v>
      </c>
      <c r="CD30" s="39">
        <f>CE29</f>
        <v>364.3125</v>
      </c>
      <c r="CE30" s="39">
        <f>4*BP28*BP29/BJ32</f>
        <v>1942.9999999999998</v>
      </c>
      <c r="CF30" s="39">
        <v>0</v>
      </c>
      <c r="CG30" s="39">
        <f>-CE29</f>
        <v>-364.3125</v>
      </c>
      <c r="CH30" s="39">
        <f>2*BP28*BP29/BJ32</f>
        <v>971.49999999999989</v>
      </c>
      <c r="CJ30" s="19">
        <v>0</v>
      </c>
      <c r="CK30" s="19">
        <v>0</v>
      </c>
      <c r="CL30" s="19">
        <v>1</v>
      </c>
      <c r="CM30" s="19">
        <v>0</v>
      </c>
      <c r="CN30" s="19">
        <v>0</v>
      </c>
      <c r="CO30" s="19">
        <v>0</v>
      </c>
      <c r="CQ30" s="1" t="s">
        <v>56</v>
      </c>
      <c r="CR30" s="19">
        <v>0</v>
      </c>
      <c r="CS30" s="19">
        <v>364.3125</v>
      </c>
      <c r="CT30" s="19">
        <v>1942.9999999999998</v>
      </c>
      <c r="CU30" s="19">
        <v>0</v>
      </c>
      <c r="CV30" s="19">
        <v>-364.3125</v>
      </c>
      <c r="CW30" s="19">
        <v>971.49999999999989</v>
      </c>
      <c r="CY30" s="19">
        <f t="shared" si="0"/>
        <v>0</v>
      </c>
      <c r="CZ30" s="19">
        <f t="shared" si="0"/>
        <v>0</v>
      </c>
      <c r="DA30" s="19">
        <f t="shared" si="0"/>
        <v>1</v>
      </c>
      <c r="DB30" s="19">
        <f t="shared" si="0"/>
        <v>0</v>
      </c>
      <c r="DC30" s="19">
        <f t="shared" si="0"/>
        <v>0</v>
      </c>
      <c r="DD30" s="19">
        <f t="shared" si="0"/>
        <v>0</v>
      </c>
      <c r="DF30" s="1" t="s">
        <v>56</v>
      </c>
      <c r="DG30" s="19">
        <v>-364.3125</v>
      </c>
      <c r="DH30" s="19">
        <v>0</v>
      </c>
      <c r="DI30" s="19">
        <v>1942.9999999999998</v>
      </c>
      <c r="DJ30" s="19">
        <v>364.3125</v>
      </c>
      <c r="DK30" s="19">
        <v>0</v>
      </c>
      <c r="DL30" s="19">
        <v>971.49999999999989</v>
      </c>
      <c r="DM30" s="20">
        <f t="shared" si="1"/>
        <v>12</v>
      </c>
    </row>
    <row r="31" spans="1:151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9"/>
      <c r="BH31" s="1" t="s">
        <v>46</v>
      </c>
      <c r="BI31" s="1" t="s">
        <v>36</v>
      </c>
      <c r="BJ31" s="1">
        <f>BJ5</f>
        <v>8</v>
      </c>
      <c r="BM31" s="1">
        <v>12</v>
      </c>
      <c r="BV31" s="19">
        <v>0</v>
      </c>
      <c r="BW31" s="19">
        <v>0</v>
      </c>
      <c r="BX31" s="19">
        <v>0</v>
      </c>
      <c r="BY31" s="19">
        <v>0</v>
      </c>
      <c r="BZ31" s="19">
        <v>-1</v>
      </c>
      <c r="CA31" s="19">
        <v>0</v>
      </c>
      <c r="CC31" s="39">
        <f>-CC28</f>
        <v>-71250</v>
      </c>
      <c r="CD31" s="39">
        <v>0</v>
      </c>
      <c r="CE31" s="39">
        <v>0</v>
      </c>
      <c r="CF31" s="39">
        <f>CC28</f>
        <v>71250</v>
      </c>
      <c r="CG31" s="39">
        <v>0</v>
      </c>
      <c r="CH31" s="39">
        <v>0</v>
      </c>
      <c r="CJ31" s="19">
        <v>0</v>
      </c>
      <c r="CK31" s="19">
        <v>0</v>
      </c>
      <c r="CL31" s="19">
        <v>0</v>
      </c>
      <c r="CM31" s="19">
        <f t="shared" ref="CM31:CO33" si="2">CJ28</f>
        <v>0</v>
      </c>
      <c r="CN31" s="19">
        <f t="shared" si="2"/>
        <v>1</v>
      </c>
      <c r="CO31" s="19">
        <f t="shared" si="2"/>
        <v>0</v>
      </c>
      <c r="CR31" s="19">
        <v>0</v>
      </c>
      <c r="CS31" s="19">
        <v>91.078125</v>
      </c>
      <c r="CT31" s="19">
        <v>364.3125</v>
      </c>
      <c r="CU31" s="19">
        <v>0</v>
      </c>
      <c r="CV31" s="19">
        <v>-91.078125</v>
      </c>
      <c r="CW31" s="19">
        <v>364.3125</v>
      </c>
      <c r="CY31" s="19">
        <f t="shared" si="0"/>
        <v>0</v>
      </c>
      <c r="CZ31" s="19">
        <f t="shared" si="0"/>
        <v>0</v>
      </c>
      <c r="DA31" s="19">
        <f t="shared" si="0"/>
        <v>0</v>
      </c>
      <c r="DB31" s="19">
        <f t="shared" si="0"/>
        <v>0</v>
      </c>
      <c r="DC31" s="19">
        <f t="shared" si="0"/>
        <v>1</v>
      </c>
      <c r="DD31" s="19">
        <f t="shared" si="0"/>
        <v>0</v>
      </c>
      <c r="DG31" s="19">
        <v>-91.078125</v>
      </c>
      <c r="DH31" s="19">
        <v>0</v>
      </c>
      <c r="DI31" s="19">
        <v>364.3125</v>
      </c>
      <c r="DJ31" s="19">
        <v>91.078125</v>
      </c>
      <c r="DK31" s="19">
        <v>0</v>
      </c>
      <c r="DL31" s="19">
        <v>364.3125</v>
      </c>
      <c r="DM31" s="20">
        <f t="shared" si="1"/>
        <v>1</v>
      </c>
      <c r="EO31" s="78" t="s">
        <v>63</v>
      </c>
      <c r="EP31" s="78"/>
      <c r="EQ31" s="78"/>
      <c r="ER31" s="78"/>
      <c r="ES31" s="78"/>
      <c r="ET31" s="78"/>
      <c r="EU31" s="78"/>
    </row>
    <row r="32" spans="1:151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9"/>
      <c r="BH32" s="1" t="s">
        <v>47</v>
      </c>
      <c r="BI32" s="1" t="s">
        <v>37</v>
      </c>
      <c r="BJ32" s="1">
        <f>SQRT((BJ30-BJ28)^2+(BJ31-BJ29)^2)</f>
        <v>8</v>
      </c>
      <c r="BM32" s="1">
        <v>1</v>
      </c>
      <c r="BV32" s="19">
        <v>0</v>
      </c>
      <c r="BW32" s="19">
        <v>0</v>
      </c>
      <c r="BX32" s="19">
        <v>0</v>
      </c>
      <c r="BY32" s="19">
        <v>1</v>
      </c>
      <c r="BZ32" s="19">
        <v>0</v>
      </c>
      <c r="CA32" s="19">
        <v>0</v>
      </c>
      <c r="CC32" s="39">
        <v>0</v>
      </c>
      <c r="CD32" s="39">
        <f>-CD29</f>
        <v>-91.078125</v>
      </c>
      <c r="CE32" s="39">
        <f>-CE29</f>
        <v>-364.3125</v>
      </c>
      <c r="CF32" s="39">
        <v>0</v>
      </c>
      <c r="CG32" s="39">
        <f>CD29</f>
        <v>91.078125</v>
      </c>
      <c r="CH32" s="39">
        <f>CE32</f>
        <v>-364.3125</v>
      </c>
      <c r="CJ32" s="19">
        <v>0</v>
      </c>
      <c r="CK32" s="19">
        <v>0</v>
      </c>
      <c r="CL32" s="19">
        <v>0</v>
      </c>
      <c r="CM32" s="19">
        <f t="shared" si="2"/>
        <v>-1</v>
      </c>
      <c r="CN32" s="19">
        <f t="shared" si="2"/>
        <v>0</v>
      </c>
      <c r="CO32" s="19">
        <f t="shared" si="2"/>
        <v>0</v>
      </c>
      <c r="CR32" s="19">
        <v>-71250</v>
      </c>
      <c r="CS32" s="19">
        <v>0</v>
      </c>
      <c r="CT32" s="19">
        <v>0</v>
      </c>
      <c r="CU32" s="19">
        <v>71250</v>
      </c>
      <c r="CV32" s="19">
        <v>0</v>
      </c>
      <c r="CW32" s="19">
        <v>0</v>
      </c>
      <c r="CY32" s="19">
        <f t="shared" si="0"/>
        <v>0</v>
      </c>
      <c r="CZ32" s="19">
        <f t="shared" si="0"/>
        <v>0</v>
      </c>
      <c r="DA32" s="19">
        <f t="shared" si="0"/>
        <v>0</v>
      </c>
      <c r="DB32" s="19">
        <f t="shared" si="0"/>
        <v>-1</v>
      </c>
      <c r="DC32" s="19">
        <f t="shared" si="0"/>
        <v>0</v>
      </c>
      <c r="DD32" s="19">
        <f t="shared" si="0"/>
        <v>0</v>
      </c>
      <c r="DG32" s="19">
        <v>0</v>
      </c>
      <c r="DH32" s="19">
        <v>-71250</v>
      </c>
      <c r="DI32" s="19">
        <v>0</v>
      </c>
      <c r="DJ32" s="19">
        <v>0</v>
      </c>
      <c r="DK32" s="19">
        <v>71250</v>
      </c>
      <c r="DL32" s="19">
        <v>0</v>
      </c>
      <c r="DM32" s="20">
        <f t="shared" si="1"/>
        <v>2</v>
      </c>
      <c r="EO32" s="78"/>
      <c r="EP32" s="78"/>
      <c r="EQ32" s="78"/>
      <c r="ER32" s="78"/>
      <c r="ES32" s="78"/>
      <c r="ET32" s="78"/>
      <c r="EU32" s="78"/>
    </row>
    <row r="33" spans="1:151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9"/>
      <c r="BH33" s="1" t="s">
        <v>47</v>
      </c>
      <c r="BI33" s="1" t="s">
        <v>48</v>
      </c>
      <c r="BJ33" s="1">
        <f>(BJ30-BJ28)/BJ32</f>
        <v>0</v>
      </c>
      <c r="BM33" s="1">
        <v>2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1</v>
      </c>
      <c r="CC33" s="39">
        <v>0</v>
      </c>
      <c r="CD33" s="39">
        <f>CE29</f>
        <v>364.3125</v>
      </c>
      <c r="CE33" s="39">
        <f>CH30</f>
        <v>971.49999999999989</v>
      </c>
      <c r="CF33" s="39">
        <v>0</v>
      </c>
      <c r="CG33" s="39">
        <f>-CE29</f>
        <v>-364.3125</v>
      </c>
      <c r="CH33" s="39">
        <f>CE30</f>
        <v>1942.9999999999998</v>
      </c>
      <c r="CJ33" s="19">
        <v>0</v>
      </c>
      <c r="CK33" s="19">
        <v>0</v>
      </c>
      <c r="CL33" s="19">
        <v>0</v>
      </c>
      <c r="CM33" s="19">
        <f t="shared" si="2"/>
        <v>0</v>
      </c>
      <c r="CN33" s="19">
        <f t="shared" si="2"/>
        <v>0</v>
      </c>
      <c r="CO33" s="19">
        <f t="shared" si="2"/>
        <v>1</v>
      </c>
      <c r="CR33" s="19">
        <v>0</v>
      </c>
      <c r="CS33" s="19">
        <v>364.3125</v>
      </c>
      <c r="CT33" s="19">
        <v>971.49999999999989</v>
      </c>
      <c r="CU33" s="19">
        <v>0</v>
      </c>
      <c r="CV33" s="19">
        <v>-364.3125</v>
      </c>
      <c r="CW33" s="19">
        <v>1942.9999999999998</v>
      </c>
      <c r="CY33" s="19">
        <f t="shared" si="0"/>
        <v>0</v>
      </c>
      <c r="CZ33" s="19">
        <f t="shared" si="0"/>
        <v>0</v>
      </c>
      <c r="DA33" s="19">
        <f t="shared" si="0"/>
        <v>0</v>
      </c>
      <c r="DB33" s="19">
        <f t="shared" si="0"/>
        <v>0</v>
      </c>
      <c r="DC33" s="19">
        <f t="shared" si="0"/>
        <v>0</v>
      </c>
      <c r="DD33" s="19">
        <f t="shared" si="0"/>
        <v>1</v>
      </c>
      <c r="DG33" s="19">
        <v>-364.3125</v>
      </c>
      <c r="DH33" s="19">
        <v>0</v>
      </c>
      <c r="DI33" s="19">
        <v>971.49999999999989</v>
      </c>
      <c r="DJ33" s="19">
        <v>364.3125</v>
      </c>
      <c r="DK33" s="19">
        <v>0</v>
      </c>
      <c r="DL33" s="19">
        <v>1942.9999999999998</v>
      </c>
      <c r="DM33" s="20">
        <f t="shared" si="1"/>
        <v>3</v>
      </c>
      <c r="EO33" s="78"/>
      <c r="EP33" s="78"/>
      <c r="EQ33" s="78"/>
      <c r="ER33" s="78"/>
      <c r="ES33" s="78"/>
      <c r="ET33" s="78"/>
      <c r="EU33" s="78"/>
    </row>
    <row r="34" spans="1:151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73" t="str">
        <f>+AL12</f>
        <v>Lc</v>
      </c>
      <c r="AJ34" s="73"/>
      <c r="AK34" s="2" t="s">
        <v>0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9"/>
      <c r="BH34" s="1" t="s">
        <v>47</v>
      </c>
      <c r="BI34" s="18" t="s">
        <v>49</v>
      </c>
      <c r="BJ34" s="1">
        <f>(BJ31-BJ29)/BJ32</f>
        <v>1</v>
      </c>
      <c r="BM34" s="1">
        <v>3</v>
      </c>
      <c r="CC34" s="23"/>
      <c r="CD34" s="23"/>
      <c r="CE34" s="23"/>
      <c r="CF34" s="23"/>
      <c r="CG34" s="23"/>
      <c r="CH34" s="23"/>
    </row>
    <row r="35" spans="1:151">
      <c r="A35" s="2"/>
      <c r="B35" s="7"/>
      <c r="C35" s="2"/>
      <c r="D35" s="2"/>
      <c r="E35" s="2"/>
      <c r="F35" s="2" t="s">
        <v>7</v>
      </c>
      <c r="G35" s="2"/>
      <c r="H35" s="2"/>
      <c r="I35" s="2"/>
      <c r="J35" s="2"/>
      <c r="K35" s="2"/>
      <c r="L35" s="2"/>
      <c r="M35" s="10" t="s">
        <v>3</v>
      </c>
      <c r="N35" s="73">
        <f>+M13</f>
        <v>0.5</v>
      </c>
      <c r="O35" s="73"/>
      <c r="P35" s="73"/>
      <c r="Q35" s="2"/>
      <c r="R35" s="2"/>
      <c r="S35" s="2"/>
      <c r="T35" s="2"/>
      <c r="U35" s="2"/>
      <c r="V35" s="2"/>
      <c r="W35" s="2"/>
      <c r="X35" s="2"/>
      <c r="Y35" s="10" t="s">
        <v>3</v>
      </c>
      <c r="Z35" s="73">
        <f>+Z13</f>
        <v>0.5</v>
      </c>
      <c r="AA35" s="73"/>
      <c r="AB35" s="7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9"/>
      <c r="CC35" s="23"/>
      <c r="CD35" s="23"/>
      <c r="CE35" s="23"/>
      <c r="CF35" s="23"/>
      <c r="CG35" s="23"/>
      <c r="CH35" s="23"/>
    </row>
    <row r="36" spans="1:151">
      <c r="A36" s="2"/>
      <c r="B36" s="7"/>
      <c r="C36" s="2"/>
      <c r="D36" s="2"/>
      <c r="E36" s="2"/>
      <c r="F36" s="2"/>
      <c r="G36" s="2"/>
      <c r="H36" s="2"/>
      <c r="I36" s="2"/>
      <c r="J36" s="73" t="e">
        <f>ATAN(AI34/M47)*180/PI()</f>
        <v>#VALUE!</v>
      </c>
      <c r="K36" s="73"/>
      <c r="L36" s="11" t="s">
        <v>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 t="s">
        <v>4</v>
      </c>
      <c r="AI36" s="2"/>
      <c r="AJ36" s="2"/>
      <c r="AK36" s="2"/>
      <c r="AL36" s="2"/>
      <c r="AM36" s="2"/>
      <c r="AN36" s="2"/>
      <c r="AO36" s="2"/>
      <c r="AP36" s="2"/>
      <c r="AQ36" s="2" t="s">
        <v>16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9"/>
      <c r="BI36" s="44" t="s">
        <v>60</v>
      </c>
      <c r="CC36" s="23"/>
      <c r="CD36" s="23"/>
      <c r="CE36" s="23"/>
      <c r="CF36" s="23"/>
      <c r="CG36" s="23"/>
      <c r="CH36" s="23"/>
      <c r="DG36" s="20">
        <f t="array" ref="DG36:DL36">TRANSPOSE(DM37:DM42)</f>
        <v>1</v>
      </c>
      <c r="DH36" s="20">
        <v>2</v>
      </c>
      <c r="DI36" s="20">
        <v>3</v>
      </c>
      <c r="DJ36" s="20">
        <v>4</v>
      </c>
      <c r="DK36" s="20">
        <v>5</v>
      </c>
      <c r="DL36" s="20">
        <v>6</v>
      </c>
      <c r="DS36" s="20">
        <v>1</v>
      </c>
      <c r="DT36" s="20">
        <v>2</v>
      </c>
      <c r="DU36" s="20">
        <v>3</v>
      </c>
      <c r="DV36" s="20">
        <v>4</v>
      </c>
      <c r="DW36" s="20">
        <v>5</v>
      </c>
      <c r="DX36" s="20">
        <v>6</v>
      </c>
      <c r="DY36" s="20">
        <v>7</v>
      </c>
      <c r="DZ36" s="20">
        <v>8</v>
      </c>
      <c r="EA36" s="20">
        <v>9</v>
      </c>
      <c r="EB36" s="20">
        <v>10</v>
      </c>
      <c r="EC36" s="20">
        <v>11</v>
      </c>
      <c r="ED36" s="20">
        <v>12</v>
      </c>
      <c r="EE36" s="20">
        <v>13</v>
      </c>
      <c r="EF36" s="20">
        <v>14</v>
      </c>
      <c r="EG36" s="20">
        <v>15</v>
      </c>
    </row>
    <row r="37" spans="1:151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73" t="e">
        <f>SQRT(M47^2+AI34^2)</f>
        <v>#VALUE!</v>
      </c>
      <c r="O37" s="73"/>
      <c r="P37" s="2" t="s">
        <v>0</v>
      </c>
      <c r="Q37" s="2"/>
      <c r="R37" s="2"/>
      <c r="S37" s="2"/>
      <c r="T37" s="2"/>
      <c r="U37" s="2"/>
      <c r="V37" s="2"/>
      <c r="W37" s="2"/>
      <c r="X37" s="2"/>
      <c r="Y37" s="2"/>
      <c r="Z37" s="73" t="e">
        <f>SQRT(AA47^2+AI34^2)</f>
        <v>#VALUE!</v>
      </c>
      <c r="AA37" s="73"/>
      <c r="AB37" s="2" t="s"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72" t="s">
        <v>14</v>
      </c>
      <c r="AR37" s="72"/>
      <c r="AS37" s="72"/>
      <c r="AT37" s="72"/>
      <c r="AU37" s="72"/>
      <c r="AV37" s="72"/>
      <c r="AW37" s="72"/>
      <c r="AX37" s="72"/>
      <c r="AY37" s="72"/>
      <c r="AZ37" s="72"/>
      <c r="BA37" s="2"/>
      <c r="BB37" s="2"/>
      <c r="BC37" s="2"/>
      <c r="BD37" s="2"/>
      <c r="BE37" s="9"/>
      <c r="BH37" s="1" t="s">
        <v>45</v>
      </c>
      <c r="BI37" s="1" t="s">
        <v>33</v>
      </c>
      <c r="BJ37" s="1">
        <v>0</v>
      </c>
      <c r="BM37" s="1" t="s">
        <v>51</v>
      </c>
      <c r="BO37" s="1" t="s">
        <v>38</v>
      </c>
      <c r="BP37" s="1">
        <f>BJ7</f>
        <v>200000000</v>
      </c>
      <c r="BV37" s="19">
        <f t="array" ref="BV37:CA42">TRANSPOSE(CJ37:CO42)</f>
        <v>0.94868329805051377</v>
      </c>
      <c r="BW37" s="19">
        <v>-0.31622776601683794</v>
      </c>
      <c r="BX37" s="19">
        <v>0</v>
      </c>
      <c r="BY37" s="19">
        <v>0</v>
      </c>
      <c r="BZ37" s="19">
        <v>0</v>
      </c>
      <c r="CA37" s="19">
        <v>0</v>
      </c>
      <c r="CC37" s="39">
        <f>BP37*BP39/BJ41</f>
        <v>90124.913314798803</v>
      </c>
      <c r="CD37" s="39">
        <v>0</v>
      </c>
      <c r="CE37" s="39">
        <v>0</v>
      </c>
      <c r="CF37" s="39">
        <f>-CC37</f>
        <v>-90124.913314798803</v>
      </c>
      <c r="CG37" s="39">
        <v>0</v>
      </c>
      <c r="CH37" s="39">
        <v>0</v>
      </c>
      <c r="CJ37" s="19">
        <f>BJ42</f>
        <v>0.94868329805051377</v>
      </c>
      <c r="CK37" s="19">
        <f>BJ43</f>
        <v>0.31622776601683794</v>
      </c>
      <c r="CL37" s="19">
        <v>0</v>
      </c>
      <c r="CM37" s="19">
        <v>0</v>
      </c>
      <c r="CN37" s="19">
        <v>0</v>
      </c>
      <c r="CO37" s="19">
        <v>0</v>
      </c>
      <c r="CR37" s="19">
        <f t="array" ref="CR37:CW42">MMULT(BV37:CA42,CC37:CH42)</f>
        <v>85499.999999999985</v>
      </c>
      <c r="CS37" s="19">
        <v>-58.289999999999985</v>
      </c>
      <c r="CT37" s="19">
        <v>-184.32916481121478</v>
      </c>
      <c r="CU37" s="19">
        <v>-85499.999999999985</v>
      </c>
      <c r="CV37" s="19">
        <v>58.289999999999985</v>
      </c>
      <c r="CW37" s="19">
        <v>-184.32916481121478</v>
      </c>
      <c r="CY37" s="19">
        <f t="shared" ref="CY37:CY42" si="3">CJ37</f>
        <v>0.94868329805051377</v>
      </c>
      <c r="CZ37" s="19">
        <f t="shared" ref="CZ37:CZ42" si="4">CK37</f>
        <v>0.31622776601683794</v>
      </c>
      <c r="DA37" s="19">
        <f t="shared" ref="DA37:DA42" si="5">CL37</f>
        <v>0</v>
      </c>
      <c r="DB37" s="19">
        <f t="shared" ref="DB37:DB42" si="6">CM37</f>
        <v>0</v>
      </c>
      <c r="DC37" s="19">
        <f t="shared" ref="DC37:DC42" si="7">CN37</f>
        <v>0</v>
      </c>
      <c r="DD37" s="19">
        <f t="shared" ref="DD37:DD42" si="8">CO37</f>
        <v>0</v>
      </c>
      <c r="DG37" s="19">
        <f t="array" ref="DG37:DL42">MMULT(CR37:CW42,CY37:DD42)</f>
        <v>81130.854899800033</v>
      </c>
      <c r="DH37" s="19">
        <v>26982.175244996273</v>
      </c>
      <c r="DI37" s="19">
        <v>-184.32916481121478</v>
      </c>
      <c r="DJ37" s="19">
        <v>-81130.854899800033</v>
      </c>
      <c r="DK37" s="19">
        <v>-26982.175244996273</v>
      </c>
      <c r="DL37" s="19">
        <v>-184.32916481121478</v>
      </c>
      <c r="DM37" s="20">
        <f t="shared" ref="DM37:DM42" si="9">BM38</f>
        <v>1</v>
      </c>
      <c r="DR37" s="20">
        <v>1</v>
      </c>
      <c r="DS37" s="24">
        <f>DJ31+DG37</f>
        <v>81221.933024800033</v>
      </c>
      <c r="DT37" s="24">
        <f>DK31+DH37</f>
        <v>26982.175244996273</v>
      </c>
      <c r="DU37" s="24">
        <f>DL31+DI37</f>
        <v>179.98333518878522</v>
      </c>
      <c r="DV37" s="24">
        <f t="shared" ref="DV37:DX39" si="10">DJ37</f>
        <v>-81130.854899800033</v>
      </c>
      <c r="DW37" s="24">
        <f t="shared" si="10"/>
        <v>-26982.175244996273</v>
      </c>
      <c r="DX37" s="24">
        <f t="shared" si="10"/>
        <v>-184.32916481121478</v>
      </c>
      <c r="DY37" s="23"/>
      <c r="DZ37" s="23"/>
      <c r="EA37" s="23"/>
      <c r="EB37" s="24">
        <f t="shared" ref="EB37:ED39" si="11">DG31</f>
        <v>-91.078125</v>
      </c>
      <c r="EC37" s="24">
        <f t="shared" si="11"/>
        <v>0</v>
      </c>
      <c r="ED37" s="24">
        <f t="shared" si="11"/>
        <v>364.3125</v>
      </c>
      <c r="EE37" s="23"/>
      <c r="EF37" s="23"/>
      <c r="EG37" s="23"/>
      <c r="EH37" s="20">
        <v>1</v>
      </c>
    </row>
    <row r="38" spans="1:151">
      <c r="A38" s="2"/>
      <c r="B38" s="7"/>
      <c r="C38" s="2"/>
      <c r="D38" s="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2"/>
      <c r="AI38" s="2"/>
      <c r="AJ38" s="2"/>
      <c r="AK38" s="2"/>
      <c r="AL38" s="2"/>
      <c r="AM38" s="2"/>
      <c r="AN38" s="2"/>
      <c r="AO38" s="2"/>
      <c r="AP38" s="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2"/>
      <c r="BB38" s="2"/>
      <c r="BC38" s="2"/>
      <c r="BD38" s="2"/>
      <c r="BE38" s="9"/>
      <c r="BH38" s="1" t="s">
        <v>46</v>
      </c>
      <c r="BI38" s="1" t="s">
        <v>34</v>
      </c>
      <c r="BJ38" s="1">
        <f>BJ5</f>
        <v>8</v>
      </c>
      <c r="BM38" s="1">
        <v>1</v>
      </c>
      <c r="BO38" s="1" t="s">
        <v>57</v>
      </c>
      <c r="BP38" s="17">
        <f>BJ10</f>
        <v>1.9429999999999999E-5</v>
      </c>
      <c r="BQ38" s="17"/>
      <c r="BV38" s="19">
        <v>0.31622776601683794</v>
      </c>
      <c r="BW38" s="19">
        <v>0.94868329805051377</v>
      </c>
      <c r="BX38" s="19">
        <v>0</v>
      </c>
      <c r="BY38" s="19">
        <v>0</v>
      </c>
      <c r="BZ38" s="19">
        <v>0</v>
      </c>
      <c r="CA38" s="19">
        <v>0</v>
      </c>
      <c r="CC38" s="39">
        <v>0</v>
      </c>
      <c r="CD38" s="39">
        <f>12*BP37*BP38/BJ41^3</f>
        <v>184.32916481121478</v>
      </c>
      <c r="CE38" s="39">
        <f>6*BP37*BP38/BJ41^2</f>
        <v>582.89999999999986</v>
      </c>
      <c r="CF38" s="39">
        <v>0</v>
      </c>
      <c r="CG38" s="39">
        <f>-CD38</f>
        <v>-184.32916481121478</v>
      </c>
      <c r="CH38" s="39">
        <f>CE38</f>
        <v>582.89999999999986</v>
      </c>
      <c r="CJ38" s="19">
        <f>-CK37</f>
        <v>-0.31622776601683794</v>
      </c>
      <c r="CK38" s="19">
        <f>CJ37</f>
        <v>0.94868329805051377</v>
      </c>
      <c r="CL38" s="19">
        <v>0</v>
      </c>
      <c r="CM38" s="19">
        <v>0</v>
      </c>
      <c r="CN38" s="19">
        <v>0</v>
      </c>
      <c r="CO38" s="19">
        <v>0</v>
      </c>
      <c r="CR38" s="19">
        <v>28500</v>
      </c>
      <c r="CS38" s="19">
        <v>174.86999999999995</v>
      </c>
      <c r="CT38" s="19">
        <v>552.98749443364431</v>
      </c>
      <c r="CU38" s="19">
        <v>-28500</v>
      </c>
      <c r="CV38" s="19">
        <v>-174.86999999999995</v>
      </c>
      <c r="CW38" s="19">
        <v>552.98749443364431</v>
      </c>
      <c r="CY38" s="19">
        <f t="shared" si="3"/>
        <v>-0.31622776601683794</v>
      </c>
      <c r="CZ38" s="19">
        <f t="shared" si="4"/>
        <v>0.94868329805051377</v>
      </c>
      <c r="DA38" s="19">
        <f t="shared" si="5"/>
        <v>0</v>
      </c>
      <c r="DB38" s="19">
        <f t="shared" si="6"/>
        <v>0</v>
      </c>
      <c r="DC38" s="19">
        <f t="shared" si="7"/>
        <v>0</v>
      </c>
      <c r="DD38" s="19">
        <f t="shared" si="8"/>
        <v>0</v>
      </c>
      <c r="DG38" s="19">
        <v>26982.175244996277</v>
      </c>
      <c r="DH38" s="19">
        <v>9178.3875798099743</v>
      </c>
      <c r="DI38" s="19">
        <v>552.98749443364431</v>
      </c>
      <c r="DJ38" s="19">
        <v>-26982.175244996277</v>
      </c>
      <c r="DK38" s="19">
        <v>-9178.3875798099743</v>
      </c>
      <c r="DL38" s="19">
        <v>552.98749443364431</v>
      </c>
      <c r="DM38" s="20">
        <f t="shared" si="9"/>
        <v>2</v>
      </c>
      <c r="DR38" s="20">
        <v>2</v>
      </c>
      <c r="DS38" s="24">
        <f t="array" ref="DS38:DS51">TRANSPOSE(DT37:EG37)</f>
        <v>26982.175244996273</v>
      </c>
      <c r="DT38" s="24">
        <f>DK32+DH38</f>
        <v>80428.387579809976</v>
      </c>
      <c r="DU38" s="24">
        <f>DL32+DI38</f>
        <v>552.98749443364431</v>
      </c>
      <c r="DV38" s="24">
        <f t="shared" si="10"/>
        <v>-26982.175244996277</v>
      </c>
      <c r="DW38" s="24">
        <f t="shared" si="10"/>
        <v>-9178.3875798099743</v>
      </c>
      <c r="DX38" s="24">
        <f t="shared" si="10"/>
        <v>552.98749443364431</v>
      </c>
      <c r="DY38" s="23"/>
      <c r="DZ38" s="23"/>
      <c r="EA38" s="23"/>
      <c r="EB38" s="24">
        <f t="shared" si="11"/>
        <v>0</v>
      </c>
      <c r="EC38" s="24">
        <f t="shared" si="11"/>
        <v>-71250</v>
      </c>
      <c r="ED38" s="24">
        <f t="shared" si="11"/>
        <v>0</v>
      </c>
      <c r="EE38" s="23"/>
      <c r="EF38" s="23"/>
      <c r="EG38" s="23"/>
      <c r="EH38" s="20">
        <v>2</v>
      </c>
    </row>
    <row r="39" spans="1:151">
      <c r="A39" s="2"/>
      <c r="B39" s="7"/>
      <c r="C39" s="2"/>
      <c r="D39" s="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2"/>
      <c r="AI39" s="2"/>
      <c r="AJ39" s="12" t="s">
        <v>0</v>
      </c>
      <c r="AK39" s="2"/>
      <c r="AL39" s="2"/>
      <c r="AM39" s="2"/>
      <c r="AN39" s="2"/>
      <c r="AO39" s="2"/>
      <c r="AP39" s="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2"/>
      <c r="BB39" s="2"/>
      <c r="BC39" s="2"/>
      <c r="BD39" s="2"/>
      <c r="BE39" s="9"/>
      <c r="BH39" s="1" t="s">
        <v>46</v>
      </c>
      <c r="BI39" s="1" t="s">
        <v>35</v>
      </c>
      <c r="BJ39" s="1">
        <f>BJ4</f>
        <v>6</v>
      </c>
      <c r="BM39" s="1">
        <v>2</v>
      </c>
      <c r="BO39" s="1" t="s">
        <v>58</v>
      </c>
      <c r="BP39" s="17">
        <f>BJ11</f>
        <v>2.8500000000000001E-3</v>
      </c>
      <c r="BQ39" s="17"/>
      <c r="BR39" s="1" t="s">
        <v>50</v>
      </c>
      <c r="BV39" s="19">
        <v>0</v>
      </c>
      <c r="BW39" s="19">
        <v>0</v>
      </c>
      <c r="BX39" s="19">
        <v>1</v>
      </c>
      <c r="BY39" s="19">
        <v>0</v>
      </c>
      <c r="BZ39" s="19">
        <v>0</v>
      </c>
      <c r="CA39" s="19">
        <v>0</v>
      </c>
      <c r="CC39" s="39">
        <v>0</v>
      </c>
      <c r="CD39" s="39">
        <f>CE38</f>
        <v>582.89999999999986</v>
      </c>
      <c r="CE39" s="39">
        <f>4*BP37*BP38/BJ41</f>
        <v>2457.722197482864</v>
      </c>
      <c r="CF39" s="39">
        <v>0</v>
      </c>
      <c r="CG39" s="39">
        <f>-CE38</f>
        <v>-582.89999999999986</v>
      </c>
      <c r="CH39" s="39">
        <f>2*BP37*BP38/BJ41</f>
        <v>1228.861098741432</v>
      </c>
      <c r="CJ39" s="19">
        <v>0</v>
      </c>
      <c r="CK39" s="19">
        <v>0</v>
      </c>
      <c r="CL39" s="19">
        <v>1</v>
      </c>
      <c r="CM39" s="19">
        <v>0</v>
      </c>
      <c r="CN39" s="19">
        <v>0</v>
      </c>
      <c r="CO39" s="19">
        <v>0</v>
      </c>
      <c r="CQ39" s="1" t="s">
        <v>56</v>
      </c>
      <c r="CR39" s="19">
        <v>0</v>
      </c>
      <c r="CS39" s="19">
        <v>582.89999999999986</v>
      </c>
      <c r="CT39" s="19">
        <v>2457.722197482864</v>
      </c>
      <c r="CU39" s="19">
        <v>0</v>
      </c>
      <c r="CV39" s="19">
        <v>-582.89999999999986</v>
      </c>
      <c r="CW39" s="19">
        <v>1228.861098741432</v>
      </c>
      <c r="CY39" s="19">
        <f t="shared" si="3"/>
        <v>0</v>
      </c>
      <c r="CZ39" s="19">
        <f t="shared" si="4"/>
        <v>0</v>
      </c>
      <c r="DA39" s="19">
        <f t="shared" si="5"/>
        <v>1</v>
      </c>
      <c r="DB39" s="19">
        <f t="shared" si="6"/>
        <v>0</v>
      </c>
      <c r="DC39" s="19">
        <f t="shared" si="7"/>
        <v>0</v>
      </c>
      <c r="DD39" s="19">
        <f t="shared" si="8"/>
        <v>0</v>
      </c>
      <c r="DF39" s="1" t="s">
        <v>56</v>
      </c>
      <c r="DG39" s="19">
        <v>-184.32916481121478</v>
      </c>
      <c r="DH39" s="19">
        <v>552.98749443364431</v>
      </c>
      <c r="DI39" s="19">
        <v>2457.722197482864</v>
      </c>
      <c r="DJ39" s="19">
        <v>184.32916481121478</v>
      </c>
      <c r="DK39" s="19">
        <v>-552.98749443364431</v>
      </c>
      <c r="DL39" s="19">
        <v>1228.861098741432</v>
      </c>
      <c r="DM39" s="20">
        <f t="shared" si="9"/>
        <v>3</v>
      </c>
      <c r="DR39" s="20">
        <v>3</v>
      </c>
      <c r="DS39" s="24">
        <v>179.98333518878522</v>
      </c>
      <c r="DT39" s="24">
        <f t="array" ref="DT39:DT51">TRANSPOSE(DU38:EG38)</f>
        <v>552.98749443364431</v>
      </c>
      <c r="DU39" s="24">
        <f>DL33+DI39</f>
        <v>4400.7221974828635</v>
      </c>
      <c r="DV39" s="24">
        <f t="shared" si="10"/>
        <v>184.32916481121478</v>
      </c>
      <c r="DW39" s="24">
        <f t="shared" si="10"/>
        <v>-552.98749443364431</v>
      </c>
      <c r="DX39" s="24">
        <f t="shared" si="10"/>
        <v>1228.861098741432</v>
      </c>
      <c r="DY39" s="23"/>
      <c r="DZ39" s="23"/>
      <c r="EA39" s="23"/>
      <c r="EB39" s="24">
        <f t="shared" si="11"/>
        <v>-364.3125</v>
      </c>
      <c r="EC39" s="24">
        <f t="shared" si="11"/>
        <v>0</v>
      </c>
      <c r="ED39" s="24">
        <f t="shared" si="11"/>
        <v>971.49999999999989</v>
      </c>
      <c r="EE39" s="23"/>
      <c r="EF39" s="23"/>
      <c r="EG39" s="23"/>
      <c r="EH39" s="20">
        <v>3</v>
      </c>
    </row>
    <row r="40" spans="1:151">
      <c r="A40" s="2"/>
      <c r="B40" s="7"/>
      <c r="C40" s="2"/>
      <c r="D40" s="2"/>
      <c r="E40" s="2"/>
      <c r="F40" s="71">
        <f>+F18</f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1">
        <f>+AH18</f>
        <v>1</v>
      </c>
      <c r="AI40" s="2"/>
      <c r="AJ40" s="71" t="str">
        <f>+AM17</f>
        <v>Lb</v>
      </c>
      <c r="AK40" s="2"/>
      <c r="AL40" s="2"/>
      <c r="AM40" s="2"/>
      <c r="AN40" s="2"/>
      <c r="AO40" s="2"/>
      <c r="AP40" s="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2"/>
      <c r="BB40" s="2"/>
      <c r="BC40" s="2"/>
      <c r="BD40" s="2"/>
      <c r="BE40" s="9"/>
      <c r="BH40" s="1" t="s">
        <v>46</v>
      </c>
      <c r="BI40" s="1" t="s">
        <v>36</v>
      </c>
      <c r="BJ40" s="1">
        <f>BJ5+BJ6</f>
        <v>10</v>
      </c>
      <c r="BM40" s="1">
        <v>3</v>
      </c>
      <c r="BV40" s="19">
        <v>0</v>
      </c>
      <c r="BW40" s="19">
        <v>0</v>
      </c>
      <c r="BX40" s="19">
        <v>0</v>
      </c>
      <c r="BY40" s="19">
        <v>0.94868329805051377</v>
      </c>
      <c r="BZ40" s="19">
        <v>-0.31622776601683794</v>
      </c>
      <c r="CA40" s="19">
        <v>0</v>
      </c>
      <c r="CC40" s="39">
        <f>-CC37</f>
        <v>-90124.913314798803</v>
      </c>
      <c r="CD40" s="39">
        <v>0</v>
      </c>
      <c r="CE40" s="39">
        <v>0</v>
      </c>
      <c r="CF40" s="39">
        <f>CC37</f>
        <v>90124.913314798803</v>
      </c>
      <c r="CG40" s="39">
        <v>0</v>
      </c>
      <c r="CH40" s="39">
        <v>0</v>
      </c>
      <c r="CJ40" s="19">
        <v>0</v>
      </c>
      <c r="CK40" s="19">
        <v>0</v>
      </c>
      <c r="CL40" s="19">
        <v>0</v>
      </c>
      <c r="CM40" s="19">
        <f t="shared" ref="CM40:CO42" si="12">CJ37</f>
        <v>0.94868329805051377</v>
      </c>
      <c r="CN40" s="19">
        <f t="shared" si="12"/>
        <v>0.31622776601683794</v>
      </c>
      <c r="CO40" s="19">
        <f t="shared" si="12"/>
        <v>0</v>
      </c>
      <c r="CR40" s="19">
        <v>-85499.999999999985</v>
      </c>
      <c r="CS40" s="19">
        <v>58.289999999999985</v>
      </c>
      <c r="CT40" s="19">
        <v>184.32916481121478</v>
      </c>
      <c r="CU40" s="19">
        <v>85499.999999999985</v>
      </c>
      <c r="CV40" s="19">
        <v>-58.289999999999985</v>
      </c>
      <c r="CW40" s="19">
        <v>184.32916481121478</v>
      </c>
      <c r="CY40" s="19">
        <f t="shared" si="3"/>
        <v>0</v>
      </c>
      <c r="CZ40" s="19">
        <f t="shared" si="4"/>
        <v>0</v>
      </c>
      <c r="DA40" s="19">
        <f t="shared" si="5"/>
        <v>0</v>
      </c>
      <c r="DB40" s="19">
        <f t="shared" si="6"/>
        <v>0.94868329805051377</v>
      </c>
      <c r="DC40" s="19">
        <f t="shared" si="7"/>
        <v>0.31622776601683794</v>
      </c>
      <c r="DD40" s="19">
        <f t="shared" si="8"/>
        <v>0</v>
      </c>
      <c r="DG40" s="19">
        <v>-81130.854899800033</v>
      </c>
      <c r="DH40" s="19">
        <v>-26982.175244996273</v>
      </c>
      <c r="DI40" s="19">
        <v>184.32916481121478</v>
      </c>
      <c r="DJ40" s="19">
        <v>81130.854899800033</v>
      </c>
      <c r="DK40" s="19">
        <v>26982.175244996273</v>
      </c>
      <c r="DL40" s="19">
        <v>184.32916481121478</v>
      </c>
      <c r="DM40" s="20">
        <f t="shared" si="9"/>
        <v>4</v>
      </c>
      <c r="DR40" s="20">
        <v>4</v>
      </c>
      <c r="DS40" s="24">
        <v>-81130.854899800033</v>
      </c>
      <c r="DT40" s="24">
        <v>-26982.175244996277</v>
      </c>
      <c r="DU40" s="24">
        <f t="array" ref="DU40:DU51">TRANSPOSE(DV39:EG39)</f>
        <v>184.32916481121478</v>
      </c>
      <c r="DV40" s="24">
        <f>DJ40+DG46</f>
        <v>162261.70979960007</v>
      </c>
      <c r="DW40" s="24">
        <f>DK40+DH46</f>
        <v>0</v>
      </c>
      <c r="DX40" s="24">
        <f>DL40+DI46</f>
        <v>368.65832962242956</v>
      </c>
      <c r="DY40" s="24">
        <f t="shared" ref="DY40:EA42" si="13">DJ46</f>
        <v>-81130.854899800033</v>
      </c>
      <c r="DZ40" s="24">
        <f t="shared" si="13"/>
        <v>26982.175244996273</v>
      </c>
      <c r="EA40" s="24">
        <f t="shared" si="13"/>
        <v>184.32916481121478</v>
      </c>
      <c r="EB40" s="23"/>
      <c r="EC40" s="23"/>
      <c r="ED40" s="23"/>
      <c r="EE40" s="23"/>
      <c r="EF40" s="23"/>
      <c r="EG40" s="23"/>
      <c r="EH40" s="20">
        <v>4</v>
      </c>
    </row>
    <row r="41" spans="1:151">
      <c r="A41" s="2"/>
      <c r="B41" s="7"/>
      <c r="C41" s="2"/>
      <c r="D41" s="2"/>
      <c r="E41" s="2"/>
      <c r="F41" s="7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1"/>
      <c r="AI41" s="2"/>
      <c r="AJ41" s="71"/>
      <c r="AK41" s="2"/>
      <c r="AL41" s="2"/>
      <c r="AM41" s="2"/>
      <c r="AN41" s="2"/>
      <c r="AO41" s="2"/>
      <c r="AP41" s="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2"/>
      <c r="BB41" s="2"/>
      <c r="BC41" s="2"/>
      <c r="BD41" s="2"/>
      <c r="BE41" s="9"/>
      <c r="BH41" s="1" t="s">
        <v>47</v>
      </c>
      <c r="BI41" s="1" t="s">
        <v>37</v>
      </c>
      <c r="BJ41" s="1">
        <f>SQRT((BJ39-BJ37)^2+(BJ40-BJ38)^2)</f>
        <v>6.324555320336759</v>
      </c>
      <c r="BM41" s="1">
        <v>4</v>
      </c>
      <c r="BV41" s="19">
        <v>0</v>
      </c>
      <c r="BW41" s="19">
        <v>0</v>
      </c>
      <c r="BX41" s="19">
        <v>0</v>
      </c>
      <c r="BY41" s="19">
        <v>0.31622776601683794</v>
      </c>
      <c r="BZ41" s="19">
        <v>0.94868329805051377</v>
      </c>
      <c r="CA41" s="19">
        <v>0</v>
      </c>
      <c r="CC41" s="39">
        <v>0</v>
      </c>
      <c r="CD41" s="39">
        <f>-CD38</f>
        <v>-184.32916481121478</v>
      </c>
      <c r="CE41" s="39">
        <f>-CE38</f>
        <v>-582.89999999999986</v>
      </c>
      <c r="CF41" s="39">
        <v>0</v>
      </c>
      <c r="CG41" s="39">
        <f>CD38</f>
        <v>184.32916481121478</v>
      </c>
      <c r="CH41" s="39">
        <f>CE41</f>
        <v>-582.89999999999986</v>
      </c>
      <c r="CJ41" s="19">
        <v>0</v>
      </c>
      <c r="CK41" s="19">
        <v>0</v>
      </c>
      <c r="CL41" s="19">
        <v>0</v>
      </c>
      <c r="CM41" s="19">
        <f t="shared" si="12"/>
        <v>-0.31622776601683794</v>
      </c>
      <c r="CN41" s="19">
        <f t="shared" si="12"/>
        <v>0.94868329805051377</v>
      </c>
      <c r="CO41" s="19">
        <f t="shared" si="12"/>
        <v>0</v>
      </c>
      <c r="CR41" s="19">
        <v>-28500</v>
      </c>
      <c r="CS41" s="19">
        <v>-174.86999999999995</v>
      </c>
      <c r="CT41" s="19">
        <v>-552.98749443364431</v>
      </c>
      <c r="CU41" s="19">
        <v>28500</v>
      </c>
      <c r="CV41" s="19">
        <v>174.86999999999995</v>
      </c>
      <c r="CW41" s="19">
        <v>-552.98749443364431</v>
      </c>
      <c r="CY41" s="19">
        <f t="shared" si="3"/>
        <v>0</v>
      </c>
      <c r="CZ41" s="19">
        <f t="shared" si="4"/>
        <v>0</v>
      </c>
      <c r="DA41" s="19">
        <f t="shared" si="5"/>
        <v>0</v>
      </c>
      <c r="DB41" s="19">
        <f t="shared" si="6"/>
        <v>-0.31622776601683794</v>
      </c>
      <c r="DC41" s="19">
        <f t="shared" si="7"/>
        <v>0.94868329805051377</v>
      </c>
      <c r="DD41" s="19">
        <f t="shared" si="8"/>
        <v>0</v>
      </c>
      <c r="DG41" s="19">
        <v>-26982.175244996277</v>
      </c>
      <c r="DH41" s="19">
        <v>-9178.3875798099743</v>
      </c>
      <c r="DI41" s="19">
        <v>-552.98749443364431</v>
      </c>
      <c r="DJ41" s="19">
        <v>26982.175244996277</v>
      </c>
      <c r="DK41" s="19">
        <v>9178.3875798099743</v>
      </c>
      <c r="DL41" s="19">
        <v>-552.98749443364431</v>
      </c>
      <c r="DM41" s="20">
        <f t="shared" si="9"/>
        <v>5</v>
      </c>
      <c r="DR41" s="20">
        <v>5</v>
      </c>
      <c r="DS41" s="24">
        <v>-26982.175244996273</v>
      </c>
      <c r="DT41" s="24">
        <v>-9178.3875798099743</v>
      </c>
      <c r="DU41" s="24">
        <v>-552.98749443364431</v>
      </c>
      <c r="DV41" s="24">
        <f t="array" ref="DV41:DV51">TRANSPOSE(DW40:EG40)</f>
        <v>0</v>
      </c>
      <c r="DW41" s="24">
        <f>DK41+DH47</f>
        <v>18356.775159619949</v>
      </c>
      <c r="DX41" s="24">
        <f>DL41+DI47</f>
        <v>0</v>
      </c>
      <c r="DY41" s="24">
        <f t="shared" si="13"/>
        <v>26982.175244996277</v>
      </c>
      <c r="DZ41" s="24">
        <f t="shared" si="13"/>
        <v>-9178.3875798099743</v>
      </c>
      <c r="EA41" s="24">
        <f t="shared" si="13"/>
        <v>552.98749443364431</v>
      </c>
      <c r="EB41" s="23"/>
      <c r="EC41" s="23"/>
      <c r="ED41" s="23"/>
      <c r="EE41" s="23"/>
      <c r="EF41" s="23"/>
      <c r="EG41" s="23"/>
      <c r="EH41" s="20">
        <v>5</v>
      </c>
    </row>
    <row r="42" spans="1:151">
      <c r="A42" s="2"/>
      <c r="B42" s="7"/>
      <c r="C42" s="2"/>
      <c r="D42" s="2"/>
      <c r="E42" s="2"/>
      <c r="F42" s="7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1"/>
      <c r="AI42" s="2"/>
      <c r="AJ42" s="7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9"/>
      <c r="BH42" s="1" t="s">
        <v>47</v>
      </c>
      <c r="BI42" s="1" t="s">
        <v>48</v>
      </c>
      <c r="BJ42" s="1">
        <f>(BJ39-BJ37)/BJ41</f>
        <v>0.94868329805051377</v>
      </c>
      <c r="BM42" s="1">
        <v>5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1</v>
      </c>
      <c r="CC42" s="39">
        <v>0</v>
      </c>
      <c r="CD42" s="39">
        <f>CE38</f>
        <v>582.89999999999986</v>
      </c>
      <c r="CE42" s="39">
        <f>CH39</f>
        <v>1228.861098741432</v>
      </c>
      <c r="CF42" s="39">
        <v>0</v>
      </c>
      <c r="CG42" s="39">
        <f>-CE38</f>
        <v>-582.89999999999986</v>
      </c>
      <c r="CH42" s="39">
        <f>CE39</f>
        <v>2457.722197482864</v>
      </c>
      <c r="CJ42" s="19">
        <v>0</v>
      </c>
      <c r="CK42" s="19">
        <v>0</v>
      </c>
      <c r="CL42" s="19">
        <v>0</v>
      </c>
      <c r="CM42" s="19">
        <f t="shared" si="12"/>
        <v>0</v>
      </c>
      <c r="CN42" s="19">
        <f t="shared" si="12"/>
        <v>0</v>
      </c>
      <c r="CO42" s="19">
        <f t="shared" si="12"/>
        <v>1</v>
      </c>
      <c r="CR42" s="19">
        <v>0</v>
      </c>
      <c r="CS42" s="19">
        <v>582.89999999999986</v>
      </c>
      <c r="CT42" s="19">
        <v>1228.861098741432</v>
      </c>
      <c r="CU42" s="19">
        <v>0</v>
      </c>
      <c r="CV42" s="19">
        <v>-582.89999999999986</v>
      </c>
      <c r="CW42" s="19">
        <v>2457.722197482864</v>
      </c>
      <c r="CY42" s="19">
        <f t="shared" si="3"/>
        <v>0</v>
      </c>
      <c r="CZ42" s="19">
        <f t="shared" si="4"/>
        <v>0</v>
      </c>
      <c r="DA42" s="19">
        <f t="shared" si="5"/>
        <v>0</v>
      </c>
      <c r="DB42" s="19">
        <f t="shared" si="6"/>
        <v>0</v>
      </c>
      <c r="DC42" s="19">
        <f t="shared" si="7"/>
        <v>0</v>
      </c>
      <c r="DD42" s="19">
        <f t="shared" si="8"/>
        <v>1</v>
      </c>
      <c r="DG42" s="19">
        <v>-184.32916481121478</v>
      </c>
      <c r="DH42" s="19">
        <v>552.98749443364431</v>
      </c>
      <c r="DI42" s="19">
        <v>1228.861098741432</v>
      </c>
      <c r="DJ42" s="19">
        <v>184.32916481121478</v>
      </c>
      <c r="DK42" s="19">
        <v>-552.98749443364431</v>
      </c>
      <c r="DL42" s="19">
        <v>2457.722197482864</v>
      </c>
      <c r="DM42" s="20">
        <f t="shared" si="9"/>
        <v>6</v>
      </c>
      <c r="DR42" s="20">
        <v>6</v>
      </c>
      <c r="DS42" s="24">
        <v>-184.32916481121478</v>
      </c>
      <c r="DT42" s="24">
        <v>552.98749443364431</v>
      </c>
      <c r="DU42" s="24">
        <v>1228.861098741432</v>
      </c>
      <c r="DV42" s="24">
        <v>368.65832962242956</v>
      </c>
      <c r="DW42" s="24">
        <f t="array" ref="DW42:DW51">TRANSPOSE(DX41:EG41)</f>
        <v>0</v>
      </c>
      <c r="DX42" s="24">
        <f>DL42+DI48</f>
        <v>4915.444394965728</v>
      </c>
      <c r="DY42" s="24">
        <f t="shared" si="13"/>
        <v>-184.32916481121478</v>
      </c>
      <c r="DZ42" s="24">
        <f t="shared" si="13"/>
        <v>-552.98749443364431</v>
      </c>
      <c r="EA42" s="24">
        <f t="shared" si="13"/>
        <v>1228.861098741432</v>
      </c>
      <c r="EB42" s="23"/>
      <c r="EC42" s="23"/>
      <c r="ED42" s="23"/>
      <c r="EE42" s="23"/>
      <c r="EF42" s="23"/>
      <c r="EG42" s="23"/>
      <c r="EH42" s="20">
        <v>6</v>
      </c>
    </row>
    <row r="43" spans="1:151">
      <c r="A43" s="2"/>
      <c r="B43" s="7"/>
      <c r="C43" s="2"/>
      <c r="D43" s="2"/>
      <c r="E43" s="2"/>
      <c r="F43" s="75" t="s">
        <v>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5" t="s">
        <v>3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9"/>
      <c r="BH43" s="1" t="s">
        <v>47</v>
      </c>
      <c r="BI43" s="18" t="s">
        <v>49</v>
      </c>
      <c r="BJ43" s="1">
        <f>(BJ40-BJ38)/BJ41</f>
        <v>0.31622776601683794</v>
      </c>
      <c r="BM43" s="1">
        <v>6</v>
      </c>
      <c r="CC43" s="23"/>
      <c r="CD43" s="23"/>
      <c r="CE43" s="23"/>
      <c r="CF43" s="23"/>
      <c r="CG43" s="23"/>
      <c r="CH43" s="23"/>
      <c r="DR43" s="20">
        <v>7</v>
      </c>
      <c r="DS43" s="23">
        <v>0</v>
      </c>
      <c r="DT43" s="23">
        <v>0</v>
      </c>
      <c r="DU43" s="23">
        <v>0</v>
      </c>
      <c r="DV43" s="24">
        <v>-81130.854899800033</v>
      </c>
      <c r="DW43" s="24">
        <v>26982.175244996277</v>
      </c>
      <c r="DX43" s="24">
        <f t="array" ref="DX43:DX51">TRANSPOSE(DY42:EG42)</f>
        <v>-184.32916481121478</v>
      </c>
      <c r="DY43" s="24">
        <f>DJ49+DG55</f>
        <v>81221.933024800033</v>
      </c>
      <c r="DZ43" s="24">
        <f>DK49+DH55</f>
        <v>-26982.175244996273</v>
      </c>
      <c r="EA43" s="24">
        <f>DL49+DI55</f>
        <v>179.98333518878522</v>
      </c>
      <c r="EB43" s="23"/>
      <c r="EC43" s="23"/>
      <c r="ED43" s="23"/>
      <c r="EE43" s="24">
        <f t="shared" ref="EE43:EG45" si="14">DJ55</f>
        <v>-91.078125</v>
      </c>
      <c r="EF43" s="24">
        <f t="shared" si="14"/>
        <v>0</v>
      </c>
      <c r="EG43" s="24">
        <f t="shared" si="14"/>
        <v>364.3125</v>
      </c>
      <c r="EH43" s="20">
        <v>7</v>
      </c>
    </row>
    <row r="44" spans="1:151">
      <c r="A44" s="2"/>
      <c r="B44" s="7"/>
      <c r="C44" s="2"/>
      <c r="D44" s="2"/>
      <c r="E44" s="2"/>
      <c r="F44" s="7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1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9"/>
      <c r="CC44" s="23"/>
      <c r="CD44" s="23"/>
      <c r="CE44" s="23"/>
      <c r="CF44" s="23"/>
      <c r="CG44" s="23"/>
      <c r="CH44" s="23"/>
      <c r="DR44" s="20">
        <v>8</v>
      </c>
      <c r="DS44" s="23">
        <v>0</v>
      </c>
      <c r="DT44" s="23">
        <v>0</v>
      </c>
      <c r="DU44" s="23">
        <v>0</v>
      </c>
      <c r="DV44" s="24">
        <v>26982.175244996273</v>
      </c>
      <c r="DW44" s="24">
        <v>-9178.3875798099743</v>
      </c>
      <c r="DX44" s="24">
        <v>-552.98749443364431</v>
      </c>
      <c r="DY44" s="24">
        <f t="array" ref="DY44:DY51">TRANSPOSE(DZ43:EG43)</f>
        <v>-26982.175244996273</v>
      </c>
      <c r="DZ44" s="24">
        <f>DK50+DH56</f>
        <v>80428.387579809976</v>
      </c>
      <c r="EA44" s="24">
        <f>DL50+DI56</f>
        <v>-552.98749443364431</v>
      </c>
      <c r="EB44" s="23"/>
      <c r="EC44" s="23"/>
      <c r="ED44" s="23"/>
      <c r="EE44" s="24">
        <f t="shared" si="14"/>
        <v>0</v>
      </c>
      <c r="EF44" s="24">
        <f t="shared" si="14"/>
        <v>-71250</v>
      </c>
      <c r="EG44" s="24">
        <f t="shared" si="14"/>
        <v>0</v>
      </c>
      <c r="EH44" s="20">
        <v>8</v>
      </c>
    </row>
    <row r="45" spans="1:151">
      <c r="A45" s="2"/>
      <c r="B45" s="7"/>
      <c r="C45" s="2"/>
      <c r="D45" s="2"/>
      <c r="E45" s="2"/>
      <c r="F45" s="2"/>
      <c r="G45" s="2" t="s">
        <v>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 t="s">
        <v>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9"/>
      <c r="BI45" s="44" t="s">
        <v>61</v>
      </c>
      <c r="CC45" s="23"/>
      <c r="CD45" s="23"/>
      <c r="CE45" s="23"/>
      <c r="CF45" s="23"/>
      <c r="CG45" s="23"/>
      <c r="CH45" s="23"/>
      <c r="DG45" s="20">
        <f t="array" ref="DG45:DL45">TRANSPOSE(DM46:DM51)</f>
        <v>4</v>
      </c>
      <c r="DH45" s="20">
        <v>5</v>
      </c>
      <c r="DI45" s="20">
        <v>6</v>
      </c>
      <c r="DJ45" s="20">
        <v>7</v>
      </c>
      <c r="DK45" s="20">
        <v>8</v>
      </c>
      <c r="DL45" s="20">
        <v>9</v>
      </c>
      <c r="DR45" s="20">
        <v>9</v>
      </c>
      <c r="DS45" s="23">
        <v>0</v>
      </c>
      <c r="DT45" s="23">
        <v>0</v>
      </c>
      <c r="DU45" s="23">
        <v>0</v>
      </c>
      <c r="DV45" s="24">
        <v>184.32916481121478</v>
      </c>
      <c r="DW45" s="24">
        <v>552.98749443364431</v>
      </c>
      <c r="DX45" s="24">
        <v>1228.861098741432</v>
      </c>
      <c r="DY45" s="24">
        <v>179.98333518878522</v>
      </c>
      <c r="DZ45" s="24">
        <f t="array" ref="DZ45:DZ51">TRANSPOSE(EA44:EG44)</f>
        <v>-552.98749443364431</v>
      </c>
      <c r="EA45" s="24">
        <f>DL51+DI57</f>
        <v>4400.7221974828635</v>
      </c>
      <c r="EB45" s="23"/>
      <c r="EC45" s="23"/>
      <c r="ED45" s="23"/>
      <c r="EE45" s="24">
        <f t="shared" si="14"/>
        <v>-364.3125</v>
      </c>
      <c r="EF45" s="24">
        <f t="shared" si="14"/>
        <v>0</v>
      </c>
      <c r="EG45" s="24">
        <f t="shared" si="14"/>
        <v>971.49999999999989</v>
      </c>
      <c r="EH45" s="20">
        <v>9</v>
      </c>
    </row>
    <row r="46" spans="1:151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9"/>
      <c r="BH46" s="1" t="s">
        <v>46</v>
      </c>
      <c r="BI46" s="1" t="s">
        <v>33</v>
      </c>
      <c r="BJ46" s="1">
        <f>BJ39</f>
        <v>6</v>
      </c>
      <c r="BM46" s="1" t="s">
        <v>51</v>
      </c>
      <c r="BO46" s="1" t="s">
        <v>38</v>
      </c>
      <c r="BP46" s="1">
        <f>BJ7</f>
        <v>200000000</v>
      </c>
      <c r="BV46" s="19">
        <f t="array" ref="BV46:CA51">TRANSPOSE(CJ46:CO51)</f>
        <v>0.94868329805051377</v>
      </c>
      <c r="BW46" s="19">
        <v>0.31622776601683794</v>
      </c>
      <c r="BX46" s="19">
        <v>0</v>
      </c>
      <c r="BY46" s="19">
        <v>0</v>
      </c>
      <c r="BZ46" s="19">
        <v>0</v>
      </c>
      <c r="CA46" s="19">
        <v>0</v>
      </c>
      <c r="CC46" s="39">
        <f>BP46*BP48/BJ50</f>
        <v>90124.913314798803</v>
      </c>
      <c r="CD46" s="39">
        <v>0</v>
      </c>
      <c r="CE46" s="39">
        <v>0</v>
      </c>
      <c r="CF46" s="39">
        <f>-CC46</f>
        <v>-90124.913314798803</v>
      </c>
      <c r="CG46" s="39">
        <v>0</v>
      </c>
      <c r="CH46" s="39">
        <v>0</v>
      </c>
      <c r="CJ46" s="19">
        <f>BJ51</f>
        <v>0.94868329805051377</v>
      </c>
      <c r="CK46" s="19">
        <f>BJ52</f>
        <v>-0.31622776601683794</v>
      </c>
      <c r="CL46" s="19">
        <v>0</v>
      </c>
      <c r="CM46" s="19">
        <v>0</v>
      </c>
      <c r="CN46" s="19">
        <v>0</v>
      </c>
      <c r="CO46" s="19">
        <v>0</v>
      </c>
      <c r="CR46" s="19">
        <f t="array" ref="CR46:CW51">MMULT(BV46:CA51,CC46:CH51)</f>
        <v>85499.999999999985</v>
      </c>
      <c r="CS46" s="19">
        <v>58.289999999999985</v>
      </c>
      <c r="CT46" s="19">
        <v>184.32916481121478</v>
      </c>
      <c r="CU46" s="19">
        <v>-85499.999999999985</v>
      </c>
      <c r="CV46" s="19">
        <v>-58.289999999999985</v>
      </c>
      <c r="CW46" s="19">
        <v>184.32916481121478</v>
      </c>
      <c r="CY46" s="19">
        <f t="shared" ref="CY46:CY51" si="15">CJ46</f>
        <v>0.94868329805051377</v>
      </c>
      <c r="CZ46" s="19">
        <f t="shared" ref="CZ46:CZ51" si="16">CK46</f>
        <v>-0.31622776601683794</v>
      </c>
      <c r="DA46" s="19">
        <f t="shared" ref="DA46:DA51" si="17">CL46</f>
        <v>0</v>
      </c>
      <c r="DB46" s="19">
        <f t="shared" ref="DB46:DB51" si="18">CM46</f>
        <v>0</v>
      </c>
      <c r="DC46" s="19">
        <f t="shared" ref="DC46:DC51" si="19">CN46</f>
        <v>0</v>
      </c>
      <c r="DD46" s="19">
        <f t="shared" ref="DD46:DD51" si="20">CO46</f>
        <v>0</v>
      </c>
      <c r="DG46" s="19">
        <f t="array" ref="DG46:DL51">MMULT(CR46:CW51,CY46:DD51)</f>
        <v>81130.854899800033</v>
      </c>
      <c r="DH46" s="19">
        <v>-26982.175244996273</v>
      </c>
      <c r="DI46" s="19">
        <v>184.32916481121478</v>
      </c>
      <c r="DJ46" s="19">
        <v>-81130.854899800033</v>
      </c>
      <c r="DK46" s="19">
        <v>26982.175244996273</v>
      </c>
      <c r="DL46" s="19">
        <v>184.32916481121478</v>
      </c>
      <c r="DM46" s="20">
        <f t="shared" ref="DM46:DM51" si="21">BM47</f>
        <v>4</v>
      </c>
      <c r="DR46" s="20">
        <v>10</v>
      </c>
      <c r="DS46" s="24">
        <v>-91.078125</v>
      </c>
      <c r="DT46" s="24">
        <v>0</v>
      </c>
      <c r="DU46" s="24">
        <v>-364.3125</v>
      </c>
      <c r="DV46" s="23">
        <v>0</v>
      </c>
      <c r="DW46" s="23">
        <v>0</v>
      </c>
      <c r="DX46" s="23">
        <v>0</v>
      </c>
      <c r="DY46" s="23">
        <v>0</v>
      </c>
      <c r="DZ46" s="23">
        <v>0</v>
      </c>
      <c r="EA46" s="23">
        <f t="array" ref="EA46:EA51">TRANSPOSE(EB45:EG45)</f>
        <v>0</v>
      </c>
      <c r="EB46" s="24">
        <f>DG28</f>
        <v>91.078125</v>
      </c>
      <c r="EC46" s="24">
        <f>DH28</f>
        <v>0</v>
      </c>
      <c r="ED46" s="24">
        <f>DI28</f>
        <v>-364.3125</v>
      </c>
      <c r="EE46" s="23"/>
      <c r="EF46" s="23"/>
      <c r="EG46" s="23"/>
      <c r="EH46" s="20">
        <v>10</v>
      </c>
    </row>
    <row r="47" spans="1:151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73" t="str">
        <f>+M7</f>
        <v>La</v>
      </c>
      <c r="N47" s="73"/>
      <c r="O47" s="2" t="s">
        <v>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73" t="str">
        <f>+M47</f>
        <v>La</v>
      </c>
      <c r="AB47" s="73"/>
      <c r="AC47" s="2" t="s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9"/>
      <c r="BH47" s="1" t="s">
        <v>46</v>
      </c>
      <c r="BI47" s="1" t="s">
        <v>34</v>
      </c>
      <c r="BJ47" s="1">
        <f>BJ40</f>
        <v>10</v>
      </c>
      <c r="BM47" s="1">
        <v>4</v>
      </c>
      <c r="BO47" s="1" t="s">
        <v>57</v>
      </c>
      <c r="BP47" s="17">
        <f>BJ10</f>
        <v>1.9429999999999999E-5</v>
      </c>
      <c r="BQ47" s="17"/>
      <c r="BV47" s="19">
        <v>-0.31622776601683794</v>
      </c>
      <c r="BW47" s="19">
        <v>0.94868329805051377</v>
      </c>
      <c r="BX47" s="19">
        <v>0</v>
      </c>
      <c r="BY47" s="19">
        <v>0</v>
      </c>
      <c r="BZ47" s="19">
        <v>0</v>
      </c>
      <c r="CA47" s="19">
        <v>0</v>
      </c>
      <c r="CC47" s="39">
        <v>0</v>
      </c>
      <c r="CD47" s="39">
        <f>12*BP46*BP47/BJ50^3</f>
        <v>184.32916481121478</v>
      </c>
      <c r="CE47" s="39">
        <f>6*BP46*BP47/BJ50^2</f>
        <v>582.89999999999986</v>
      </c>
      <c r="CF47" s="39">
        <v>0</v>
      </c>
      <c r="CG47" s="39">
        <f>-CD47</f>
        <v>-184.32916481121478</v>
      </c>
      <c r="CH47" s="39">
        <f>CE47</f>
        <v>582.89999999999986</v>
      </c>
      <c r="CJ47" s="19">
        <f>-CK46</f>
        <v>0.31622776601683794</v>
      </c>
      <c r="CK47" s="19">
        <f>CJ46</f>
        <v>0.94868329805051377</v>
      </c>
      <c r="CL47" s="19">
        <v>0</v>
      </c>
      <c r="CM47" s="19">
        <v>0</v>
      </c>
      <c r="CN47" s="19">
        <v>0</v>
      </c>
      <c r="CO47" s="19">
        <v>0</v>
      </c>
      <c r="CR47" s="19">
        <v>-28500</v>
      </c>
      <c r="CS47" s="19">
        <v>174.86999999999995</v>
      </c>
      <c r="CT47" s="19">
        <v>552.98749443364431</v>
      </c>
      <c r="CU47" s="19">
        <v>28500</v>
      </c>
      <c r="CV47" s="19">
        <v>-174.86999999999995</v>
      </c>
      <c r="CW47" s="19">
        <v>552.98749443364431</v>
      </c>
      <c r="CY47" s="19">
        <f t="shared" si="15"/>
        <v>0.31622776601683794</v>
      </c>
      <c r="CZ47" s="19">
        <f t="shared" si="16"/>
        <v>0.94868329805051377</v>
      </c>
      <c r="DA47" s="19">
        <f t="shared" si="17"/>
        <v>0</v>
      </c>
      <c r="DB47" s="19">
        <f t="shared" si="18"/>
        <v>0</v>
      </c>
      <c r="DC47" s="19">
        <f t="shared" si="19"/>
        <v>0</v>
      </c>
      <c r="DD47" s="19">
        <f t="shared" si="20"/>
        <v>0</v>
      </c>
      <c r="DG47" s="19">
        <v>-26982.175244996277</v>
      </c>
      <c r="DH47" s="19">
        <v>9178.3875798099743</v>
      </c>
      <c r="DI47" s="19">
        <v>552.98749443364431</v>
      </c>
      <c r="DJ47" s="19">
        <v>26982.175244996277</v>
      </c>
      <c r="DK47" s="19">
        <v>-9178.3875798099743</v>
      </c>
      <c r="DL47" s="19">
        <v>552.98749443364431</v>
      </c>
      <c r="DM47" s="20">
        <f t="shared" si="21"/>
        <v>5</v>
      </c>
      <c r="DR47" s="20">
        <v>11</v>
      </c>
      <c r="DS47" s="24">
        <v>0</v>
      </c>
      <c r="DT47" s="24">
        <v>-71250</v>
      </c>
      <c r="DU47" s="24">
        <v>0</v>
      </c>
      <c r="DV47" s="23">
        <v>0</v>
      </c>
      <c r="DW47" s="23">
        <v>0</v>
      </c>
      <c r="DX47" s="23">
        <v>0</v>
      </c>
      <c r="DY47" s="23">
        <v>0</v>
      </c>
      <c r="DZ47" s="23">
        <v>0</v>
      </c>
      <c r="EA47" s="23">
        <v>0</v>
      </c>
      <c r="EB47" s="24">
        <f t="array" ref="EB47:EB51">TRANSPOSE(EC46:EG46)</f>
        <v>0</v>
      </c>
      <c r="EC47" s="24">
        <f>DH29</f>
        <v>71250</v>
      </c>
      <c r="ED47" s="24">
        <f>DI29</f>
        <v>0</v>
      </c>
      <c r="EE47" s="23"/>
      <c r="EF47" s="23"/>
      <c r="EG47" s="23"/>
      <c r="EH47" s="20">
        <v>11</v>
      </c>
    </row>
    <row r="48" spans="1:151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9"/>
      <c r="BH48" s="1" t="s">
        <v>46</v>
      </c>
      <c r="BI48" s="1" t="s">
        <v>35</v>
      </c>
      <c r="BJ48" s="1">
        <f>2*BJ4</f>
        <v>12</v>
      </c>
      <c r="BM48" s="1">
        <v>5</v>
      </c>
      <c r="BO48" s="1" t="s">
        <v>58</v>
      </c>
      <c r="BP48" s="17">
        <f>BJ11</f>
        <v>2.8500000000000001E-3</v>
      </c>
      <c r="BQ48" s="17"/>
      <c r="BR48" s="1" t="s">
        <v>50</v>
      </c>
      <c r="BV48" s="19">
        <v>0</v>
      </c>
      <c r="BW48" s="19">
        <v>0</v>
      </c>
      <c r="BX48" s="19">
        <v>1</v>
      </c>
      <c r="BY48" s="19">
        <v>0</v>
      </c>
      <c r="BZ48" s="19">
        <v>0</v>
      </c>
      <c r="CA48" s="19">
        <v>0</v>
      </c>
      <c r="CC48" s="39">
        <v>0</v>
      </c>
      <c r="CD48" s="39">
        <f>CE47</f>
        <v>582.89999999999986</v>
      </c>
      <c r="CE48" s="39">
        <f>4*BP46*BP47/BJ50</f>
        <v>2457.722197482864</v>
      </c>
      <c r="CF48" s="39">
        <v>0</v>
      </c>
      <c r="CG48" s="39">
        <f>-CE47</f>
        <v>-582.89999999999986</v>
      </c>
      <c r="CH48" s="39">
        <f>2*BP46*BP47/BJ50</f>
        <v>1228.861098741432</v>
      </c>
      <c r="CJ48" s="19">
        <v>0</v>
      </c>
      <c r="CK48" s="19">
        <v>0</v>
      </c>
      <c r="CL48" s="19">
        <v>1</v>
      </c>
      <c r="CM48" s="19">
        <v>0</v>
      </c>
      <c r="CN48" s="19">
        <v>0</v>
      </c>
      <c r="CO48" s="19">
        <v>0</v>
      </c>
      <c r="CQ48" s="1" t="s">
        <v>56</v>
      </c>
      <c r="CR48" s="19">
        <v>0</v>
      </c>
      <c r="CS48" s="19">
        <v>582.89999999999986</v>
      </c>
      <c r="CT48" s="19">
        <v>2457.722197482864</v>
      </c>
      <c r="CU48" s="19">
        <v>0</v>
      </c>
      <c r="CV48" s="19">
        <v>-582.89999999999986</v>
      </c>
      <c r="CW48" s="19">
        <v>1228.861098741432</v>
      </c>
      <c r="CY48" s="19">
        <f t="shared" si="15"/>
        <v>0</v>
      </c>
      <c r="CZ48" s="19">
        <f t="shared" si="16"/>
        <v>0</v>
      </c>
      <c r="DA48" s="19">
        <f t="shared" si="17"/>
        <v>1</v>
      </c>
      <c r="DB48" s="19">
        <f t="shared" si="18"/>
        <v>0</v>
      </c>
      <c r="DC48" s="19">
        <f t="shared" si="19"/>
        <v>0</v>
      </c>
      <c r="DD48" s="19">
        <f t="shared" si="20"/>
        <v>0</v>
      </c>
      <c r="DF48" s="1" t="s">
        <v>56</v>
      </c>
      <c r="DG48" s="19">
        <v>184.32916481121478</v>
      </c>
      <c r="DH48" s="19">
        <v>552.98749443364431</v>
      </c>
      <c r="DI48" s="19">
        <v>2457.722197482864</v>
      </c>
      <c r="DJ48" s="19">
        <v>-184.32916481121478</v>
      </c>
      <c r="DK48" s="19">
        <v>-552.98749443364431</v>
      </c>
      <c r="DL48" s="19">
        <v>1228.861098741432</v>
      </c>
      <c r="DM48" s="20">
        <f t="shared" si="21"/>
        <v>6</v>
      </c>
      <c r="DR48" s="20">
        <v>12</v>
      </c>
      <c r="DS48" s="24">
        <v>364.3125</v>
      </c>
      <c r="DT48" s="24">
        <v>0</v>
      </c>
      <c r="DU48" s="24">
        <v>971.49999999999989</v>
      </c>
      <c r="DV48" s="23">
        <v>0</v>
      </c>
      <c r="DW48" s="23">
        <v>0</v>
      </c>
      <c r="DX48" s="23">
        <v>0</v>
      </c>
      <c r="DY48" s="23">
        <v>0</v>
      </c>
      <c r="DZ48" s="23">
        <v>0</v>
      </c>
      <c r="EA48" s="23">
        <v>0</v>
      </c>
      <c r="EB48" s="24">
        <v>-364.3125</v>
      </c>
      <c r="EC48" s="24">
        <f t="array" ref="EC48:EC51">TRANSPOSE(ED47:EG47)</f>
        <v>0</v>
      </c>
      <c r="ED48" s="24">
        <f>DI30</f>
        <v>1942.9999999999998</v>
      </c>
      <c r="EE48" s="23"/>
      <c r="EF48" s="23"/>
      <c r="EG48" s="23"/>
      <c r="EH48" s="20">
        <v>12</v>
      </c>
    </row>
    <row r="49" spans="1:138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3" t="e">
        <f>+T5</f>
        <v>#VALUE!</v>
      </c>
      <c r="U49" s="73"/>
      <c r="V49" s="2" t="s"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9"/>
      <c r="BH49" s="1" t="s">
        <v>46</v>
      </c>
      <c r="BI49" s="1" t="s">
        <v>36</v>
      </c>
      <c r="BJ49" s="1">
        <f>BJ5</f>
        <v>8</v>
      </c>
      <c r="BM49" s="1">
        <v>6</v>
      </c>
      <c r="BV49" s="19">
        <v>0</v>
      </c>
      <c r="BW49" s="19">
        <v>0</v>
      </c>
      <c r="BX49" s="19">
        <v>0</v>
      </c>
      <c r="BY49" s="19">
        <v>0.94868329805051377</v>
      </c>
      <c r="BZ49" s="19">
        <v>0.31622776601683794</v>
      </c>
      <c r="CA49" s="19">
        <v>0</v>
      </c>
      <c r="CC49" s="39">
        <f>-CC46</f>
        <v>-90124.913314798803</v>
      </c>
      <c r="CD49" s="39">
        <v>0</v>
      </c>
      <c r="CE49" s="39">
        <v>0</v>
      </c>
      <c r="CF49" s="39">
        <f>CC46</f>
        <v>90124.913314798803</v>
      </c>
      <c r="CG49" s="39">
        <v>0</v>
      </c>
      <c r="CH49" s="39">
        <v>0</v>
      </c>
      <c r="CJ49" s="19">
        <v>0</v>
      </c>
      <c r="CK49" s="19">
        <v>0</v>
      </c>
      <c r="CL49" s="19">
        <v>0</v>
      </c>
      <c r="CM49" s="19">
        <f t="shared" ref="CM49:CO51" si="22">CJ46</f>
        <v>0.94868329805051377</v>
      </c>
      <c r="CN49" s="19">
        <f t="shared" si="22"/>
        <v>-0.31622776601683794</v>
      </c>
      <c r="CO49" s="19">
        <f t="shared" si="22"/>
        <v>0</v>
      </c>
      <c r="CR49" s="19">
        <v>-85499.999999999985</v>
      </c>
      <c r="CS49" s="19">
        <v>-58.289999999999985</v>
      </c>
      <c r="CT49" s="19">
        <v>-184.32916481121478</v>
      </c>
      <c r="CU49" s="19">
        <v>85499.999999999985</v>
      </c>
      <c r="CV49" s="19">
        <v>58.289999999999985</v>
      </c>
      <c r="CW49" s="19">
        <v>-184.32916481121478</v>
      </c>
      <c r="CY49" s="19">
        <f t="shared" si="15"/>
        <v>0</v>
      </c>
      <c r="CZ49" s="19">
        <f t="shared" si="16"/>
        <v>0</v>
      </c>
      <c r="DA49" s="19">
        <f t="shared" si="17"/>
        <v>0</v>
      </c>
      <c r="DB49" s="19">
        <f t="shared" si="18"/>
        <v>0.94868329805051377</v>
      </c>
      <c r="DC49" s="19">
        <f t="shared" si="19"/>
        <v>-0.31622776601683794</v>
      </c>
      <c r="DD49" s="19">
        <f t="shared" si="20"/>
        <v>0</v>
      </c>
      <c r="DG49" s="19">
        <v>-81130.854899800033</v>
      </c>
      <c r="DH49" s="19">
        <v>26982.175244996273</v>
      </c>
      <c r="DI49" s="19">
        <v>-184.32916481121478</v>
      </c>
      <c r="DJ49" s="19">
        <v>81130.854899800033</v>
      </c>
      <c r="DK49" s="19">
        <v>-26982.175244996273</v>
      </c>
      <c r="DL49" s="19">
        <v>-184.32916481121478</v>
      </c>
      <c r="DM49" s="20">
        <f t="shared" si="21"/>
        <v>7</v>
      </c>
      <c r="DR49" s="20">
        <v>13</v>
      </c>
      <c r="DS49" s="23">
        <v>0</v>
      </c>
      <c r="DT49" s="23">
        <v>0</v>
      </c>
      <c r="DU49" s="23">
        <v>0</v>
      </c>
      <c r="DV49" s="23">
        <v>0</v>
      </c>
      <c r="DW49" s="23">
        <v>0</v>
      </c>
      <c r="DX49" s="23">
        <v>0</v>
      </c>
      <c r="DY49" s="24">
        <v>-91.078125</v>
      </c>
      <c r="DZ49" s="24">
        <v>0</v>
      </c>
      <c r="EA49" s="24">
        <v>-364.3125</v>
      </c>
      <c r="EB49" s="23">
        <v>0</v>
      </c>
      <c r="EC49" s="23">
        <v>0</v>
      </c>
      <c r="ED49" s="23">
        <f t="array" ref="ED49:ED51">TRANSPOSE(EE48:EG48)</f>
        <v>0</v>
      </c>
      <c r="EE49" s="24">
        <f>DJ58</f>
        <v>91.078125</v>
      </c>
      <c r="EF49" s="24">
        <f>DK58</f>
        <v>0</v>
      </c>
      <c r="EG49" s="24">
        <f>DL58</f>
        <v>-364.3125</v>
      </c>
      <c r="EH49" s="20">
        <v>13</v>
      </c>
    </row>
    <row r="50" spans="1:138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9"/>
      <c r="BH50" s="1" t="s">
        <v>47</v>
      </c>
      <c r="BI50" s="1" t="s">
        <v>37</v>
      </c>
      <c r="BJ50" s="1">
        <f>SQRT((BJ48-BJ46)^2+(BJ49-BJ47)^2)</f>
        <v>6.324555320336759</v>
      </c>
      <c r="BM50" s="1">
        <v>7</v>
      </c>
      <c r="BV50" s="19">
        <v>0</v>
      </c>
      <c r="BW50" s="19">
        <v>0</v>
      </c>
      <c r="BX50" s="19">
        <v>0</v>
      </c>
      <c r="BY50" s="19">
        <v>-0.31622776601683794</v>
      </c>
      <c r="BZ50" s="19">
        <v>0.94868329805051377</v>
      </c>
      <c r="CA50" s="19">
        <v>0</v>
      </c>
      <c r="CC50" s="39">
        <v>0</v>
      </c>
      <c r="CD50" s="39">
        <f>-CD47</f>
        <v>-184.32916481121478</v>
      </c>
      <c r="CE50" s="39">
        <f>-CE47</f>
        <v>-582.89999999999986</v>
      </c>
      <c r="CF50" s="39">
        <v>0</v>
      </c>
      <c r="CG50" s="39">
        <f>CD47</f>
        <v>184.32916481121478</v>
      </c>
      <c r="CH50" s="39">
        <f>CE50</f>
        <v>-582.89999999999986</v>
      </c>
      <c r="CJ50" s="19">
        <v>0</v>
      </c>
      <c r="CK50" s="19">
        <v>0</v>
      </c>
      <c r="CL50" s="19">
        <v>0</v>
      </c>
      <c r="CM50" s="19">
        <f t="shared" si="22"/>
        <v>0.31622776601683794</v>
      </c>
      <c r="CN50" s="19">
        <f t="shared" si="22"/>
        <v>0.94868329805051377</v>
      </c>
      <c r="CO50" s="19">
        <f t="shared" si="22"/>
        <v>0</v>
      </c>
      <c r="CR50" s="19">
        <v>28500</v>
      </c>
      <c r="CS50" s="19">
        <v>-174.86999999999995</v>
      </c>
      <c r="CT50" s="19">
        <v>-552.98749443364431</v>
      </c>
      <c r="CU50" s="19">
        <v>-28500</v>
      </c>
      <c r="CV50" s="19">
        <v>174.86999999999995</v>
      </c>
      <c r="CW50" s="19">
        <v>-552.98749443364431</v>
      </c>
      <c r="CY50" s="19">
        <f t="shared" si="15"/>
        <v>0</v>
      </c>
      <c r="CZ50" s="19">
        <f t="shared" si="16"/>
        <v>0</v>
      </c>
      <c r="DA50" s="19">
        <f t="shared" si="17"/>
        <v>0</v>
      </c>
      <c r="DB50" s="19">
        <f t="shared" si="18"/>
        <v>0.31622776601683794</v>
      </c>
      <c r="DC50" s="19">
        <f t="shared" si="19"/>
        <v>0.94868329805051377</v>
      </c>
      <c r="DD50" s="19">
        <f t="shared" si="20"/>
        <v>0</v>
      </c>
      <c r="DG50" s="19">
        <v>26982.175244996277</v>
      </c>
      <c r="DH50" s="19">
        <v>-9178.3875798099743</v>
      </c>
      <c r="DI50" s="19">
        <v>-552.98749443364431</v>
      </c>
      <c r="DJ50" s="19">
        <v>-26982.175244996277</v>
      </c>
      <c r="DK50" s="19">
        <v>9178.3875798099743</v>
      </c>
      <c r="DL50" s="19">
        <v>-552.98749443364431</v>
      </c>
      <c r="DM50" s="20">
        <f t="shared" si="21"/>
        <v>8</v>
      </c>
      <c r="DR50" s="20">
        <v>14</v>
      </c>
      <c r="DS50" s="23">
        <v>0</v>
      </c>
      <c r="DT50" s="23">
        <v>0</v>
      </c>
      <c r="DU50" s="23">
        <v>0</v>
      </c>
      <c r="DV50" s="23">
        <v>0</v>
      </c>
      <c r="DW50" s="23">
        <v>0</v>
      </c>
      <c r="DX50" s="23">
        <v>0</v>
      </c>
      <c r="DY50" s="24">
        <v>0</v>
      </c>
      <c r="DZ50" s="24">
        <v>-71250</v>
      </c>
      <c r="EA50" s="24">
        <v>0</v>
      </c>
      <c r="EB50" s="23">
        <v>0</v>
      </c>
      <c r="EC50" s="23">
        <v>0</v>
      </c>
      <c r="ED50" s="23">
        <v>0</v>
      </c>
      <c r="EE50" s="24">
        <f t="array" ref="EE50:EE51">TRANSPOSE(EF49:EG49)</f>
        <v>0</v>
      </c>
      <c r="EF50" s="24">
        <f>DK59</f>
        <v>71250</v>
      </c>
      <c r="EG50" s="24">
        <f>DL59</f>
        <v>0</v>
      </c>
      <c r="EH50" s="20">
        <v>14</v>
      </c>
    </row>
    <row r="51" spans="1:138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9"/>
      <c r="BH51" s="1" t="s">
        <v>47</v>
      </c>
      <c r="BI51" s="1" t="s">
        <v>48</v>
      </c>
      <c r="BJ51" s="1">
        <f>(BJ48-BJ46)/BJ50</f>
        <v>0.94868329805051377</v>
      </c>
      <c r="BM51" s="1">
        <v>8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1</v>
      </c>
      <c r="CC51" s="39">
        <v>0</v>
      </c>
      <c r="CD51" s="39">
        <f>CE47</f>
        <v>582.89999999999986</v>
      </c>
      <c r="CE51" s="39">
        <f>CH48</f>
        <v>1228.861098741432</v>
      </c>
      <c r="CF51" s="39">
        <v>0</v>
      </c>
      <c r="CG51" s="39">
        <f>-CE47</f>
        <v>-582.89999999999986</v>
      </c>
      <c r="CH51" s="39">
        <f>CE48</f>
        <v>2457.722197482864</v>
      </c>
      <c r="CJ51" s="19">
        <v>0</v>
      </c>
      <c r="CK51" s="19">
        <v>0</v>
      </c>
      <c r="CL51" s="19">
        <v>0</v>
      </c>
      <c r="CM51" s="19">
        <f t="shared" si="22"/>
        <v>0</v>
      </c>
      <c r="CN51" s="19">
        <f t="shared" si="22"/>
        <v>0</v>
      </c>
      <c r="CO51" s="19">
        <f t="shared" si="22"/>
        <v>1</v>
      </c>
      <c r="CR51" s="19">
        <v>0</v>
      </c>
      <c r="CS51" s="19">
        <v>582.89999999999986</v>
      </c>
      <c r="CT51" s="19">
        <v>1228.861098741432</v>
      </c>
      <c r="CU51" s="19">
        <v>0</v>
      </c>
      <c r="CV51" s="19">
        <v>-582.89999999999986</v>
      </c>
      <c r="CW51" s="19">
        <v>2457.722197482864</v>
      </c>
      <c r="CY51" s="19">
        <f t="shared" si="15"/>
        <v>0</v>
      </c>
      <c r="CZ51" s="19">
        <f t="shared" si="16"/>
        <v>0</v>
      </c>
      <c r="DA51" s="19">
        <f t="shared" si="17"/>
        <v>0</v>
      </c>
      <c r="DB51" s="19">
        <f t="shared" si="18"/>
        <v>0</v>
      </c>
      <c r="DC51" s="19">
        <f t="shared" si="19"/>
        <v>0</v>
      </c>
      <c r="DD51" s="19">
        <f t="shared" si="20"/>
        <v>1</v>
      </c>
      <c r="DG51" s="19">
        <v>184.32916481121478</v>
      </c>
      <c r="DH51" s="19">
        <v>552.98749443364431</v>
      </c>
      <c r="DI51" s="19">
        <v>1228.861098741432</v>
      </c>
      <c r="DJ51" s="19">
        <v>-184.32916481121478</v>
      </c>
      <c r="DK51" s="19">
        <v>-552.98749443364431</v>
      </c>
      <c r="DL51" s="19">
        <v>2457.722197482864</v>
      </c>
      <c r="DM51" s="20">
        <f t="shared" si="21"/>
        <v>9</v>
      </c>
      <c r="DR51" s="20">
        <v>15</v>
      </c>
      <c r="DS51" s="23">
        <v>0</v>
      </c>
      <c r="DT51" s="23">
        <v>0</v>
      </c>
      <c r="DU51" s="23">
        <v>0</v>
      </c>
      <c r="DV51" s="23">
        <v>0</v>
      </c>
      <c r="DW51" s="23">
        <v>0</v>
      </c>
      <c r="DX51" s="23">
        <v>0</v>
      </c>
      <c r="DY51" s="24">
        <v>364.3125</v>
      </c>
      <c r="DZ51" s="24">
        <v>0</v>
      </c>
      <c r="EA51" s="24">
        <v>971.49999999999989</v>
      </c>
      <c r="EB51" s="23">
        <v>0</v>
      </c>
      <c r="EC51" s="23">
        <v>0</v>
      </c>
      <c r="ED51" s="23">
        <v>0</v>
      </c>
      <c r="EE51" s="24">
        <v>-364.3125</v>
      </c>
      <c r="EF51" s="24">
        <f>EG50</f>
        <v>0</v>
      </c>
      <c r="EG51" s="24">
        <f>DL60</f>
        <v>1942.9999999999998</v>
      </c>
      <c r="EH51" s="20">
        <v>15</v>
      </c>
    </row>
    <row r="52" spans="1:138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9"/>
      <c r="BH52" s="1" t="s">
        <v>47</v>
      </c>
      <c r="BI52" s="18" t="s">
        <v>49</v>
      </c>
      <c r="BJ52" s="1">
        <f>(BJ49-BJ47)/BJ50</f>
        <v>-0.31622776601683794</v>
      </c>
      <c r="BM52" s="1">
        <v>9</v>
      </c>
      <c r="CC52" s="23"/>
      <c r="CD52" s="23"/>
      <c r="CE52" s="23"/>
      <c r="CF52" s="23"/>
      <c r="CG52" s="23"/>
      <c r="CH52" s="23"/>
      <c r="DS52" s="20">
        <v>1</v>
      </c>
      <c r="DT52" s="20">
        <v>2</v>
      </c>
      <c r="DU52" s="20">
        <v>3</v>
      </c>
      <c r="DV52" s="20">
        <v>4</v>
      </c>
      <c r="DW52" s="20">
        <v>5</v>
      </c>
      <c r="DX52" s="20">
        <v>6</v>
      </c>
      <c r="DY52" s="20">
        <v>7</v>
      </c>
      <c r="DZ52" s="20">
        <v>8</v>
      </c>
      <c r="EA52" s="20">
        <v>9</v>
      </c>
      <c r="EB52" s="20">
        <v>10</v>
      </c>
      <c r="EC52" s="20">
        <v>11</v>
      </c>
      <c r="ED52" s="20">
        <v>12</v>
      </c>
      <c r="EE52" s="20">
        <v>13</v>
      </c>
      <c r="EF52" s="20">
        <v>14</v>
      </c>
      <c r="EG52" s="20">
        <v>15</v>
      </c>
    </row>
    <row r="53" spans="1:138" ht="12.7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8" t="s">
        <v>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9"/>
      <c r="CC53" s="23"/>
      <c r="CD53" s="23"/>
      <c r="CE53" s="23"/>
      <c r="CF53" s="23"/>
      <c r="CG53" s="23"/>
      <c r="CH53" s="23"/>
    </row>
    <row r="54" spans="1:138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9"/>
      <c r="BI54" s="44" t="s">
        <v>62</v>
      </c>
      <c r="CC54" s="23"/>
      <c r="CD54" s="23"/>
      <c r="CE54" s="23"/>
      <c r="CF54" s="23"/>
      <c r="CG54" s="23"/>
      <c r="CH54" s="23"/>
      <c r="DG54" s="20">
        <f t="array" ref="DG54:DL54">TRANSPOSE(DM55:DM60)</f>
        <v>7</v>
      </c>
      <c r="DH54" s="20">
        <v>8</v>
      </c>
      <c r="DI54" s="20">
        <v>9</v>
      </c>
      <c r="DJ54" s="20">
        <v>13</v>
      </c>
      <c r="DK54" s="20">
        <v>14</v>
      </c>
      <c r="DL54" s="20">
        <v>15</v>
      </c>
    </row>
    <row r="55" spans="1:138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9"/>
      <c r="BH55" s="1" t="s">
        <v>46</v>
      </c>
      <c r="BI55" s="1" t="s">
        <v>33</v>
      </c>
      <c r="BJ55" s="1">
        <f>BJ48</f>
        <v>12</v>
      </c>
      <c r="BM55" s="1" t="s">
        <v>51</v>
      </c>
      <c r="BO55" s="1" t="s">
        <v>38</v>
      </c>
      <c r="BP55" s="1">
        <f>BJ7</f>
        <v>200000000</v>
      </c>
      <c r="BV55" s="19">
        <f t="array" ref="BV55:CA60">TRANSPOSE(CJ55:CO60)</f>
        <v>0</v>
      </c>
      <c r="BW55" s="19">
        <v>1</v>
      </c>
      <c r="BX55" s="19">
        <v>0</v>
      </c>
      <c r="BY55" s="19">
        <v>0</v>
      </c>
      <c r="BZ55" s="19">
        <v>0</v>
      </c>
      <c r="CA55" s="19">
        <v>0</v>
      </c>
      <c r="CC55" s="39">
        <f>BP55*BP57/BJ59</f>
        <v>71250</v>
      </c>
      <c r="CD55" s="39">
        <v>0</v>
      </c>
      <c r="CE55" s="39">
        <v>0</v>
      </c>
      <c r="CF55" s="39">
        <f>-CC55</f>
        <v>-71250</v>
      </c>
      <c r="CG55" s="39">
        <v>0</v>
      </c>
      <c r="CH55" s="39">
        <v>0</v>
      </c>
      <c r="CJ55" s="19">
        <f>BJ60</f>
        <v>0</v>
      </c>
      <c r="CK55" s="19">
        <f>BJ61</f>
        <v>-1</v>
      </c>
      <c r="CL55" s="19">
        <v>0</v>
      </c>
      <c r="CM55" s="19">
        <v>0</v>
      </c>
      <c r="CN55" s="19">
        <v>0</v>
      </c>
      <c r="CO55" s="19">
        <v>0</v>
      </c>
      <c r="CR55" s="19">
        <f t="array" ref="CR55:CW60">MMULT(BV55:CA60,CC55:CH60)</f>
        <v>0</v>
      </c>
      <c r="CS55" s="19">
        <v>91.078125</v>
      </c>
      <c r="CT55" s="19">
        <v>364.3125</v>
      </c>
      <c r="CU55" s="19">
        <v>0</v>
      </c>
      <c r="CV55" s="19">
        <v>-91.078125</v>
      </c>
      <c r="CW55" s="19">
        <v>364.3125</v>
      </c>
      <c r="CY55" s="19">
        <f t="shared" ref="CY55:CY60" si="23">CJ55</f>
        <v>0</v>
      </c>
      <c r="CZ55" s="19">
        <f t="shared" ref="CZ55:CZ60" si="24">CK55</f>
        <v>-1</v>
      </c>
      <c r="DA55" s="19">
        <f t="shared" ref="DA55:DA60" si="25">CL55</f>
        <v>0</v>
      </c>
      <c r="DB55" s="19">
        <f t="shared" ref="DB55:DB60" si="26">CM55</f>
        <v>0</v>
      </c>
      <c r="DC55" s="19">
        <f t="shared" ref="DC55:DC60" si="27">CN55</f>
        <v>0</v>
      </c>
      <c r="DD55" s="19">
        <f t="shared" ref="DD55:DD60" si="28">CO55</f>
        <v>0</v>
      </c>
      <c r="DG55" s="19">
        <f t="array" ref="DG55:DL60">MMULT(CR55:CW60,CY55:DD60)</f>
        <v>91.078125</v>
      </c>
      <c r="DH55" s="19">
        <v>0</v>
      </c>
      <c r="DI55" s="19">
        <v>364.3125</v>
      </c>
      <c r="DJ55" s="19">
        <v>-91.078125</v>
      </c>
      <c r="DK55" s="19">
        <v>0</v>
      </c>
      <c r="DL55" s="19">
        <v>364.3125</v>
      </c>
      <c r="DM55" s="20">
        <f t="shared" ref="DM55:DM60" si="29">BM56</f>
        <v>7</v>
      </c>
    </row>
    <row r="56" spans="1:138">
      <c r="A56" s="2"/>
      <c r="B56" s="7"/>
      <c r="C56" s="2"/>
      <c r="D56" s="2"/>
      <c r="E56" s="73"/>
      <c r="F56" s="73"/>
      <c r="G56" s="73"/>
      <c r="H56" s="2"/>
      <c r="I56" s="2"/>
      <c r="J56" s="2"/>
      <c r="K56" s="2"/>
      <c r="L56" s="2"/>
      <c r="M56" s="2"/>
      <c r="N56" s="2"/>
      <c r="O56" s="76">
        <v>454.6</v>
      </c>
      <c r="P56" s="76"/>
      <c r="Q56" s="76"/>
      <c r="R56" s="2" t="s">
        <v>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9"/>
      <c r="BH56" s="1" t="s">
        <v>46</v>
      </c>
      <c r="BI56" s="1" t="s">
        <v>34</v>
      </c>
      <c r="BJ56" s="1">
        <f>BJ49</f>
        <v>8</v>
      </c>
      <c r="BM56" s="1">
        <v>7</v>
      </c>
      <c r="BO56" s="1" t="s">
        <v>57</v>
      </c>
      <c r="BP56" s="17">
        <f>BJ8</f>
        <v>1.9429999999999999E-5</v>
      </c>
      <c r="BQ56" s="17"/>
      <c r="BV56" s="19">
        <v>-1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C56" s="39">
        <v>0</v>
      </c>
      <c r="CD56" s="39">
        <f>12*BP55*BP56/BJ59^3</f>
        <v>91.078125</v>
      </c>
      <c r="CE56" s="39">
        <f>6*BP55*BP56/BJ59^2</f>
        <v>364.3125</v>
      </c>
      <c r="CF56" s="39">
        <v>0</v>
      </c>
      <c r="CG56" s="39">
        <f>-CD56</f>
        <v>-91.078125</v>
      </c>
      <c r="CH56" s="39">
        <f>CE56</f>
        <v>364.3125</v>
      </c>
      <c r="CJ56" s="19">
        <f>-CK55</f>
        <v>1</v>
      </c>
      <c r="CK56" s="19">
        <f>CJ55</f>
        <v>0</v>
      </c>
      <c r="CL56" s="19">
        <v>0</v>
      </c>
      <c r="CM56" s="19">
        <v>0</v>
      </c>
      <c r="CN56" s="19">
        <v>0</v>
      </c>
      <c r="CO56" s="19">
        <v>0</v>
      </c>
      <c r="CR56" s="19">
        <v>-71250</v>
      </c>
      <c r="CS56" s="19">
        <v>0</v>
      </c>
      <c r="CT56" s="19">
        <v>0</v>
      </c>
      <c r="CU56" s="19">
        <v>71250</v>
      </c>
      <c r="CV56" s="19">
        <v>0</v>
      </c>
      <c r="CW56" s="19">
        <v>0</v>
      </c>
      <c r="CY56" s="19">
        <f t="shared" si="23"/>
        <v>1</v>
      </c>
      <c r="CZ56" s="19">
        <f t="shared" si="24"/>
        <v>0</v>
      </c>
      <c r="DA56" s="19">
        <f t="shared" si="25"/>
        <v>0</v>
      </c>
      <c r="DB56" s="19">
        <f t="shared" si="26"/>
        <v>0</v>
      </c>
      <c r="DC56" s="19">
        <f t="shared" si="27"/>
        <v>0</v>
      </c>
      <c r="DD56" s="19">
        <f t="shared" si="28"/>
        <v>0</v>
      </c>
      <c r="DG56" s="19">
        <v>0</v>
      </c>
      <c r="DH56" s="19">
        <v>71250</v>
      </c>
      <c r="DI56" s="19">
        <v>0</v>
      </c>
      <c r="DJ56" s="19">
        <v>0</v>
      </c>
      <c r="DK56" s="19">
        <v>-71250</v>
      </c>
      <c r="DL56" s="19">
        <v>0</v>
      </c>
      <c r="DM56" s="20">
        <f t="shared" si="29"/>
        <v>8</v>
      </c>
    </row>
    <row r="57" spans="1:138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 t="s">
        <v>8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9"/>
      <c r="BH57" s="1" t="s">
        <v>46</v>
      </c>
      <c r="BI57" s="1" t="s">
        <v>35</v>
      </c>
      <c r="BJ57" s="1">
        <f>2*BJ4</f>
        <v>12</v>
      </c>
      <c r="BM57" s="1">
        <v>8</v>
      </c>
      <c r="BO57" s="1" t="s">
        <v>58</v>
      </c>
      <c r="BP57" s="17">
        <f>BJ9</f>
        <v>2.8500000000000001E-3</v>
      </c>
      <c r="BQ57" s="17"/>
      <c r="BR57" s="1" t="s">
        <v>50</v>
      </c>
      <c r="BV57" s="19">
        <v>0</v>
      </c>
      <c r="BW57" s="19">
        <v>0</v>
      </c>
      <c r="BX57" s="19">
        <v>1</v>
      </c>
      <c r="BY57" s="19">
        <v>0</v>
      </c>
      <c r="BZ57" s="19">
        <v>0</v>
      </c>
      <c r="CA57" s="19">
        <v>0</v>
      </c>
      <c r="CC57" s="39">
        <v>0</v>
      </c>
      <c r="CD57" s="39">
        <f>CE56</f>
        <v>364.3125</v>
      </c>
      <c r="CE57" s="39">
        <f>4*BP55*BP56/BJ59</f>
        <v>1942.9999999999998</v>
      </c>
      <c r="CF57" s="39">
        <v>0</v>
      </c>
      <c r="CG57" s="39">
        <f>-CE56</f>
        <v>-364.3125</v>
      </c>
      <c r="CH57" s="39">
        <f>2*BP55*BP56/BJ59</f>
        <v>971.49999999999989</v>
      </c>
      <c r="CJ57" s="19">
        <v>0</v>
      </c>
      <c r="CK57" s="19">
        <v>0</v>
      </c>
      <c r="CL57" s="19">
        <v>1</v>
      </c>
      <c r="CM57" s="19">
        <v>0</v>
      </c>
      <c r="CN57" s="19">
        <v>0</v>
      </c>
      <c r="CO57" s="19">
        <v>0</v>
      </c>
      <c r="CQ57" s="1" t="s">
        <v>56</v>
      </c>
      <c r="CR57" s="19">
        <v>0</v>
      </c>
      <c r="CS57" s="19">
        <v>364.3125</v>
      </c>
      <c r="CT57" s="19">
        <v>1942.9999999999998</v>
      </c>
      <c r="CU57" s="19">
        <v>0</v>
      </c>
      <c r="CV57" s="19">
        <v>-364.3125</v>
      </c>
      <c r="CW57" s="19">
        <v>971.49999999999989</v>
      </c>
      <c r="CY57" s="19">
        <f t="shared" si="23"/>
        <v>0</v>
      </c>
      <c r="CZ57" s="19">
        <f t="shared" si="24"/>
        <v>0</v>
      </c>
      <c r="DA57" s="19">
        <f t="shared" si="25"/>
        <v>1</v>
      </c>
      <c r="DB57" s="19">
        <f t="shared" si="26"/>
        <v>0</v>
      </c>
      <c r="DC57" s="19">
        <f t="shared" si="27"/>
        <v>0</v>
      </c>
      <c r="DD57" s="19">
        <f t="shared" si="28"/>
        <v>0</v>
      </c>
      <c r="DF57" s="1" t="s">
        <v>56</v>
      </c>
      <c r="DG57" s="19">
        <v>364.3125</v>
      </c>
      <c r="DH57" s="19">
        <v>0</v>
      </c>
      <c r="DI57" s="19">
        <v>1942.9999999999998</v>
      </c>
      <c r="DJ57" s="19">
        <v>-364.3125</v>
      </c>
      <c r="DK57" s="19">
        <v>0</v>
      </c>
      <c r="DL57" s="19">
        <v>971.49999999999989</v>
      </c>
      <c r="DM57" s="20">
        <f t="shared" si="29"/>
        <v>9</v>
      </c>
    </row>
    <row r="58" spans="1:138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73" t="str">
        <f>+AI34</f>
        <v>Lc</v>
      </c>
      <c r="AJ58" s="73"/>
      <c r="AK58" s="2" t="s">
        <v>0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9"/>
      <c r="BH58" s="1" t="s">
        <v>45</v>
      </c>
      <c r="BI58" s="1" t="s">
        <v>36</v>
      </c>
      <c r="BJ58" s="1">
        <v>0</v>
      </c>
      <c r="BM58" s="1">
        <v>9</v>
      </c>
      <c r="BV58" s="19">
        <v>0</v>
      </c>
      <c r="BW58" s="19">
        <v>0</v>
      </c>
      <c r="BX58" s="19">
        <v>0</v>
      </c>
      <c r="BY58" s="19">
        <v>0</v>
      </c>
      <c r="BZ58" s="19">
        <v>1</v>
      </c>
      <c r="CA58" s="19">
        <v>0</v>
      </c>
      <c r="CC58" s="39">
        <f>-CC55</f>
        <v>-71250</v>
      </c>
      <c r="CD58" s="39">
        <v>0</v>
      </c>
      <c r="CE58" s="39">
        <v>0</v>
      </c>
      <c r="CF58" s="39">
        <f>CC55</f>
        <v>71250</v>
      </c>
      <c r="CG58" s="39">
        <v>0</v>
      </c>
      <c r="CH58" s="39">
        <v>0</v>
      </c>
      <c r="CJ58" s="19">
        <v>0</v>
      </c>
      <c r="CK58" s="19">
        <v>0</v>
      </c>
      <c r="CL58" s="19">
        <v>0</v>
      </c>
      <c r="CM58" s="19">
        <f t="shared" ref="CM58:CO60" si="30">CJ55</f>
        <v>0</v>
      </c>
      <c r="CN58" s="19">
        <f t="shared" si="30"/>
        <v>-1</v>
      </c>
      <c r="CO58" s="19">
        <f t="shared" si="30"/>
        <v>0</v>
      </c>
      <c r="CR58" s="19">
        <v>0</v>
      </c>
      <c r="CS58" s="19">
        <v>-91.078125</v>
      </c>
      <c r="CT58" s="19">
        <v>-364.3125</v>
      </c>
      <c r="CU58" s="19">
        <v>0</v>
      </c>
      <c r="CV58" s="19">
        <v>91.078125</v>
      </c>
      <c r="CW58" s="19">
        <v>-364.3125</v>
      </c>
      <c r="CY58" s="19">
        <f t="shared" si="23"/>
        <v>0</v>
      </c>
      <c r="CZ58" s="19">
        <f t="shared" si="24"/>
        <v>0</v>
      </c>
      <c r="DA58" s="19">
        <f t="shared" si="25"/>
        <v>0</v>
      </c>
      <c r="DB58" s="19">
        <f t="shared" si="26"/>
        <v>0</v>
      </c>
      <c r="DC58" s="19">
        <f t="shared" si="27"/>
        <v>-1</v>
      </c>
      <c r="DD58" s="19">
        <f t="shared" si="28"/>
        <v>0</v>
      </c>
      <c r="DG58" s="19">
        <v>-91.078125</v>
      </c>
      <c r="DH58" s="19">
        <v>0</v>
      </c>
      <c r="DI58" s="19">
        <v>-364.3125</v>
      </c>
      <c r="DJ58" s="19">
        <v>91.078125</v>
      </c>
      <c r="DK58" s="19">
        <v>0</v>
      </c>
      <c r="DL58" s="19">
        <v>-364.3125</v>
      </c>
      <c r="DM58" s="20">
        <f t="shared" si="29"/>
        <v>13</v>
      </c>
    </row>
    <row r="59" spans="1:138">
      <c r="A59" s="2"/>
      <c r="B59" s="7"/>
      <c r="C59" s="76">
        <v>272.7</v>
      </c>
      <c r="D59" s="76"/>
      <c r="E59" s="76"/>
      <c r="F59" s="2" t="s">
        <v>5</v>
      </c>
      <c r="G59" s="2"/>
      <c r="H59" s="2"/>
      <c r="I59" s="2"/>
      <c r="J59" s="2"/>
      <c r="K59" s="2"/>
      <c r="L59" s="10" t="s">
        <v>3</v>
      </c>
      <c r="M59" s="73">
        <f>+M13</f>
        <v>0.5</v>
      </c>
      <c r="N59" s="73"/>
      <c r="O59" s="73"/>
      <c r="P59" s="2"/>
      <c r="Q59" s="2"/>
      <c r="R59" s="2"/>
      <c r="S59" s="2"/>
      <c r="T59" s="2"/>
      <c r="U59" s="2"/>
      <c r="V59" s="2"/>
      <c r="W59" s="2"/>
      <c r="X59" s="10" t="s">
        <v>3</v>
      </c>
      <c r="Y59" s="73">
        <f>+M59</f>
        <v>0.5</v>
      </c>
      <c r="Z59" s="73"/>
      <c r="AA59" s="73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 t="s">
        <v>16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9"/>
      <c r="BH59" s="1" t="s">
        <v>47</v>
      </c>
      <c r="BI59" s="1" t="s">
        <v>37</v>
      </c>
      <c r="BJ59" s="1">
        <f>SQRT((BJ57-BJ55)^2+(BJ58-BJ56)^2)</f>
        <v>8</v>
      </c>
      <c r="BM59" s="1">
        <v>13</v>
      </c>
      <c r="BV59" s="19">
        <v>0</v>
      </c>
      <c r="BW59" s="19">
        <v>0</v>
      </c>
      <c r="BX59" s="19">
        <v>0</v>
      </c>
      <c r="BY59" s="19">
        <v>-1</v>
      </c>
      <c r="BZ59" s="19">
        <v>0</v>
      </c>
      <c r="CA59" s="19">
        <v>0</v>
      </c>
      <c r="CC59" s="39">
        <v>0</v>
      </c>
      <c r="CD59" s="39">
        <f>-CD56</f>
        <v>-91.078125</v>
      </c>
      <c r="CE59" s="39">
        <f>-CE56</f>
        <v>-364.3125</v>
      </c>
      <c r="CF59" s="39">
        <v>0</v>
      </c>
      <c r="CG59" s="39">
        <f>CD56</f>
        <v>91.078125</v>
      </c>
      <c r="CH59" s="39">
        <f>CE59</f>
        <v>-364.3125</v>
      </c>
      <c r="CJ59" s="19">
        <v>0</v>
      </c>
      <c r="CK59" s="19">
        <v>0</v>
      </c>
      <c r="CL59" s="19">
        <v>0</v>
      </c>
      <c r="CM59" s="19">
        <f t="shared" si="30"/>
        <v>1</v>
      </c>
      <c r="CN59" s="19">
        <f t="shared" si="30"/>
        <v>0</v>
      </c>
      <c r="CO59" s="19">
        <f t="shared" si="30"/>
        <v>0</v>
      </c>
      <c r="CR59" s="19">
        <v>71250</v>
      </c>
      <c r="CS59" s="19">
        <v>0</v>
      </c>
      <c r="CT59" s="19">
        <v>0</v>
      </c>
      <c r="CU59" s="19">
        <v>-71250</v>
      </c>
      <c r="CV59" s="19">
        <v>0</v>
      </c>
      <c r="CW59" s="19">
        <v>0</v>
      </c>
      <c r="CY59" s="19">
        <f t="shared" si="23"/>
        <v>0</v>
      </c>
      <c r="CZ59" s="19">
        <f t="shared" si="24"/>
        <v>0</v>
      </c>
      <c r="DA59" s="19">
        <f t="shared" si="25"/>
        <v>0</v>
      </c>
      <c r="DB59" s="19">
        <f t="shared" si="26"/>
        <v>1</v>
      </c>
      <c r="DC59" s="19">
        <f t="shared" si="27"/>
        <v>0</v>
      </c>
      <c r="DD59" s="19">
        <f t="shared" si="28"/>
        <v>0</v>
      </c>
      <c r="DG59" s="19">
        <v>0</v>
      </c>
      <c r="DH59" s="19">
        <v>-71250</v>
      </c>
      <c r="DI59" s="19">
        <v>0</v>
      </c>
      <c r="DJ59" s="19">
        <v>0</v>
      </c>
      <c r="DK59" s="19">
        <v>71250</v>
      </c>
      <c r="DL59" s="19">
        <v>0</v>
      </c>
      <c r="DM59" s="20">
        <f t="shared" si="29"/>
        <v>14</v>
      </c>
    </row>
    <row r="60" spans="1:138">
      <c r="A60" s="2"/>
      <c r="B60" s="7"/>
      <c r="C60" s="2"/>
      <c r="D60" s="2"/>
      <c r="E60" s="2"/>
      <c r="F60" s="2"/>
      <c r="G60" s="2" t="s">
        <v>7</v>
      </c>
      <c r="H60" s="2"/>
      <c r="I60" s="2"/>
      <c r="J60" s="73" t="e">
        <f>ATAN(AI58/M71)*180/PI()</f>
        <v>#VALUE!</v>
      </c>
      <c r="K60" s="73"/>
      <c r="L60" s="11" t="s">
        <v>6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74">
        <f>+C59</f>
        <v>272.7</v>
      </c>
      <c r="AE60" s="74"/>
      <c r="AF60" s="74"/>
      <c r="AG60" s="2" t="s">
        <v>5</v>
      </c>
      <c r="AH60" s="2"/>
      <c r="AI60" s="2" t="s">
        <v>4</v>
      </c>
      <c r="AJ60" s="2"/>
      <c r="AK60" s="2"/>
      <c r="AL60" s="2"/>
      <c r="AM60" s="2"/>
      <c r="AN60" s="2"/>
      <c r="AO60" s="2"/>
      <c r="AP60" s="2"/>
      <c r="AQ60" s="72" t="s">
        <v>14</v>
      </c>
      <c r="AR60" s="72"/>
      <c r="AS60" s="72"/>
      <c r="AT60" s="72"/>
      <c r="AU60" s="72"/>
      <c r="AV60" s="72"/>
      <c r="AW60" s="72"/>
      <c r="AX60" s="72"/>
      <c r="AY60" s="72"/>
      <c r="AZ60" s="72"/>
      <c r="BA60" s="2"/>
      <c r="BB60" s="2"/>
      <c r="BC60" s="2"/>
      <c r="BD60" s="2"/>
      <c r="BE60" s="9"/>
      <c r="BH60" s="1" t="s">
        <v>47</v>
      </c>
      <c r="BI60" s="1" t="s">
        <v>48</v>
      </c>
      <c r="BJ60" s="1">
        <f>(BJ57-BJ55)/BJ59</f>
        <v>0</v>
      </c>
      <c r="BM60" s="1">
        <v>14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1</v>
      </c>
      <c r="CC60" s="39">
        <v>0</v>
      </c>
      <c r="CD60" s="39">
        <f>CE56</f>
        <v>364.3125</v>
      </c>
      <c r="CE60" s="39">
        <f>CH57</f>
        <v>971.49999999999989</v>
      </c>
      <c r="CF60" s="39">
        <v>0</v>
      </c>
      <c r="CG60" s="39">
        <f>-CE56</f>
        <v>-364.3125</v>
      </c>
      <c r="CH60" s="39">
        <f>CE57</f>
        <v>1942.9999999999998</v>
      </c>
      <c r="CJ60" s="19">
        <v>0</v>
      </c>
      <c r="CK60" s="19">
        <v>0</v>
      </c>
      <c r="CL60" s="19">
        <v>0</v>
      </c>
      <c r="CM60" s="19">
        <f t="shared" si="30"/>
        <v>0</v>
      </c>
      <c r="CN60" s="19">
        <f t="shared" si="30"/>
        <v>0</v>
      </c>
      <c r="CO60" s="19">
        <f t="shared" si="30"/>
        <v>1</v>
      </c>
      <c r="CR60" s="19">
        <v>0</v>
      </c>
      <c r="CS60" s="19">
        <v>364.3125</v>
      </c>
      <c r="CT60" s="19">
        <v>971.49999999999989</v>
      </c>
      <c r="CU60" s="19">
        <v>0</v>
      </c>
      <c r="CV60" s="19">
        <v>-364.3125</v>
      </c>
      <c r="CW60" s="19">
        <v>1942.9999999999998</v>
      </c>
      <c r="CY60" s="19">
        <f t="shared" si="23"/>
        <v>0</v>
      </c>
      <c r="CZ60" s="19">
        <f t="shared" si="24"/>
        <v>0</v>
      </c>
      <c r="DA60" s="19">
        <f t="shared" si="25"/>
        <v>0</v>
      </c>
      <c r="DB60" s="19">
        <f t="shared" si="26"/>
        <v>0</v>
      </c>
      <c r="DC60" s="19">
        <f t="shared" si="27"/>
        <v>0</v>
      </c>
      <c r="DD60" s="19">
        <f t="shared" si="28"/>
        <v>1</v>
      </c>
      <c r="DG60" s="19">
        <v>364.3125</v>
      </c>
      <c r="DH60" s="19">
        <v>0</v>
      </c>
      <c r="DI60" s="19">
        <v>971.49999999999989</v>
      </c>
      <c r="DJ60" s="19">
        <v>-364.3125</v>
      </c>
      <c r="DK60" s="19">
        <v>0</v>
      </c>
      <c r="DL60" s="19">
        <v>1942.9999999999998</v>
      </c>
      <c r="DM60" s="20">
        <f t="shared" si="29"/>
        <v>15</v>
      </c>
    </row>
    <row r="61" spans="1:138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73" t="e">
        <f>SQRT(M71^2+AI58^2)</f>
        <v>#VALUE!</v>
      </c>
      <c r="O61" s="73"/>
      <c r="P61" s="2" t="s">
        <v>0</v>
      </c>
      <c r="Q61" s="2"/>
      <c r="R61" s="2"/>
      <c r="S61" s="2"/>
      <c r="T61" s="2"/>
      <c r="U61" s="2"/>
      <c r="V61" s="2"/>
      <c r="W61" s="2"/>
      <c r="X61" s="2"/>
      <c r="Y61" s="2"/>
      <c r="Z61" s="73" t="e">
        <f>SQRT(AA71^2+AI58^2)</f>
        <v>#VALUE!</v>
      </c>
      <c r="AA61" s="73"/>
      <c r="AB61" s="2" t="s">
        <v>0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2"/>
      <c r="BB61" s="2"/>
      <c r="BC61" s="2"/>
      <c r="BD61" s="2"/>
      <c r="BE61" s="9"/>
      <c r="BH61" s="1" t="s">
        <v>47</v>
      </c>
      <c r="BI61" s="18" t="s">
        <v>49</v>
      </c>
      <c r="BJ61" s="1">
        <f>(BJ58-BJ56)/BJ59</f>
        <v>-1</v>
      </c>
      <c r="BM61" s="1">
        <v>15</v>
      </c>
    </row>
    <row r="62" spans="1:138">
      <c r="A62" s="2"/>
      <c r="B62" s="7"/>
      <c r="C62" s="2"/>
      <c r="D62" s="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2"/>
      <c r="AI62" s="2"/>
      <c r="AJ62" s="2"/>
      <c r="AK62" s="2"/>
      <c r="AL62" s="2"/>
      <c r="AM62" s="2"/>
      <c r="AN62" s="2"/>
      <c r="AO62" s="2"/>
      <c r="AP62" s="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2"/>
      <c r="BB62" s="2"/>
      <c r="BC62" s="2"/>
      <c r="BD62" s="2"/>
      <c r="BE62" s="9"/>
    </row>
    <row r="63" spans="1:138">
      <c r="A63" s="2"/>
      <c r="B63" s="7"/>
      <c r="C63" s="2"/>
      <c r="D63" s="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2"/>
      <c r="AI63" s="2"/>
      <c r="AJ63" s="12" t="s">
        <v>0</v>
      </c>
      <c r="AK63" s="2"/>
      <c r="AL63" s="2"/>
      <c r="AM63" s="2"/>
      <c r="AN63" s="2"/>
      <c r="AO63" s="2"/>
      <c r="AP63" s="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2"/>
      <c r="BB63" s="2"/>
      <c r="BC63" s="2"/>
      <c r="BD63" s="2"/>
      <c r="BE63" s="9"/>
    </row>
    <row r="64" spans="1:138">
      <c r="A64" s="2"/>
      <c r="B64" s="7"/>
      <c r="C64" s="2"/>
      <c r="D64" s="2"/>
      <c r="E64" s="2"/>
      <c r="F64" s="71">
        <f>+F18</f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1">
        <f>+F64</f>
        <v>1</v>
      </c>
      <c r="AI64" s="2"/>
      <c r="AJ64" s="71" t="str">
        <f>+AJ40</f>
        <v>Lb</v>
      </c>
      <c r="AK64" s="2"/>
      <c r="AL64" s="2"/>
      <c r="AM64" s="2"/>
      <c r="AN64" s="2"/>
      <c r="AO64" s="2"/>
      <c r="AP64" s="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2"/>
      <c r="BB64" s="2"/>
      <c r="BC64" s="2"/>
      <c r="BD64" s="2"/>
      <c r="BE64" s="9"/>
    </row>
    <row r="65" spans="1:57">
      <c r="A65" s="2"/>
      <c r="B65" s="7"/>
      <c r="C65" s="2"/>
      <c r="D65" s="2"/>
      <c r="E65" s="2"/>
      <c r="F65" s="7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1"/>
      <c r="AI65" s="2"/>
      <c r="AJ65" s="71"/>
      <c r="AK65" s="2"/>
      <c r="AL65" s="2"/>
      <c r="AM65" s="2"/>
      <c r="AN65" s="2"/>
      <c r="AO65" s="2"/>
      <c r="AP65" s="2"/>
      <c r="AQ65" s="72" t="s">
        <v>15</v>
      </c>
      <c r="AR65" s="72"/>
      <c r="AS65" s="72"/>
      <c r="AT65" s="72"/>
      <c r="AU65" s="72"/>
      <c r="AV65" s="72"/>
      <c r="AW65" s="72"/>
      <c r="AX65" s="72"/>
      <c r="AY65" s="72"/>
      <c r="AZ65" s="72"/>
      <c r="BA65" s="2"/>
      <c r="BB65" s="2"/>
      <c r="BC65" s="2"/>
      <c r="BD65" s="2"/>
      <c r="BE65" s="9"/>
    </row>
    <row r="66" spans="1:57">
      <c r="A66" s="2"/>
      <c r="B66" s="7"/>
      <c r="C66" s="2"/>
      <c r="D66" s="2"/>
      <c r="E66" s="2"/>
      <c r="F66" s="7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1"/>
      <c r="AI66" s="2"/>
      <c r="AJ66" s="71"/>
      <c r="AK66" s="2"/>
      <c r="AL66" s="2"/>
      <c r="AM66" s="2"/>
      <c r="AN66" s="2"/>
      <c r="AO66" s="2"/>
      <c r="AP66" s="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2"/>
      <c r="BB66" s="2"/>
      <c r="BC66" s="2"/>
      <c r="BD66" s="2"/>
      <c r="BE66" s="9"/>
    </row>
    <row r="67" spans="1:57">
      <c r="A67" s="2"/>
      <c r="B67" s="7"/>
      <c r="C67" s="2"/>
      <c r="D67" s="2"/>
      <c r="E67" s="2"/>
      <c r="F67" s="75" t="s">
        <v>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5" t="s">
        <v>3</v>
      </c>
      <c r="AI67" s="2"/>
      <c r="AJ67" s="2"/>
      <c r="AK67" s="2"/>
      <c r="AL67" s="2"/>
      <c r="AM67" s="2"/>
      <c r="AN67" s="2"/>
      <c r="AO67" s="2"/>
      <c r="AP67" s="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2"/>
      <c r="BB67" s="2"/>
      <c r="BC67" s="2"/>
      <c r="BD67" s="2"/>
      <c r="BE67" s="9"/>
    </row>
    <row r="68" spans="1:57">
      <c r="A68" s="2"/>
      <c r="B68" s="7"/>
      <c r="C68" s="2"/>
      <c r="D68" s="2"/>
      <c r="E68" s="2"/>
      <c r="F68" s="7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1"/>
      <c r="AI68" s="2"/>
      <c r="AJ68" s="2"/>
      <c r="AK68" s="2"/>
      <c r="AL68" s="2"/>
      <c r="AM68" s="2"/>
      <c r="AN68" s="2"/>
      <c r="AO68" s="2"/>
      <c r="AP68" s="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2"/>
      <c r="BB68" s="2"/>
      <c r="BC68" s="2"/>
      <c r="BD68" s="2"/>
      <c r="BE68" s="9"/>
    </row>
    <row r="69" spans="1:57">
      <c r="A69" s="2"/>
      <c r="B69" s="7"/>
      <c r="C69" s="2"/>
      <c r="D69" s="2"/>
      <c r="E69" s="2"/>
      <c r="F69" s="2"/>
      <c r="G69" s="2" t="s">
        <v>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 t="s">
        <v>1</v>
      </c>
      <c r="AJ69" s="2"/>
      <c r="AK69" s="2"/>
      <c r="AL69" s="2"/>
      <c r="AM69" s="2"/>
      <c r="AN69" s="2"/>
      <c r="AO69" s="2"/>
      <c r="AP69" s="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2"/>
      <c r="BB69" s="2"/>
      <c r="BC69" s="2"/>
      <c r="BD69" s="2"/>
      <c r="BE69" s="9"/>
    </row>
    <row r="70" spans="1:57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73"/>
      <c r="AF70" s="73"/>
      <c r="AG70" s="7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9"/>
    </row>
    <row r="71" spans="1:57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73" t="str">
        <f>+M47</f>
        <v>La</v>
      </c>
      <c r="N71" s="73"/>
      <c r="O71" s="2" t="s">
        <v>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73" t="str">
        <f>+AA47</f>
        <v>La</v>
      </c>
      <c r="AB71" s="73"/>
      <c r="AC71" s="2" t="s"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9"/>
    </row>
    <row r="72" spans="1:57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9"/>
    </row>
    <row r="73" spans="1:57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3" t="e">
        <f>+T49</f>
        <v>#VALUE!</v>
      </c>
      <c r="U73" s="73"/>
      <c r="V73" s="2" t="s"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9"/>
    </row>
    <row r="74" spans="1:57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9"/>
    </row>
    <row r="75" spans="1:57" ht="12" thickBot="1">
      <c r="A75" s="2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6"/>
    </row>
  </sheetData>
  <mergeCells count="63">
    <mergeCell ref="T5:U5"/>
    <mergeCell ref="M7:N7"/>
    <mergeCell ref="AA7:AB7"/>
    <mergeCell ref="AH18:AH20"/>
    <mergeCell ref="AK18:AK20"/>
    <mergeCell ref="K9:L9"/>
    <mergeCell ref="AB9:AC9"/>
    <mergeCell ref="AL12:AM12"/>
    <mergeCell ref="M13:O13"/>
    <mergeCell ref="Z13:AB13"/>
    <mergeCell ref="I14:J14"/>
    <mergeCell ref="AQ14:AZ18"/>
    <mergeCell ref="M14:O14"/>
    <mergeCell ref="AM17:AM19"/>
    <mergeCell ref="AK15:AK17"/>
    <mergeCell ref="EO31:EU33"/>
    <mergeCell ref="AH21:AH22"/>
    <mergeCell ref="O29:P29"/>
    <mergeCell ref="Z35:AB35"/>
    <mergeCell ref="AI34:AJ34"/>
    <mergeCell ref="C15:C17"/>
    <mergeCell ref="O15:P15"/>
    <mergeCell ref="Z15:AA15"/>
    <mergeCell ref="F21:F22"/>
    <mergeCell ref="F16:F17"/>
    <mergeCell ref="C59:E59"/>
    <mergeCell ref="C18:C20"/>
    <mergeCell ref="F18:F20"/>
    <mergeCell ref="N35:P35"/>
    <mergeCell ref="J36:K36"/>
    <mergeCell ref="G18:G20"/>
    <mergeCell ref="AQ37:AZ41"/>
    <mergeCell ref="F40:F42"/>
    <mergeCell ref="AH40:AH42"/>
    <mergeCell ref="AJ40:AJ42"/>
    <mergeCell ref="AI58:AJ58"/>
    <mergeCell ref="F43:F44"/>
    <mergeCell ref="AH43:AH44"/>
    <mergeCell ref="N37:O37"/>
    <mergeCell ref="Z37:AA37"/>
    <mergeCell ref="O56:Q56"/>
    <mergeCell ref="F64:F66"/>
    <mergeCell ref="AH64:AH66"/>
    <mergeCell ref="M47:N47"/>
    <mergeCell ref="T73:U73"/>
    <mergeCell ref="G21:G22"/>
    <mergeCell ref="M59:O59"/>
    <mergeCell ref="Y59:AA59"/>
    <mergeCell ref="J60:K60"/>
    <mergeCell ref="AA47:AB47"/>
    <mergeCell ref="T49:U49"/>
    <mergeCell ref="E56:G56"/>
    <mergeCell ref="F67:F68"/>
    <mergeCell ref="AH67:AH68"/>
    <mergeCell ref="AE70:AG70"/>
    <mergeCell ref="M71:N71"/>
    <mergeCell ref="AA71:AB71"/>
    <mergeCell ref="AJ64:AJ66"/>
    <mergeCell ref="AQ65:AZ69"/>
    <mergeCell ref="AQ60:AZ64"/>
    <mergeCell ref="N61:O61"/>
    <mergeCell ref="Z61:AA61"/>
    <mergeCell ref="AD60:AF60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V184"/>
  <sheetViews>
    <sheetView topLeftCell="A6" zoomScale="90" zoomScaleNormal="90" workbookViewId="0">
      <selection activeCell="E61" sqref="E61"/>
    </sheetView>
  </sheetViews>
  <sheetFormatPr defaultRowHeight="11.25"/>
  <cols>
    <col min="6" max="6" width="10.1640625" bestFit="1" customWidth="1"/>
    <col min="7" max="7" width="13.33203125" bestFit="1" customWidth="1"/>
    <col min="8" max="8" width="12.5" bestFit="1" customWidth="1"/>
    <col min="9" max="11" width="16.1640625" customWidth="1"/>
    <col min="12" max="14" width="13.1640625" bestFit="1" customWidth="1"/>
  </cols>
  <sheetData>
    <row r="4" spans="2:22">
      <c r="B4" s="78" t="s">
        <v>63</v>
      </c>
      <c r="C4" s="78"/>
      <c r="D4" s="78"/>
      <c r="E4" s="78"/>
      <c r="F4" s="78"/>
      <c r="G4" s="78"/>
      <c r="H4" s="78"/>
    </row>
    <row r="5" spans="2:22">
      <c r="B5" s="78"/>
      <c r="C5" s="78"/>
      <c r="D5" s="78"/>
      <c r="E5" s="78"/>
      <c r="F5" s="78"/>
      <c r="G5" s="78"/>
      <c r="H5" s="78"/>
    </row>
    <row r="6" spans="2:22">
      <c r="B6" s="78"/>
      <c r="C6" s="78"/>
      <c r="D6" s="78"/>
      <c r="E6" s="78"/>
      <c r="F6" s="78"/>
      <c r="G6" s="78"/>
      <c r="H6" s="78"/>
    </row>
    <row r="12" spans="2:22">
      <c r="F12" s="26">
        <f>HARF!DS36</f>
        <v>1</v>
      </c>
      <c r="G12" s="26">
        <f>HARF!DT36</f>
        <v>2</v>
      </c>
      <c r="H12" s="26">
        <f>HARF!DU36</f>
        <v>3</v>
      </c>
      <c r="I12" s="26">
        <f>HARF!DV36</f>
        <v>4</v>
      </c>
      <c r="J12" s="26">
        <f>HARF!DW36</f>
        <v>5</v>
      </c>
      <c r="K12" s="26">
        <f>HARF!DX36</f>
        <v>6</v>
      </c>
      <c r="L12" s="26">
        <f>HARF!DY36</f>
        <v>7</v>
      </c>
      <c r="M12" s="26">
        <f>HARF!DZ36</f>
        <v>8</v>
      </c>
      <c r="N12" s="26">
        <f>HARF!EA36</f>
        <v>9</v>
      </c>
      <c r="O12" s="26">
        <f>HARF!EB36</f>
        <v>10</v>
      </c>
      <c r="P12" s="26">
        <f>HARF!EC36</f>
        <v>11</v>
      </c>
      <c r="Q12" s="26">
        <f>HARF!ED36</f>
        <v>12</v>
      </c>
      <c r="R12" s="26">
        <f>HARF!EE36</f>
        <v>13</v>
      </c>
      <c r="S12" s="26">
        <f>HARF!EF36</f>
        <v>14</v>
      </c>
      <c r="T12" s="26">
        <f>HARF!EG36</f>
        <v>15</v>
      </c>
    </row>
    <row r="13" spans="2:22">
      <c r="C13" s="26">
        <v>1</v>
      </c>
      <c r="D13">
        <f>HARF!BJ23</f>
        <v>2.5</v>
      </c>
      <c r="F13" s="32">
        <f>HARF!DS37</f>
        <v>81221.933024800033</v>
      </c>
      <c r="G13" s="32">
        <f>HARF!DT37</f>
        <v>26982.175244996273</v>
      </c>
      <c r="H13" s="32">
        <f>HARF!DU37</f>
        <v>179.98333518878522</v>
      </c>
      <c r="I13" s="32">
        <f>HARF!DV37</f>
        <v>-81130.854899800033</v>
      </c>
      <c r="J13" s="32">
        <f>HARF!DW37</f>
        <v>-26982.175244996273</v>
      </c>
      <c r="K13" s="32">
        <f>HARF!DX37</f>
        <v>-184.32916481121478</v>
      </c>
      <c r="L13" s="32">
        <f>HARF!DY37</f>
        <v>0</v>
      </c>
      <c r="M13" s="32">
        <f>HARF!DZ37</f>
        <v>0</v>
      </c>
      <c r="N13" s="35">
        <f>HARF!EA37</f>
        <v>0</v>
      </c>
      <c r="O13" s="32">
        <f>HARF!EB37</f>
        <v>-91.078125</v>
      </c>
      <c r="P13" s="32">
        <f>HARF!EC37</f>
        <v>0</v>
      </c>
      <c r="Q13" s="32">
        <f>HARF!ED37</f>
        <v>364.3125</v>
      </c>
      <c r="R13" s="32">
        <f>HARF!EE37</f>
        <v>0</v>
      </c>
      <c r="S13" s="32">
        <f>HARF!EF37</f>
        <v>0</v>
      </c>
      <c r="T13" s="32">
        <f>HARF!EG37</f>
        <v>0</v>
      </c>
      <c r="U13" s="26">
        <f>HARF!EH37</f>
        <v>1</v>
      </c>
      <c r="V13" s="27" t="s">
        <v>70</v>
      </c>
    </row>
    <row r="14" spans="2:22">
      <c r="C14" s="26">
        <v>2</v>
      </c>
      <c r="D14">
        <v>0</v>
      </c>
      <c r="F14" s="32">
        <f>HARF!DS38</f>
        <v>26982.175244996273</v>
      </c>
      <c r="G14" s="32">
        <f>HARF!DT38</f>
        <v>80428.387579809976</v>
      </c>
      <c r="H14" s="32">
        <f>HARF!DU38</f>
        <v>552.98749443364431</v>
      </c>
      <c r="I14" s="32">
        <f>HARF!DV38</f>
        <v>-26982.175244996277</v>
      </c>
      <c r="J14" s="32">
        <f>HARF!DW38</f>
        <v>-9178.3875798099743</v>
      </c>
      <c r="K14" s="32">
        <f>HARF!DX38</f>
        <v>552.98749443364431</v>
      </c>
      <c r="L14" s="32">
        <f>HARF!DY38</f>
        <v>0</v>
      </c>
      <c r="M14" s="32">
        <f>HARF!DZ38</f>
        <v>0</v>
      </c>
      <c r="N14" s="35">
        <f>HARF!EA38</f>
        <v>0</v>
      </c>
      <c r="O14" s="32">
        <f>HARF!EB38</f>
        <v>0</v>
      </c>
      <c r="P14" s="32">
        <f>HARF!EC38</f>
        <v>-71250</v>
      </c>
      <c r="Q14" s="32">
        <f>HARF!ED38</f>
        <v>0</v>
      </c>
      <c r="R14" s="32">
        <f>HARF!EE38</f>
        <v>0</v>
      </c>
      <c r="S14" s="32">
        <f>HARF!EF38</f>
        <v>0</v>
      </c>
      <c r="T14" s="32">
        <f>HARF!EG38</f>
        <v>0</v>
      </c>
      <c r="U14" s="26">
        <f>HARF!EH38</f>
        <v>2</v>
      </c>
      <c r="V14" s="27" t="s">
        <v>71</v>
      </c>
    </row>
    <row r="15" spans="2:22">
      <c r="C15" s="26">
        <v>3</v>
      </c>
      <c r="D15">
        <v>0</v>
      </c>
      <c r="F15" s="32">
        <f>HARF!DS39</f>
        <v>179.98333518878522</v>
      </c>
      <c r="G15" s="32">
        <f>HARF!DT39</f>
        <v>552.98749443364431</v>
      </c>
      <c r="H15" s="32">
        <f>HARF!DU39</f>
        <v>4400.7221974828635</v>
      </c>
      <c r="I15" s="32">
        <f>HARF!DV39</f>
        <v>184.32916481121478</v>
      </c>
      <c r="J15" s="32">
        <f>HARF!DW39</f>
        <v>-552.98749443364431</v>
      </c>
      <c r="K15" s="32">
        <f>HARF!DX39</f>
        <v>1228.861098741432</v>
      </c>
      <c r="L15" s="32">
        <f>HARF!DY39</f>
        <v>0</v>
      </c>
      <c r="M15" s="32">
        <f>HARF!DZ39</f>
        <v>0</v>
      </c>
      <c r="N15" s="35">
        <f>HARF!EA39</f>
        <v>0</v>
      </c>
      <c r="O15" s="32">
        <f>HARF!EB39</f>
        <v>-364.3125</v>
      </c>
      <c r="P15" s="32">
        <f>HARF!EC39</f>
        <v>0</v>
      </c>
      <c r="Q15" s="32">
        <f>HARF!ED39</f>
        <v>971.49999999999989</v>
      </c>
      <c r="R15" s="32">
        <f>HARF!EE39</f>
        <v>0</v>
      </c>
      <c r="S15" s="32">
        <f>HARF!EF39</f>
        <v>0</v>
      </c>
      <c r="T15" s="32">
        <f>HARF!EG39</f>
        <v>0</v>
      </c>
      <c r="U15" s="26">
        <f>HARF!EH39</f>
        <v>3</v>
      </c>
      <c r="V15" s="27" t="s">
        <v>72</v>
      </c>
    </row>
    <row r="16" spans="2:22">
      <c r="C16" s="26">
        <v>4</v>
      </c>
      <c r="D16">
        <f>HARF!BJ24</f>
        <v>4.5</v>
      </c>
      <c r="F16" s="32">
        <f>HARF!DS40</f>
        <v>-81130.854899800033</v>
      </c>
      <c r="G16" s="32">
        <f>HARF!DT40</f>
        <v>-26982.175244996277</v>
      </c>
      <c r="H16" s="32">
        <f>HARF!DU40</f>
        <v>184.32916481121478</v>
      </c>
      <c r="I16" s="32">
        <f>HARF!DV40</f>
        <v>162261.70979960007</v>
      </c>
      <c r="J16" s="32">
        <f>HARF!DW40</f>
        <v>0</v>
      </c>
      <c r="K16" s="32">
        <f>HARF!DX40</f>
        <v>368.65832962242956</v>
      </c>
      <c r="L16" s="32">
        <f>HARF!DY40</f>
        <v>-81130.854899800033</v>
      </c>
      <c r="M16" s="32">
        <f>HARF!DZ40</f>
        <v>26982.175244996273</v>
      </c>
      <c r="N16" s="35">
        <f>HARF!EA40</f>
        <v>184.32916481121478</v>
      </c>
      <c r="O16" s="32">
        <f>HARF!EB40</f>
        <v>0</v>
      </c>
      <c r="P16" s="32">
        <f>HARF!EC40</f>
        <v>0</v>
      </c>
      <c r="Q16" s="32">
        <f>HARF!ED40</f>
        <v>0</v>
      </c>
      <c r="R16" s="32">
        <f>HARF!EE40</f>
        <v>0</v>
      </c>
      <c r="S16" s="32">
        <f>HARF!EF40</f>
        <v>0</v>
      </c>
      <c r="T16" s="32">
        <f>HARF!EG40</f>
        <v>0</v>
      </c>
      <c r="U16" s="26">
        <f>HARF!EH40</f>
        <v>4</v>
      </c>
      <c r="V16" s="27" t="s">
        <v>73</v>
      </c>
    </row>
    <row r="17" spans="3:22">
      <c r="C17" s="26">
        <v>5</v>
      </c>
      <c r="D17">
        <v>0</v>
      </c>
      <c r="F17" s="32">
        <f>HARF!DS41</f>
        <v>-26982.175244996273</v>
      </c>
      <c r="G17" s="32">
        <f>HARF!DT41</f>
        <v>-9178.3875798099743</v>
      </c>
      <c r="H17" s="32">
        <f>HARF!DU41</f>
        <v>-552.98749443364431</v>
      </c>
      <c r="I17" s="32">
        <f>HARF!DV41</f>
        <v>0</v>
      </c>
      <c r="J17" s="32">
        <f>HARF!DW41</f>
        <v>18356.775159619949</v>
      </c>
      <c r="K17" s="32">
        <f>HARF!DX41</f>
        <v>0</v>
      </c>
      <c r="L17" s="32">
        <f>HARF!DY41</f>
        <v>26982.175244996277</v>
      </c>
      <c r="M17" s="32">
        <f>HARF!DZ41</f>
        <v>-9178.3875798099743</v>
      </c>
      <c r="N17" s="35">
        <f>HARF!EA41</f>
        <v>552.98749443364431</v>
      </c>
      <c r="O17" s="32">
        <f>HARF!EB41</f>
        <v>0</v>
      </c>
      <c r="P17" s="32">
        <f>HARF!EC41</f>
        <v>0</v>
      </c>
      <c r="Q17" s="32">
        <f>HARF!ED41</f>
        <v>0</v>
      </c>
      <c r="R17" s="32">
        <f>HARF!EE41</f>
        <v>0</v>
      </c>
      <c r="S17" s="32">
        <f>HARF!EF41</f>
        <v>0</v>
      </c>
      <c r="T17" s="32">
        <f>HARF!EG41</f>
        <v>0</v>
      </c>
      <c r="U17" s="26">
        <f>HARF!EH41</f>
        <v>5</v>
      </c>
      <c r="V17" s="27" t="s">
        <v>74</v>
      </c>
    </row>
    <row r="18" spans="3:22">
      <c r="C18" s="26">
        <v>6</v>
      </c>
      <c r="D18">
        <v>0</v>
      </c>
      <c r="F18" s="32">
        <f>HARF!DS42</f>
        <v>-184.32916481121478</v>
      </c>
      <c r="G18" s="32">
        <f>HARF!DT42</f>
        <v>552.98749443364431</v>
      </c>
      <c r="H18" s="32">
        <f>HARF!DU42</f>
        <v>1228.861098741432</v>
      </c>
      <c r="I18" s="32">
        <f>HARF!DV42</f>
        <v>368.65832962242956</v>
      </c>
      <c r="J18" s="32">
        <f>HARF!DW42</f>
        <v>0</v>
      </c>
      <c r="K18" s="32">
        <f>HARF!DX42</f>
        <v>4915.444394965728</v>
      </c>
      <c r="L18" s="32">
        <f>HARF!DY42</f>
        <v>-184.32916481121478</v>
      </c>
      <c r="M18" s="32">
        <f>HARF!DZ42</f>
        <v>-552.98749443364431</v>
      </c>
      <c r="N18" s="35">
        <f>HARF!EA42</f>
        <v>1228.861098741432</v>
      </c>
      <c r="O18" s="32">
        <f>HARF!EB42</f>
        <v>0</v>
      </c>
      <c r="P18" s="32">
        <f>HARF!EC42</f>
        <v>0</v>
      </c>
      <c r="Q18" s="32">
        <f>HARF!ED42</f>
        <v>0</v>
      </c>
      <c r="R18" s="32">
        <f>HARF!EE42</f>
        <v>0</v>
      </c>
      <c r="S18" s="32">
        <f>HARF!EF42</f>
        <v>0</v>
      </c>
      <c r="T18" s="32">
        <f>HARF!EG42</f>
        <v>0</v>
      </c>
      <c r="U18" s="26">
        <f>HARF!EH42</f>
        <v>6</v>
      </c>
      <c r="V18" s="27" t="s">
        <v>75</v>
      </c>
    </row>
    <row r="19" spans="3:22">
      <c r="C19" s="26">
        <v>7</v>
      </c>
      <c r="D19">
        <f>HARF!BJ25</f>
        <v>2.5</v>
      </c>
      <c r="F19" s="32">
        <f>HARF!DS43</f>
        <v>0</v>
      </c>
      <c r="G19" s="32">
        <f>HARF!DT43</f>
        <v>0</v>
      </c>
      <c r="H19" s="32">
        <f>HARF!DU43</f>
        <v>0</v>
      </c>
      <c r="I19" s="32">
        <f>HARF!DV43</f>
        <v>-81130.854899800033</v>
      </c>
      <c r="J19" s="32">
        <f>HARF!DW43</f>
        <v>26982.175244996277</v>
      </c>
      <c r="K19" s="32">
        <f>HARF!DX43</f>
        <v>-184.32916481121478</v>
      </c>
      <c r="L19" s="32">
        <f>HARF!DY43</f>
        <v>81221.933024800033</v>
      </c>
      <c r="M19" s="32">
        <f>HARF!DZ43</f>
        <v>-26982.175244996273</v>
      </c>
      <c r="N19" s="35">
        <f>HARF!EA43</f>
        <v>179.98333518878522</v>
      </c>
      <c r="O19" s="32">
        <f>HARF!EB43</f>
        <v>0</v>
      </c>
      <c r="P19" s="32">
        <f>HARF!EC43</f>
        <v>0</v>
      </c>
      <c r="Q19" s="32">
        <f>HARF!ED43</f>
        <v>0</v>
      </c>
      <c r="R19" s="32">
        <f>HARF!EE43</f>
        <v>-91.078125</v>
      </c>
      <c r="S19" s="32">
        <f>HARF!EF43</f>
        <v>0</v>
      </c>
      <c r="T19" s="32">
        <f>HARF!EG43</f>
        <v>364.3125</v>
      </c>
      <c r="U19" s="26">
        <f>HARF!EH43</f>
        <v>7</v>
      </c>
      <c r="V19" s="27" t="s">
        <v>76</v>
      </c>
    </row>
    <row r="20" spans="3:22">
      <c r="C20" s="26">
        <v>8</v>
      </c>
      <c r="D20">
        <v>0</v>
      </c>
      <c r="E20" s="25" t="s">
        <v>56</v>
      </c>
      <c r="F20" s="32">
        <f>HARF!DS44</f>
        <v>0</v>
      </c>
      <c r="G20" s="32">
        <f>HARF!DT44</f>
        <v>0</v>
      </c>
      <c r="H20" s="32">
        <f>HARF!DU44</f>
        <v>0</v>
      </c>
      <c r="I20" s="32">
        <f>HARF!DV44</f>
        <v>26982.175244996273</v>
      </c>
      <c r="J20" s="32">
        <f>HARF!DW44</f>
        <v>-9178.3875798099743</v>
      </c>
      <c r="K20" s="32">
        <f>HARF!DX44</f>
        <v>-552.98749443364431</v>
      </c>
      <c r="L20" s="32">
        <f>HARF!DY44</f>
        <v>-26982.175244996273</v>
      </c>
      <c r="M20" s="32">
        <f>HARF!DZ44</f>
        <v>80428.387579809976</v>
      </c>
      <c r="N20" s="35">
        <f>HARF!EA44</f>
        <v>-552.98749443364431</v>
      </c>
      <c r="O20" s="32">
        <f>HARF!EB44</f>
        <v>0</v>
      </c>
      <c r="P20" s="32">
        <f>HARF!EC44</f>
        <v>0</v>
      </c>
      <c r="Q20" s="32">
        <f>HARF!ED44</f>
        <v>0</v>
      </c>
      <c r="R20" s="32">
        <f>HARF!EE44</f>
        <v>0</v>
      </c>
      <c r="S20" s="32">
        <f>HARF!EF44</f>
        <v>-71250</v>
      </c>
      <c r="T20" s="32">
        <f>HARF!EG44</f>
        <v>0</v>
      </c>
      <c r="U20" s="26">
        <f>HARF!EH44</f>
        <v>8</v>
      </c>
      <c r="V20" s="27" t="s">
        <v>77</v>
      </c>
    </row>
    <row r="21" spans="3:22" ht="12" thickBot="1">
      <c r="C21" s="26">
        <v>9</v>
      </c>
      <c r="D21" s="29">
        <v>0</v>
      </c>
      <c r="F21" s="36">
        <f>HARF!DS45</f>
        <v>0</v>
      </c>
      <c r="G21" s="36">
        <f>HARF!DT45</f>
        <v>0</v>
      </c>
      <c r="H21" s="36">
        <f>HARF!DU45</f>
        <v>0</v>
      </c>
      <c r="I21" s="36">
        <f>HARF!DV45</f>
        <v>184.32916481121478</v>
      </c>
      <c r="J21" s="36">
        <f>HARF!DW45</f>
        <v>552.98749443364431</v>
      </c>
      <c r="K21" s="36">
        <f>HARF!DX45</f>
        <v>1228.861098741432</v>
      </c>
      <c r="L21" s="36">
        <f>HARF!DY45</f>
        <v>179.98333518878522</v>
      </c>
      <c r="M21" s="36">
        <f>HARF!DZ45</f>
        <v>-552.98749443364431</v>
      </c>
      <c r="N21" s="37">
        <f>HARF!EA45</f>
        <v>4400.7221974828635</v>
      </c>
      <c r="O21" s="36">
        <f>HARF!EB45</f>
        <v>0</v>
      </c>
      <c r="P21" s="36">
        <f>HARF!EC45</f>
        <v>0</v>
      </c>
      <c r="Q21" s="36">
        <f>HARF!ED45</f>
        <v>0</v>
      </c>
      <c r="R21" s="36">
        <f>HARF!EE45</f>
        <v>-364.3125</v>
      </c>
      <c r="S21" s="36">
        <f>HARF!EF45</f>
        <v>0</v>
      </c>
      <c r="T21" s="36">
        <f>HARF!EG45</f>
        <v>971.49999999999989</v>
      </c>
      <c r="U21" s="26">
        <f>HARF!EH45</f>
        <v>9</v>
      </c>
      <c r="V21" s="30" t="s">
        <v>78</v>
      </c>
    </row>
    <row r="22" spans="3:22">
      <c r="C22" s="26">
        <v>10</v>
      </c>
      <c r="D22" s="27" t="s">
        <v>64</v>
      </c>
      <c r="F22" s="32">
        <f>HARF!DS46</f>
        <v>-91.078125</v>
      </c>
      <c r="G22" s="32">
        <f>HARF!DT46</f>
        <v>0</v>
      </c>
      <c r="H22" s="32">
        <f>HARF!DU46</f>
        <v>-364.3125</v>
      </c>
      <c r="I22" s="32">
        <f>HARF!DV46</f>
        <v>0</v>
      </c>
      <c r="J22" s="32">
        <f>HARF!DW46</f>
        <v>0</v>
      </c>
      <c r="K22" s="32">
        <f>HARF!DX46</f>
        <v>0</v>
      </c>
      <c r="L22" s="32">
        <f>HARF!DY46</f>
        <v>0</v>
      </c>
      <c r="M22" s="32">
        <f>HARF!DZ46</f>
        <v>0</v>
      </c>
      <c r="N22" s="35">
        <f>HARF!EA46</f>
        <v>0</v>
      </c>
      <c r="O22" s="32">
        <f>HARF!EB46</f>
        <v>91.078125</v>
      </c>
      <c r="P22" s="32">
        <f>HARF!EC46</f>
        <v>0</v>
      </c>
      <c r="Q22" s="32">
        <f>HARF!ED46</f>
        <v>-364.3125</v>
      </c>
      <c r="R22" s="32">
        <f>HARF!EE46</f>
        <v>0</v>
      </c>
      <c r="S22" s="32">
        <f>HARF!EF46</f>
        <v>0</v>
      </c>
      <c r="T22" s="32">
        <f>HARF!EG46</f>
        <v>0</v>
      </c>
      <c r="U22" s="26">
        <f>HARF!EH46</f>
        <v>10</v>
      </c>
      <c r="V22" s="27">
        <v>0</v>
      </c>
    </row>
    <row r="23" spans="3:22">
      <c r="C23" s="26">
        <v>11</v>
      </c>
      <c r="D23" s="27" t="s">
        <v>65</v>
      </c>
      <c r="F23" s="32">
        <f>HARF!DS47</f>
        <v>0</v>
      </c>
      <c r="G23" s="32">
        <f>HARF!DT47</f>
        <v>-71250</v>
      </c>
      <c r="H23" s="32">
        <f>HARF!DU47</f>
        <v>0</v>
      </c>
      <c r="I23" s="32">
        <f>HARF!DV47</f>
        <v>0</v>
      </c>
      <c r="J23" s="32">
        <f>HARF!DW47</f>
        <v>0</v>
      </c>
      <c r="K23" s="32">
        <f>HARF!DX47</f>
        <v>0</v>
      </c>
      <c r="L23" s="32">
        <f>HARF!DY47</f>
        <v>0</v>
      </c>
      <c r="M23" s="32">
        <f>HARF!DZ47</f>
        <v>0</v>
      </c>
      <c r="N23" s="35">
        <f>HARF!EA47</f>
        <v>0</v>
      </c>
      <c r="O23" s="32">
        <f>HARF!EB47</f>
        <v>0</v>
      </c>
      <c r="P23" s="32">
        <f>HARF!EC47</f>
        <v>71250</v>
      </c>
      <c r="Q23" s="32">
        <f>HARF!ED47</f>
        <v>0</v>
      </c>
      <c r="R23" s="32">
        <f>HARF!EE47</f>
        <v>0</v>
      </c>
      <c r="S23" s="32">
        <f>HARF!EF47</f>
        <v>0</v>
      </c>
      <c r="T23" s="32">
        <f>HARF!EG47</f>
        <v>0</v>
      </c>
      <c r="U23" s="26">
        <f>HARF!EH47</f>
        <v>11</v>
      </c>
      <c r="V23" s="27">
        <v>0</v>
      </c>
    </row>
    <row r="24" spans="3:22">
      <c r="C24" s="26">
        <v>12</v>
      </c>
      <c r="D24" s="27" t="s">
        <v>66</v>
      </c>
      <c r="F24" s="32">
        <f>HARF!DS48</f>
        <v>364.3125</v>
      </c>
      <c r="G24" s="32">
        <f>HARF!DT48</f>
        <v>0</v>
      </c>
      <c r="H24" s="32">
        <f>HARF!DU48</f>
        <v>971.49999999999989</v>
      </c>
      <c r="I24" s="32">
        <f>HARF!DV48</f>
        <v>0</v>
      </c>
      <c r="J24" s="32">
        <f>HARF!DW48</f>
        <v>0</v>
      </c>
      <c r="K24" s="32">
        <f>HARF!DX48</f>
        <v>0</v>
      </c>
      <c r="L24" s="32">
        <f>HARF!DY48</f>
        <v>0</v>
      </c>
      <c r="M24" s="32">
        <f>HARF!DZ48</f>
        <v>0</v>
      </c>
      <c r="N24" s="35">
        <f>HARF!EA48</f>
        <v>0</v>
      </c>
      <c r="O24" s="32">
        <f>HARF!EB48</f>
        <v>-364.3125</v>
      </c>
      <c r="P24" s="32">
        <f>HARF!EC48</f>
        <v>0</v>
      </c>
      <c r="Q24" s="32">
        <f>HARF!ED48</f>
        <v>1942.9999999999998</v>
      </c>
      <c r="R24" s="32">
        <f>HARF!EE48</f>
        <v>0</v>
      </c>
      <c r="S24" s="32">
        <f>HARF!EF48</f>
        <v>0</v>
      </c>
      <c r="T24" s="32">
        <f>HARF!EG48</f>
        <v>0</v>
      </c>
      <c r="U24" s="26">
        <f>HARF!EH48</f>
        <v>12</v>
      </c>
      <c r="V24" s="27">
        <v>0</v>
      </c>
    </row>
    <row r="25" spans="3:22">
      <c r="C25" s="26">
        <v>13</v>
      </c>
      <c r="D25" s="27" t="s">
        <v>67</v>
      </c>
      <c r="F25" s="32">
        <f>HARF!DS49</f>
        <v>0</v>
      </c>
      <c r="G25" s="32">
        <f>HARF!DT49</f>
        <v>0</v>
      </c>
      <c r="H25" s="32">
        <f>HARF!DU49</f>
        <v>0</v>
      </c>
      <c r="I25" s="32">
        <f>HARF!DV49</f>
        <v>0</v>
      </c>
      <c r="J25" s="32">
        <f>HARF!DW49</f>
        <v>0</v>
      </c>
      <c r="K25" s="32">
        <f>HARF!DX49</f>
        <v>0</v>
      </c>
      <c r="L25" s="32">
        <f>HARF!DY49</f>
        <v>-91.078125</v>
      </c>
      <c r="M25" s="32">
        <f>HARF!DZ49</f>
        <v>0</v>
      </c>
      <c r="N25" s="35">
        <f>HARF!EA49</f>
        <v>-364.3125</v>
      </c>
      <c r="O25" s="32">
        <f>HARF!EB49</f>
        <v>0</v>
      </c>
      <c r="P25" s="32">
        <f>HARF!EC49</f>
        <v>0</v>
      </c>
      <c r="Q25" s="32">
        <f>HARF!ED49</f>
        <v>0</v>
      </c>
      <c r="R25" s="32">
        <f>HARF!EE49</f>
        <v>91.078125</v>
      </c>
      <c r="S25" s="32">
        <f>HARF!EF49</f>
        <v>0</v>
      </c>
      <c r="T25" s="32">
        <f>HARF!EG49</f>
        <v>-364.3125</v>
      </c>
      <c r="U25" s="26">
        <f>HARF!EH49</f>
        <v>13</v>
      </c>
      <c r="V25" s="27">
        <v>0</v>
      </c>
    </row>
    <row r="26" spans="3:22">
      <c r="C26" s="26">
        <v>14</v>
      </c>
      <c r="D26" s="27" t="s">
        <v>68</v>
      </c>
      <c r="F26" s="32">
        <f>HARF!DS50</f>
        <v>0</v>
      </c>
      <c r="G26" s="32">
        <f>HARF!DT50</f>
        <v>0</v>
      </c>
      <c r="H26" s="32">
        <f>HARF!DU50</f>
        <v>0</v>
      </c>
      <c r="I26" s="32">
        <f>HARF!DV50</f>
        <v>0</v>
      </c>
      <c r="J26" s="32">
        <f>HARF!DW50</f>
        <v>0</v>
      </c>
      <c r="K26" s="32">
        <f>HARF!DX50</f>
        <v>0</v>
      </c>
      <c r="L26" s="32">
        <f>HARF!DY50</f>
        <v>0</v>
      </c>
      <c r="M26" s="32">
        <f>HARF!DZ50</f>
        <v>-71250</v>
      </c>
      <c r="N26" s="35">
        <f>HARF!EA50</f>
        <v>0</v>
      </c>
      <c r="O26" s="32">
        <f>HARF!EB50</f>
        <v>0</v>
      </c>
      <c r="P26" s="32">
        <f>HARF!EC50</f>
        <v>0</v>
      </c>
      <c r="Q26" s="32">
        <f>HARF!ED50</f>
        <v>0</v>
      </c>
      <c r="R26" s="32">
        <f>HARF!EE50</f>
        <v>0</v>
      </c>
      <c r="S26" s="32">
        <f>HARF!EF50</f>
        <v>71250</v>
      </c>
      <c r="T26" s="32">
        <f>HARF!EG50</f>
        <v>0</v>
      </c>
      <c r="U26" s="26">
        <f>HARF!EH50</f>
        <v>14</v>
      </c>
      <c r="V26" s="27">
        <v>0</v>
      </c>
    </row>
    <row r="27" spans="3:22">
      <c r="C27" s="26">
        <v>15</v>
      </c>
      <c r="D27" s="27" t="s">
        <v>69</v>
      </c>
      <c r="F27" s="32">
        <f>HARF!DS51</f>
        <v>0</v>
      </c>
      <c r="G27" s="32">
        <f>HARF!DT51</f>
        <v>0</v>
      </c>
      <c r="H27" s="32">
        <f>HARF!DU51</f>
        <v>0</v>
      </c>
      <c r="I27" s="32">
        <f>HARF!DV51</f>
        <v>0</v>
      </c>
      <c r="J27" s="32">
        <f>HARF!DW51</f>
        <v>0</v>
      </c>
      <c r="K27" s="32">
        <f>HARF!DX51</f>
        <v>0</v>
      </c>
      <c r="L27" s="32">
        <f>HARF!DY51</f>
        <v>364.3125</v>
      </c>
      <c r="M27" s="32">
        <f>HARF!DZ51</f>
        <v>0</v>
      </c>
      <c r="N27" s="35">
        <f>HARF!EA51</f>
        <v>971.49999999999989</v>
      </c>
      <c r="O27" s="32">
        <f>HARF!EB51</f>
        <v>0</v>
      </c>
      <c r="P27" s="32">
        <f>HARF!EC51</f>
        <v>0</v>
      </c>
      <c r="Q27" s="32">
        <f>HARF!ED51</f>
        <v>0</v>
      </c>
      <c r="R27" s="32">
        <f>HARF!EE51</f>
        <v>-364.3125</v>
      </c>
      <c r="S27" s="32">
        <f>HARF!EF51</f>
        <v>0</v>
      </c>
      <c r="T27" s="32">
        <f>HARF!EG51</f>
        <v>1942.9999999999998</v>
      </c>
      <c r="U27" s="26">
        <f>HARF!EH51</f>
        <v>15</v>
      </c>
      <c r="V27" s="27">
        <v>0</v>
      </c>
    </row>
    <row r="33" spans="3:16">
      <c r="F33" s="26">
        <v>1</v>
      </c>
      <c r="G33" s="26">
        <v>2</v>
      </c>
      <c r="H33" s="26">
        <v>3</v>
      </c>
      <c r="I33" s="26">
        <v>4</v>
      </c>
      <c r="J33" s="26">
        <v>5</v>
      </c>
      <c r="K33" s="26">
        <v>6</v>
      </c>
      <c r="L33" s="26">
        <v>7</v>
      </c>
      <c r="M33" s="26">
        <v>8</v>
      </c>
      <c r="N33" s="26">
        <v>9</v>
      </c>
    </row>
    <row r="34" spans="3:16">
      <c r="C34" s="26">
        <v>1</v>
      </c>
      <c r="D34">
        <f t="shared" ref="D34:D42" si="0">D13</f>
        <v>2.5</v>
      </c>
      <c r="F34">
        <f t="shared" ref="F34:N34" si="1">F13</f>
        <v>81221.933024800033</v>
      </c>
      <c r="G34">
        <f t="shared" si="1"/>
        <v>26982.175244996273</v>
      </c>
      <c r="H34">
        <f t="shared" si="1"/>
        <v>179.98333518878522</v>
      </c>
      <c r="I34">
        <f t="shared" si="1"/>
        <v>-81130.854899800033</v>
      </c>
      <c r="J34">
        <f t="shared" si="1"/>
        <v>-26982.175244996273</v>
      </c>
      <c r="K34">
        <f t="shared" si="1"/>
        <v>-184.32916481121478</v>
      </c>
      <c r="L34">
        <f t="shared" si="1"/>
        <v>0</v>
      </c>
      <c r="M34">
        <f t="shared" si="1"/>
        <v>0</v>
      </c>
      <c r="N34">
        <f t="shared" si="1"/>
        <v>0</v>
      </c>
      <c r="O34" s="26">
        <v>1</v>
      </c>
      <c r="P34" s="27" t="str">
        <f t="shared" ref="P34:P42" si="2">V13</f>
        <v>D1</v>
      </c>
    </row>
    <row r="35" spans="3:16">
      <c r="C35" s="26">
        <v>2</v>
      </c>
      <c r="D35">
        <f t="shared" si="0"/>
        <v>0</v>
      </c>
      <c r="F35">
        <f t="shared" ref="F35:N35" si="3">F14</f>
        <v>26982.175244996273</v>
      </c>
      <c r="G35">
        <f t="shared" si="3"/>
        <v>80428.387579809976</v>
      </c>
      <c r="H35">
        <f t="shared" si="3"/>
        <v>552.98749443364431</v>
      </c>
      <c r="I35">
        <f t="shared" si="3"/>
        <v>-26982.175244996277</v>
      </c>
      <c r="J35">
        <f t="shared" si="3"/>
        <v>-9178.3875798099743</v>
      </c>
      <c r="K35">
        <f t="shared" si="3"/>
        <v>552.98749443364431</v>
      </c>
      <c r="L35">
        <f t="shared" si="3"/>
        <v>0</v>
      </c>
      <c r="M35">
        <f t="shared" si="3"/>
        <v>0</v>
      </c>
      <c r="N35">
        <f t="shared" si="3"/>
        <v>0</v>
      </c>
      <c r="O35" s="26">
        <v>2</v>
      </c>
      <c r="P35" s="27" t="str">
        <f t="shared" si="2"/>
        <v>D2</v>
      </c>
    </row>
    <row r="36" spans="3:16">
      <c r="C36" s="26">
        <v>3</v>
      </c>
      <c r="D36">
        <f t="shared" si="0"/>
        <v>0</v>
      </c>
      <c r="F36">
        <f t="shared" ref="F36:N36" si="4">F15</f>
        <v>179.98333518878522</v>
      </c>
      <c r="G36">
        <f t="shared" si="4"/>
        <v>552.98749443364431</v>
      </c>
      <c r="H36">
        <f t="shared" si="4"/>
        <v>4400.7221974828635</v>
      </c>
      <c r="I36">
        <f t="shared" si="4"/>
        <v>184.32916481121478</v>
      </c>
      <c r="J36">
        <f t="shared" si="4"/>
        <v>-552.98749443364431</v>
      </c>
      <c r="K36">
        <f t="shared" si="4"/>
        <v>1228.861098741432</v>
      </c>
      <c r="L36">
        <f t="shared" si="4"/>
        <v>0</v>
      </c>
      <c r="M36">
        <f t="shared" si="4"/>
        <v>0</v>
      </c>
      <c r="N36">
        <f t="shared" si="4"/>
        <v>0</v>
      </c>
      <c r="O36" s="26">
        <v>3</v>
      </c>
      <c r="P36" s="27" t="str">
        <f t="shared" si="2"/>
        <v>D3</v>
      </c>
    </row>
    <row r="37" spans="3:16">
      <c r="C37" s="26">
        <v>4</v>
      </c>
      <c r="D37">
        <f t="shared" si="0"/>
        <v>4.5</v>
      </c>
      <c r="E37" s="25" t="s">
        <v>56</v>
      </c>
      <c r="F37">
        <f t="shared" ref="F37:N37" si="5">F16</f>
        <v>-81130.854899800033</v>
      </c>
      <c r="G37">
        <f t="shared" si="5"/>
        <v>-26982.175244996277</v>
      </c>
      <c r="H37">
        <f t="shared" si="5"/>
        <v>184.32916481121478</v>
      </c>
      <c r="I37">
        <f t="shared" si="5"/>
        <v>162261.70979960007</v>
      </c>
      <c r="J37">
        <f t="shared" si="5"/>
        <v>0</v>
      </c>
      <c r="K37">
        <f t="shared" si="5"/>
        <v>368.65832962242956</v>
      </c>
      <c r="L37">
        <f t="shared" si="5"/>
        <v>-81130.854899800033</v>
      </c>
      <c r="M37">
        <f t="shared" si="5"/>
        <v>26982.175244996273</v>
      </c>
      <c r="N37">
        <f t="shared" si="5"/>
        <v>184.32916481121478</v>
      </c>
      <c r="O37" s="26">
        <v>4</v>
      </c>
      <c r="P37" s="27" t="str">
        <f t="shared" si="2"/>
        <v>D4</v>
      </c>
    </row>
    <row r="38" spans="3:16">
      <c r="C38" s="26">
        <v>5</v>
      </c>
      <c r="D38">
        <f t="shared" si="0"/>
        <v>0</v>
      </c>
      <c r="F38">
        <f t="shared" ref="F38:N38" si="6">F17</f>
        <v>-26982.175244996273</v>
      </c>
      <c r="G38">
        <f t="shared" si="6"/>
        <v>-9178.3875798099743</v>
      </c>
      <c r="H38">
        <f t="shared" si="6"/>
        <v>-552.98749443364431</v>
      </c>
      <c r="I38">
        <f t="shared" si="6"/>
        <v>0</v>
      </c>
      <c r="J38">
        <f t="shared" si="6"/>
        <v>18356.775159619949</v>
      </c>
      <c r="K38">
        <f t="shared" si="6"/>
        <v>0</v>
      </c>
      <c r="L38">
        <f t="shared" si="6"/>
        <v>26982.175244996277</v>
      </c>
      <c r="M38">
        <f t="shared" si="6"/>
        <v>-9178.3875798099743</v>
      </c>
      <c r="N38">
        <f t="shared" si="6"/>
        <v>552.98749443364431</v>
      </c>
      <c r="O38" s="26">
        <v>5</v>
      </c>
      <c r="P38" s="27" t="str">
        <f t="shared" si="2"/>
        <v>D5</v>
      </c>
    </row>
    <row r="39" spans="3:16">
      <c r="C39" s="26">
        <v>6</v>
      </c>
      <c r="D39">
        <f t="shared" si="0"/>
        <v>0</v>
      </c>
      <c r="F39">
        <f t="shared" ref="F39:N39" si="7">F18</f>
        <v>-184.32916481121478</v>
      </c>
      <c r="G39">
        <f t="shared" si="7"/>
        <v>552.98749443364431</v>
      </c>
      <c r="H39">
        <f t="shared" si="7"/>
        <v>1228.861098741432</v>
      </c>
      <c r="I39">
        <f t="shared" si="7"/>
        <v>368.65832962242956</v>
      </c>
      <c r="J39">
        <f t="shared" si="7"/>
        <v>0</v>
      </c>
      <c r="K39">
        <f t="shared" si="7"/>
        <v>4915.444394965728</v>
      </c>
      <c r="L39">
        <f t="shared" si="7"/>
        <v>-184.32916481121478</v>
      </c>
      <c r="M39">
        <f t="shared" si="7"/>
        <v>-552.98749443364431</v>
      </c>
      <c r="N39">
        <f t="shared" si="7"/>
        <v>1228.861098741432</v>
      </c>
      <c r="O39" s="26">
        <v>6</v>
      </c>
      <c r="P39" s="27" t="str">
        <f t="shared" si="2"/>
        <v>D6</v>
      </c>
    </row>
    <row r="40" spans="3:16">
      <c r="C40" s="26">
        <v>7</v>
      </c>
      <c r="D40">
        <f t="shared" si="0"/>
        <v>2.5</v>
      </c>
      <c r="F40">
        <f t="shared" ref="F40:N40" si="8">F19</f>
        <v>0</v>
      </c>
      <c r="G40">
        <f t="shared" si="8"/>
        <v>0</v>
      </c>
      <c r="H40">
        <f t="shared" si="8"/>
        <v>0</v>
      </c>
      <c r="I40">
        <f t="shared" si="8"/>
        <v>-81130.854899800033</v>
      </c>
      <c r="J40">
        <f t="shared" si="8"/>
        <v>26982.175244996277</v>
      </c>
      <c r="K40">
        <f t="shared" si="8"/>
        <v>-184.32916481121478</v>
      </c>
      <c r="L40">
        <f t="shared" si="8"/>
        <v>81221.933024800033</v>
      </c>
      <c r="M40">
        <f t="shared" si="8"/>
        <v>-26982.175244996273</v>
      </c>
      <c r="N40">
        <f t="shared" si="8"/>
        <v>179.98333518878522</v>
      </c>
      <c r="O40" s="26">
        <v>7</v>
      </c>
      <c r="P40" s="27" t="str">
        <f t="shared" si="2"/>
        <v>D7</v>
      </c>
    </row>
    <row r="41" spans="3:16">
      <c r="C41" s="26">
        <v>8</v>
      </c>
      <c r="D41">
        <f t="shared" si="0"/>
        <v>0</v>
      </c>
      <c r="F41">
        <f t="shared" ref="F41:N41" si="9">F20</f>
        <v>0</v>
      </c>
      <c r="G41">
        <f t="shared" si="9"/>
        <v>0</v>
      </c>
      <c r="H41">
        <f t="shared" si="9"/>
        <v>0</v>
      </c>
      <c r="I41">
        <f t="shared" si="9"/>
        <v>26982.175244996273</v>
      </c>
      <c r="J41">
        <f t="shared" si="9"/>
        <v>-9178.3875798099743</v>
      </c>
      <c r="K41">
        <f t="shared" si="9"/>
        <v>-552.98749443364431</v>
      </c>
      <c r="L41">
        <f t="shared" si="9"/>
        <v>-26982.175244996273</v>
      </c>
      <c r="M41">
        <f t="shared" si="9"/>
        <v>80428.387579809976</v>
      </c>
      <c r="N41">
        <f t="shared" si="9"/>
        <v>-552.98749443364431</v>
      </c>
      <c r="O41" s="26">
        <v>8</v>
      </c>
      <c r="P41" s="27" t="str">
        <f t="shared" si="2"/>
        <v>D8</v>
      </c>
    </row>
    <row r="42" spans="3:16">
      <c r="C42" s="26">
        <v>9</v>
      </c>
      <c r="D42">
        <f t="shared" si="0"/>
        <v>0</v>
      </c>
      <c r="F42">
        <f t="shared" ref="F42:N42" si="10">F21</f>
        <v>0</v>
      </c>
      <c r="G42">
        <f t="shared" si="10"/>
        <v>0</v>
      </c>
      <c r="H42">
        <f t="shared" si="10"/>
        <v>0</v>
      </c>
      <c r="I42">
        <f t="shared" si="10"/>
        <v>184.32916481121478</v>
      </c>
      <c r="J42">
        <f t="shared" si="10"/>
        <v>552.98749443364431</v>
      </c>
      <c r="K42">
        <f t="shared" si="10"/>
        <v>1228.861098741432</v>
      </c>
      <c r="L42">
        <f t="shared" si="10"/>
        <v>179.98333518878522</v>
      </c>
      <c r="M42">
        <f t="shared" si="10"/>
        <v>-552.98749443364431</v>
      </c>
      <c r="N42">
        <f t="shared" si="10"/>
        <v>4400.7221974828635</v>
      </c>
      <c r="O42" s="26">
        <v>9</v>
      </c>
      <c r="P42" s="27" t="str">
        <f t="shared" si="2"/>
        <v>D9</v>
      </c>
    </row>
    <row r="45" spans="3:16">
      <c r="F45" s="26">
        <v>1</v>
      </c>
      <c r="G45" s="26">
        <v>2</v>
      </c>
      <c r="H45" s="26">
        <v>3</v>
      </c>
      <c r="I45" s="26">
        <v>4</v>
      </c>
      <c r="J45" s="26">
        <v>5</v>
      </c>
      <c r="K45" s="26">
        <v>6</v>
      </c>
      <c r="L45" s="26">
        <v>7</v>
      </c>
      <c r="M45" s="26">
        <v>8</v>
      </c>
      <c r="N45" s="26">
        <v>9</v>
      </c>
    </row>
    <row r="46" spans="3:16">
      <c r="D46" s="27" t="s">
        <v>70</v>
      </c>
      <c r="F46">
        <f t="array" ref="F46:N54">MINVERSE(F34:N42)</f>
        <v>9.2782777933528501E-3</v>
      </c>
      <c r="G46">
        <v>3.7020343584095466E-6</v>
      </c>
      <c r="H46">
        <v>-7.429024293495013E-4</v>
      </c>
      <c r="I46">
        <v>8.9289989064488592E-3</v>
      </c>
      <c r="J46">
        <v>1.0402983897581366E-3</v>
      </c>
      <c r="K46">
        <v>4.2862593678946861E-4</v>
      </c>
      <c r="L46">
        <v>8.5753008532144688E-3</v>
      </c>
      <c r="M46">
        <v>-3.7020343584100146E-6</v>
      </c>
      <c r="N46">
        <v>-9.7559602368050093E-4</v>
      </c>
      <c r="O46" s="26">
        <v>1</v>
      </c>
      <c r="P46">
        <f>D34</f>
        <v>2.5</v>
      </c>
    </row>
    <row r="47" spans="3:16">
      <c r="D47" s="27" t="s">
        <v>71</v>
      </c>
      <c r="F47">
        <v>3.702034358409547E-6</v>
      </c>
      <c r="G47">
        <v>1.4034036103397896E-5</v>
      </c>
      <c r="H47">
        <v>-9.2550858960247473E-7</v>
      </c>
      <c r="I47">
        <v>6.0405879812034316E-6</v>
      </c>
      <c r="J47">
        <v>7.0175438596490416E-6</v>
      </c>
      <c r="K47">
        <v>-1.2913479817517808E-6</v>
      </c>
      <c r="L47">
        <v>3.7020343584095999E-6</v>
      </c>
      <c r="M47">
        <v>1.05161590034947E-9</v>
      </c>
      <c r="N47">
        <v>-9.2550858960245875E-7</v>
      </c>
      <c r="O47" s="26">
        <v>2</v>
      </c>
      <c r="P47">
        <f t="shared" ref="P47:P54" si="11">D35</f>
        <v>0</v>
      </c>
    </row>
    <row r="48" spans="3:16">
      <c r="D48" s="27" t="s">
        <v>72</v>
      </c>
      <c r="F48">
        <v>-7.4290242934950119E-4</v>
      </c>
      <c r="G48">
        <v>-9.2550858960247505E-7</v>
      </c>
      <c r="H48">
        <v>3.6780890892010342E-4</v>
      </c>
      <c r="I48">
        <v>-8.5980162230631769E-4</v>
      </c>
      <c r="J48">
        <v>3.5124850089831157E-4</v>
      </c>
      <c r="K48">
        <v>-1.0715648419737476E-4</v>
      </c>
      <c r="L48">
        <v>-9.7559602368053324E-4</v>
      </c>
      <c r="M48">
        <v>9.2550858960251984E-7</v>
      </c>
      <c r="N48">
        <v>6.1815704337427524E-5</v>
      </c>
      <c r="O48" s="26">
        <v>3</v>
      </c>
      <c r="P48">
        <f t="shared" si="11"/>
        <v>0</v>
      </c>
    </row>
    <row r="49" spans="1:16">
      <c r="D49" s="27" t="s">
        <v>73</v>
      </c>
      <c r="F49">
        <v>8.9289989064488592E-3</v>
      </c>
      <c r="G49">
        <v>6.0405879812034342E-6</v>
      </c>
      <c r="H49">
        <v>-8.5980162230631747E-4</v>
      </c>
      <c r="I49">
        <v>8.93815212602239E-3</v>
      </c>
      <c r="J49">
        <v>-1.1295700895336475E-16</v>
      </c>
      <c r="K49">
        <v>4.2785518738937007E-4</v>
      </c>
      <c r="L49">
        <v>8.9289989064489338E-3</v>
      </c>
      <c r="M49">
        <v>-6.0405879812039026E-6</v>
      </c>
      <c r="N49">
        <v>-8.5980162230629221E-4</v>
      </c>
      <c r="O49" s="26">
        <v>4</v>
      </c>
      <c r="P49">
        <f t="shared" si="11"/>
        <v>4.5</v>
      </c>
    </row>
    <row r="50" spans="1:16">
      <c r="D50" s="27" t="s">
        <v>74</v>
      </c>
      <c r="E50" s="25" t="s">
        <v>56</v>
      </c>
      <c r="F50">
        <v>1.0402983897581375E-3</v>
      </c>
      <c r="G50">
        <v>7.0175438596490416E-6</v>
      </c>
      <c r="H50">
        <v>3.5124850089831162E-4</v>
      </c>
      <c r="I50">
        <v>-1.1353820792785966E-16</v>
      </c>
      <c r="J50">
        <v>3.1408740342145016E-3</v>
      </c>
      <c r="K50">
        <v>-5.6045930665026265E-18</v>
      </c>
      <c r="L50">
        <v>-1.0402983897583626E-3</v>
      </c>
      <c r="M50">
        <v>7.0175438596492009E-6</v>
      </c>
      <c r="N50">
        <v>-3.5124850089829053E-4</v>
      </c>
      <c r="O50" s="26">
        <v>5</v>
      </c>
      <c r="P50">
        <f t="shared" si="11"/>
        <v>0</v>
      </c>
    </row>
    <row r="51" spans="1:16">
      <c r="D51" s="27" t="s">
        <v>75</v>
      </c>
      <c r="F51">
        <v>4.2862593678946834E-4</v>
      </c>
      <c r="G51">
        <v>-1.2913479817517806E-6</v>
      </c>
      <c r="H51">
        <v>-1.071564841973747E-4</v>
      </c>
      <c r="I51">
        <v>4.278551873893698E-4</v>
      </c>
      <c r="J51">
        <v>-5.4010132775840516E-18</v>
      </c>
      <c r="K51">
        <v>2.5736700691150207E-4</v>
      </c>
      <c r="L51">
        <v>4.2862593678947192E-4</v>
      </c>
      <c r="M51">
        <v>1.2913479817517577E-6</v>
      </c>
      <c r="N51">
        <v>-1.0715648419737348E-4</v>
      </c>
      <c r="O51" s="26">
        <v>6</v>
      </c>
      <c r="P51">
        <f t="shared" si="11"/>
        <v>0</v>
      </c>
    </row>
    <row r="52" spans="1:16">
      <c r="D52" s="27" t="s">
        <v>76</v>
      </c>
      <c r="F52">
        <v>8.5753008532144688E-3</v>
      </c>
      <c r="G52">
        <v>3.7020343584095995E-6</v>
      </c>
      <c r="H52">
        <v>-9.7559602368053324E-4</v>
      </c>
      <c r="I52">
        <v>8.9289989064489355E-3</v>
      </c>
      <c r="J52">
        <v>-1.0402983897583624E-3</v>
      </c>
      <c r="K52">
        <v>4.2862593678947219E-4</v>
      </c>
      <c r="L52">
        <v>9.2782777933529976E-3</v>
      </c>
      <c r="M52">
        <v>-3.7020343584100683E-6</v>
      </c>
      <c r="N52">
        <v>-7.4290242934948309E-4</v>
      </c>
      <c r="O52" s="26">
        <v>7</v>
      </c>
      <c r="P52">
        <f t="shared" si="11"/>
        <v>2.5</v>
      </c>
    </row>
    <row r="53" spans="1:16">
      <c r="D53" s="27" t="s">
        <v>77</v>
      </c>
      <c r="F53">
        <v>-3.7020343584095453E-6</v>
      </c>
      <c r="G53">
        <v>1.0516159003498379E-9</v>
      </c>
      <c r="H53">
        <v>9.2550858960247833E-7</v>
      </c>
      <c r="I53">
        <v>-6.0405879812034401E-6</v>
      </c>
      <c r="J53">
        <v>7.017543859649228E-6</v>
      </c>
      <c r="K53">
        <v>1.2913479817517804E-6</v>
      </c>
      <c r="L53">
        <v>-3.702034358409616E-6</v>
      </c>
      <c r="M53">
        <v>1.4034036103397893E-5</v>
      </c>
      <c r="N53">
        <v>9.2550858960245366E-7</v>
      </c>
      <c r="O53" s="26">
        <v>8</v>
      </c>
      <c r="P53">
        <f t="shared" si="11"/>
        <v>0</v>
      </c>
    </row>
    <row r="54" spans="1:16">
      <c r="D54" s="27" t="s">
        <v>78</v>
      </c>
      <c r="F54">
        <v>-9.7559602368050072E-4</v>
      </c>
      <c r="G54">
        <v>-9.2550858960245684E-7</v>
      </c>
      <c r="H54">
        <v>6.1815704337427605E-5</v>
      </c>
      <c r="I54">
        <v>-8.5980162230629232E-4</v>
      </c>
      <c r="J54">
        <v>-3.5124850089828988E-4</v>
      </c>
      <c r="K54">
        <v>-1.0715648419737351E-4</v>
      </c>
      <c r="L54">
        <v>-7.429024293494833E-4</v>
      </c>
      <c r="M54">
        <v>9.2550858960250194E-7</v>
      </c>
      <c r="N54">
        <v>3.678089089200986E-4</v>
      </c>
      <c r="O54" s="26">
        <v>9</v>
      </c>
      <c r="P54">
        <f t="shared" si="11"/>
        <v>0</v>
      </c>
    </row>
    <row r="56" spans="1:16" ht="14.25">
      <c r="A56" s="45" t="s">
        <v>119</v>
      </c>
      <c r="B56" s="46"/>
      <c r="C56" s="46"/>
      <c r="D56" s="46"/>
      <c r="E56" s="46"/>
    </row>
    <row r="57" spans="1:16">
      <c r="D57" s="27" t="s">
        <v>70</v>
      </c>
      <c r="F57">
        <f t="array" ref="F57:F65">MMULT(F46:N54,P46:P54)</f>
        <v>8.4814441695438156E-2</v>
      </c>
      <c r="G57" t="s">
        <v>0</v>
      </c>
    </row>
    <row r="58" spans="1:16">
      <c r="D58" s="27" t="s">
        <v>71</v>
      </c>
      <c r="F58">
        <v>4.5692817707463301E-5</v>
      </c>
      <c r="G58" t="s">
        <v>0</v>
      </c>
    </row>
    <row r="59" spans="1:16">
      <c r="D59" s="27" t="s">
        <v>72</v>
      </c>
      <c r="F59">
        <v>-8.165353432953517E-3</v>
      </c>
      <c r="G59" t="s">
        <v>79</v>
      </c>
    </row>
    <row r="60" spans="1:16">
      <c r="D60" s="27" t="s">
        <v>73</v>
      </c>
      <c r="F60">
        <v>8.4866679099345255E-2</v>
      </c>
      <c r="G60" t="s">
        <v>0</v>
      </c>
    </row>
    <row r="61" spans="1:16">
      <c r="D61" s="27" t="s">
        <v>74</v>
      </c>
      <c r="E61" s="25" t="s">
        <v>56</v>
      </c>
      <c r="F61">
        <v>-1.0737938316296436E-15</v>
      </c>
      <c r="G61" t="s">
        <v>0</v>
      </c>
    </row>
    <row r="62" spans="1:16">
      <c r="D62" s="27" t="s">
        <v>75</v>
      </c>
      <c r="F62">
        <v>4.0684780271995147E-3</v>
      </c>
      <c r="G62" t="s">
        <v>79</v>
      </c>
    </row>
    <row r="63" spans="1:16">
      <c r="D63" s="27" t="s">
        <v>76</v>
      </c>
      <c r="F63">
        <v>8.4814441695438877E-2</v>
      </c>
      <c r="G63" t="s">
        <v>0</v>
      </c>
    </row>
    <row r="64" spans="1:16">
      <c r="D64" s="27" t="s">
        <v>77</v>
      </c>
      <c r="F64">
        <v>-4.5692817707463382E-5</v>
      </c>
      <c r="G64" t="s">
        <v>0</v>
      </c>
    </row>
    <row r="65" spans="1:18">
      <c r="D65" s="27" t="s">
        <v>78</v>
      </c>
      <c r="F65">
        <v>-8.1653534329532759E-3</v>
      </c>
      <c r="G65" t="s">
        <v>79</v>
      </c>
      <c r="Q65">
        <f>F57</f>
        <v>8.4814441695438156E-2</v>
      </c>
      <c r="R65" s="26">
        <v>1</v>
      </c>
    </row>
    <row r="66" spans="1:18">
      <c r="Q66">
        <f t="shared" ref="Q66:Q73" si="12">F58</f>
        <v>4.5692817707463301E-5</v>
      </c>
      <c r="R66" s="26">
        <v>2</v>
      </c>
    </row>
    <row r="67" spans="1:18" ht="14.25">
      <c r="A67" s="45" t="s">
        <v>120</v>
      </c>
      <c r="B67" s="46"/>
      <c r="C67" s="46"/>
      <c r="D67" s="46"/>
      <c r="E67" s="46"/>
      <c r="F67" s="26">
        <v>1</v>
      </c>
      <c r="G67" s="26">
        <v>2</v>
      </c>
      <c r="H67" s="26">
        <v>3</v>
      </c>
      <c r="I67" s="26">
        <v>4</v>
      </c>
      <c r="J67" s="26">
        <v>5</v>
      </c>
      <c r="K67" s="26">
        <v>6</v>
      </c>
      <c r="L67" s="26">
        <v>7</v>
      </c>
      <c r="M67" s="26">
        <v>8</v>
      </c>
      <c r="N67" s="26">
        <v>9</v>
      </c>
      <c r="Q67">
        <f t="shared" si="12"/>
        <v>-8.165353432953517E-3</v>
      </c>
      <c r="R67" s="26">
        <v>3</v>
      </c>
    </row>
    <row r="68" spans="1:18">
      <c r="D68" s="27" t="s">
        <v>64</v>
      </c>
      <c r="F68">
        <f>F22</f>
        <v>-91.078125</v>
      </c>
      <c r="G68">
        <f t="shared" ref="G68:N68" si="13">G22</f>
        <v>0</v>
      </c>
      <c r="H68">
        <f t="shared" si="13"/>
        <v>-364.3125</v>
      </c>
      <c r="I68">
        <f t="shared" si="13"/>
        <v>0</v>
      </c>
      <c r="J68">
        <f t="shared" si="13"/>
        <v>0</v>
      </c>
      <c r="K68">
        <f t="shared" si="13"/>
        <v>0</v>
      </c>
      <c r="L68">
        <f t="shared" si="13"/>
        <v>0</v>
      </c>
      <c r="M68">
        <f t="shared" si="13"/>
        <v>0</v>
      </c>
      <c r="N68">
        <f t="shared" si="13"/>
        <v>0</v>
      </c>
      <c r="O68" s="26">
        <v>10</v>
      </c>
      <c r="Q68">
        <f t="shared" si="12"/>
        <v>8.4866679099345255E-2</v>
      </c>
      <c r="R68" s="26">
        <v>4</v>
      </c>
    </row>
    <row r="69" spans="1:18">
      <c r="D69" s="27" t="s">
        <v>65</v>
      </c>
      <c r="F69">
        <f t="shared" ref="F69:N69" si="14">F23</f>
        <v>0</v>
      </c>
      <c r="G69">
        <f t="shared" si="14"/>
        <v>-71250</v>
      </c>
      <c r="H69">
        <f t="shared" si="14"/>
        <v>0</v>
      </c>
      <c r="I69">
        <f t="shared" si="14"/>
        <v>0</v>
      </c>
      <c r="J69">
        <f t="shared" si="14"/>
        <v>0</v>
      </c>
      <c r="K69">
        <f t="shared" si="14"/>
        <v>0</v>
      </c>
      <c r="L69">
        <f t="shared" si="14"/>
        <v>0</v>
      </c>
      <c r="M69">
        <f t="shared" si="14"/>
        <v>0</v>
      </c>
      <c r="N69">
        <f t="shared" si="14"/>
        <v>0</v>
      </c>
      <c r="O69" s="26">
        <v>11</v>
      </c>
      <c r="Q69">
        <f t="shared" si="12"/>
        <v>-1.0737938316296436E-15</v>
      </c>
      <c r="R69" s="26">
        <v>5</v>
      </c>
    </row>
    <row r="70" spans="1:18">
      <c r="D70" s="27" t="s">
        <v>66</v>
      </c>
      <c r="E70" s="25" t="s">
        <v>56</v>
      </c>
      <c r="F70">
        <f t="shared" ref="F70:N70" si="15">F24</f>
        <v>364.3125</v>
      </c>
      <c r="G70">
        <f t="shared" si="15"/>
        <v>0</v>
      </c>
      <c r="H70">
        <f t="shared" si="15"/>
        <v>971.49999999999989</v>
      </c>
      <c r="I70">
        <f t="shared" si="15"/>
        <v>0</v>
      </c>
      <c r="J70">
        <f t="shared" si="15"/>
        <v>0</v>
      </c>
      <c r="K70">
        <f t="shared" si="15"/>
        <v>0</v>
      </c>
      <c r="L70">
        <f t="shared" si="15"/>
        <v>0</v>
      </c>
      <c r="M70">
        <f t="shared" si="15"/>
        <v>0</v>
      </c>
      <c r="N70">
        <f t="shared" si="15"/>
        <v>0</v>
      </c>
      <c r="O70" s="26">
        <v>12</v>
      </c>
      <c r="Q70">
        <f t="shared" si="12"/>
        <v>4.0684780271995147E-3</v>
      </c>
      <c r="R70" s="26">
        <v>6</v>
      </c>
    </row>
    <row r="71" spans="1:18">
      <c r="D71" s="27" t="s">
        <v>67</v>
      </c>
      <c r="F71">
        <f t="shared" ref="F71:N71" si="16">F25</f>
        <v>0</v>
      </c>
      <c r="G71">
        <f t="shared" si="16"/>
        <v>0</v>
      </c>
      <c r="H71">
        <f t="shared" si="16"/>
        <v>0</v>
      </c>
      <c r="I71">
        <f t="shared" si="16"/>
        <v>0</v>
      </c>
      <c r="J71">
        <f t="shared" si="16"/>
        <v>0</v>
      </c>
      <c r="K71">
        <f t="shared" si="16"/>
        <v>0</v>
      </c>
      <c r="L71">
        <f t="shared" si="16"/>
        <v>-91.078125</v>
      </c>
      <c r="M71">
        <f t="shared" si="16"/>
        <v>0</v>
      </c>
      <c r="N71">
        <f t="shared" si="16"/>
        <v>-364.3125</v>
      </c>
      <c r="O71" s="26">
        <v>13</v>
      </c>
      <c r="Q71">
        <f t="shared" si="12"/>
        <v>8.4814441695438877E-2</v>
      </c>
      <c r="R71" s="26">
        <v>7</v>
      </c>
    </row>
    <row r="72" spans="1:18">
      <c r="D72" s="27" t="s">
        <v>68</v>
      </c>
      <c r="F72">
        <f t="shared" ref="F72:N72" si="17">F26</f>
        <v>0</v>
      </c>
      <c r="G72">
        <f t="shared" si="17"/>
        <v>0</v>
      </c>
      <c r="H72">
        <f t="shared" si="17"/>
        <v>0</v>
      </c>
      <c r="I72">
        <f t="shared" si="17"/>
        <v>0</v>
      </c>
      <c r="J72">
        <f t="shared" si="17"/>
        <v>0</v>
      </c>
      <c r="K72">
        <f t="shared" si="17"/>
        <v>0</v>
      </c>
      <c r="L72">
        <f t="shared" si="17"/>
        <v>0</v>
      </c>
      <c r="M72">
        <f t="shared" si="17"/>
        <v>-71250</v>
      </c>
      <c r="N72">
        <f t="shared" si="17"/>
        <v>0</v>
      </c>
      <c r="O72" s="26">
        <v>14</v>
      </c>
      <c r="Q72">
        <f t="shared" si="12"/>
        <v>-4.5692817707463382E-5</v>
      </c>
      <c r="R72" s="26">
        <v>8</v>
      </c>
    </row>
    <row r="73" spans="1:18">
      <c r="D73" s="27" t="s">
        <v>69</v>
      </c>
      <c r="F73">
        <f t="shared" ref="F73:N73" si="18">F27</f>
        <v>0</v>
      </c>
      <c r="G73">
        <f t="shared" si="18"/>
        <v>0</v>
      </c>
      <c r="H73">
        <f t="shared" si="18"/>
        <v>0</v>
      </c>
      <c r="I73">
        <f t="shared" si="18"/>
        <v>0</v>
      </c>
      <c r="J73">
        <f t="shared" si="18"/>
        <v>0</v>
      </c>
      <c r="K73">
        <f t="shared" si="18"/>
        <v>0</v>
      </c>
      <c r="L73">
        <f t="shared" si="18"/>
        <v>364.3125</v>
      </c>
      <c r="M73">
        <f t="shared" si="18"/>
        <v>0</v>
      </c>
      <c r="N73">
        <f t="shared" si="18"/>
        <v>971.49999999999989</v>
      </c>
      <c r="O73" s="26">
        <v>15</v>
      </c>
      <c r="Q73">
        <f t="shared" si="12"/>
        <v>-8.1653534329532759E-3</v>
      </c>
      <c r="R73" s="26">
        <v>9</v>
      </c>
    </row>
    <row r="76" spans="1:18">
      <c r="D76" s="27" t="s">
        <v>64</v>
      </c>
      <c r="F76">
        <f t="array" ref="F76:F81">MMULT(F68:N73,Q65:Q73)</f>
        <v>-4.7499999999994502</v>
      </c>
      <c r="G76" t="s">
        <v>44</v>
      </c>
    </row>
    <row r="77" spans="1:18">
      <c r="D77" s="27" t="s">
        <v>65</v>
      </c>
      <c r="F77">
        <v>-3.2556132616567601</v>
      </c>
      <c r="G77" t="s">
        <v>44</v>
      </c>
    </row>
    <row r="78" spans="1:18">
      <c r="D78" s="27" t="s">
        <v>66</v>
      </c>
      <c r="E78" s="25" t="s">
        <v>56</v>
      </c>
      <c r="F78">
        <v>22.966320430054974</v>
      </c>
      <c r="G78" t="s">
        <v>80</v>
      </c>
    </row>
    <row r="79" spans="1:18">
      <c r="D79" s="27" t="s">
        <v>67</v>
      </c>
      <c r="F79">
        <v>-4.7499999999996039</v>
      </c>
      <c r="G79" t="s">
        <v>44</v>
      </c>
    </row>
    <row r="80" spans="1:18">
      <c r="D80" s="27" t="s">
        <v>68</v>
      </c>
      <c r="F80">
        <v>3.2556132616567659</v>
      </c>
      <c r="G80" t="s">
        <v>44</v>
      </c>
    </row>
    <row r="81" spans="1:21">
      <c r="D81" s="27" t="s">
        <v>69</v>
      </c>
      <c r="F81">
        <v>22.966320430055472</v>
      </c>
      <c r="G81" t="s">
        <v>80</v>
      </c>
    </row>
    <row r="85" spans="1:21">
      <c r="D85" t="s">
        <v>81</v>
      </c>
    </row>
    <row r="87" spans="1:21" ht="12.75">
      <c r="A87" s="47" t="s">
        <v>82</v>
      </c>
      <c r="D87" t="s">
        <v>83</v>
      </c>
      <c r="F87" s="33">
        <f>HARF!CC28</f>
        <v>71250</v>
      </c>
      <c r="G87" s="33">
        <f>HARF!CD28</f>
        <v>0</v>
      </c>
      <c r="H87" s="33">
        <f>HARF!CE28</f>
        <v>0</v>
      </c>
      <c r="I87" s="33">
        <f>HARF!CF28</f>
        <v>-71250</v>
      </c>
      <c r="J87" s="33">
        <f>HARF!CG28</f>
        <v>0</v>
      </c>
      <c r="K87" s="33">
        <f>HARF!CH28</f>
        <v>0</v>
      </c>
      <c r="M87" s="28">
        <f>HARF!CJ28</f>
        <v>0</v>
      </c>
      <c r="N87" s="28">
        <f>HARF!CK28</f>
        <v>1</v>
      </c>
      <c r="O87" s="28">
        <f>HARF!CL28</f>
        <v>0</v>
      </c>
      <c r="P87" s="28">
        <f>HARF!CM28</f>
        <v>0</v>
      </c>
      <c r="Q87" s="28">
        <f>HARF!CN28</f>
        <v>0</v>
      </c>
      <c r="R87" s="28">
        <f>HARF!CO28</f>
        <v>0</v>
      </c>
      <c r="T87" s="28">
        <v>0</v>
      </c>
      <c r="U87" s="34">
        <f>HARF!BM29</f>
        <v>10</v>
      </c>
    </row>
    <row r="88" spans="1:21">
      <c r="D88" t="s">
        <v>84</v>
      </c>
      <c r="F88" s="33">
        <f>HARF!CC29</f>
        <v>0</v>
      </c>
      <c r="G88" s="33">
        <f>HARF!CD29</f>
        <v>91.078125</v>
      </c>
      <c r="H88" s="33">
        <f>HARF!CE29</f>
        <v>364.3125</v>
      </c>
      <c r="I88" s="33">
        <f>HARF!CF29</f>
        <v>0</v>
      </c>
      <c r="J88" s="33">
        <f>HARF!CG29</f>
        <v>-91.078125</v>
      </c>
      <c r="K88" s="33">
        <f>HARF!CH29</f>
        <v>364.3125</v>
      </c>
      <c r="M88" s="28">
        <f>HARF!CJ29</f>
        <v>-1</v>
      </c>
      <c r="N88" s="28">
        <f>HARF!CK29</f>
        <v>0</v>
      </c>
      <c r="O88" s="28">
        <f>HARF!CL29</f>
        <v>0</v>
      </c>
      <c r="P88" s="28">
        <f>HARF!CM29</f>
        <v>0</v>
      </c>
      <c r="Q88" s="28">
        <f>HARF!CN29</f>
        <v>0</v>
      </c>
      <c r="R88" s="28">
        <f>HARF!CO29</f>
        <v>0</v>
      </c>
      <c r="T88" s="28">
        <v>0</v>
      </c>
      <c r="U88" s="34">
        <f>HARF!BM30</f>
        <v>11</v>
      </c>
    </row>
    <row r="89" spans="1:21">
      <c r="D89" t="s">
        <v>85</v>
      </c>
      <c r="E89" t="s">
        <v>56</v>
      </c>
      <c r="F89" s="33">
        <f>HARF!CC30</f>
        <v>0</v>
      </c>
      <c r="G89" s="33">
        <f>HARF!CD30</f>
        <v>364.3125</v>
      </c>
      <c r="H89" s="33">
        <f>HARF!CE30</f>
        <v>1942.9999999999998</v>
      </c>
      <c r="I89" s="33">
        <f>HARF!CF30</f>
        <v>0</v>
      </c>
      <c r="J89" s="33">
        <f>HARF!CG30</f>
        <v>-364.3125</v>
      </c>
      <c r="K89" s="33">
        <f>HARF!CH30</f>
        <v>971.49999999999989</v>
      </c>
      <c r="M89" s="28">
        <f>HARF!CJ30</f>
        <v>0</v>
      </c>
      <c r="N89" s="28">
        <f>HARF!CK30</f>
        <v>0</v>
      </c>
      <c r="O89" s="28">
        <f>HARF!CL30</f>
        <v>1</v>
      </c>
      <c r="P89" s="28">
        <f>HARF!CM30</f>
        <v>0</v>
      </c>
      <c r="Q89" s="28">
        <f>HARF!CN30</f>
        <v>0</v>
      </c>
      <c r="R89" s="28">
        <f>HARF!CO30</f>
        <v>0</v>
      </c>
      <c r="T89" s="28">
        <v>0</v>
      </c>
      <c r="U89" s="34">
        <f>HARF!BM31</f>
        <v>12</v>
      </c>
    </row>
    <row r="90" spans="1:21">
      <c r="D90" t="s">
        <v>86</v>
      </c>
      <c r="F90" s="33">
        <f>HARF!CC31</f>
        <v>-71250</v>
      </c>
      <c r="G90" s="33">
        <f>HARF!CD31</f>
        <v>0</v>
      </c>
      <c r="H90" s="33">
        <f>HARF!CE31</f>
        <v>0</v>
      </c>
      <c r="I90" s="33">
        <f>HARF!CF31</f>
        <v>71250</v>
      </c>
      <c r="J90" s="33">
        <f>HARF!CG31</f>
        <v>0</v>
      </c>
      <c r="K90" s="33">
        <f>HARF!CH31</f>
        <v>0</v>
      </c>
      <c r="M90" s="28">
        <f>HARF!CJ31</f>
        <v>0</v>
      </c>
      <c r="N90" s="28">
        <f>HARF!CK31</f>
        <v>0</v>
      </c>
      <c r="O90" s="28">
        <f>HARF!CL31</f>
        <v>0</v>
      </c>
      <c r="P90" s="28">
        <f>HARF!CM31</f>
        <v>0</v>
      </c>
      <c r="Q90" s="28">
        <f>HARF!CN31</f>
        <v>1</v>
      </c>
      <c r="R90" s="28">
        <f>HARF!CO31</f>
        <v>0</v>
      </c>
      <c r="T90" s="28">
        <f>F57</f>
        <v>8.4814441695438156E-2</v>
      </c>
      <c r="U90" s="34">
        <f>HARF!BM32</f>
        <v>1</v>
      </c>
    </row>
    <row r="91" spans="1:21">
      <c r="D91" t="s">
        <v>87</v>
      </c>
      <c r="F91" s="33">
        <f>HARF!CC32</f>
        <v>0</v>
      </c>
      <c r="G91" s="33">
        <f>HARF!CD32</f>
        <v>-91.078125</v>
      </c>
      <c r="H91" s="33">
        <f>HARF!CE32</f>
        <v>-364.3125</v>
      </c>
      <c r="I91" s="33">
        <f>HARF!CF32</f>
        <v>0</v>
      </c>
      <c r="J91" s="33">
        <f>HARF!CG32</f>
        <v>91.078125</v>
      </c>
      <c r="K91" s="33">
        <f>HARF!CH32</f>
        <v>-364.3125</v>
      </c>
      <c r="M91" s="28">
        <f>HARF!CJ32</f>
        <v>0</v>
      </c>
      <c r="N91" s="28">
        <f>HARF!CK32</f>
        <v>0</v>
      </c>
      <c r="O91" s="28">
        <f>HARF!CL32</f>
        <v>0</v>
      </c>
      <c r="P91" s="28">
        <f>HARF!CM32</f>
        <v>-1</v>
      </c>
      <c r="Q91" s="28">
        <f>HARF!CN32</f>
        <v>0</v>
      </c>
      <c r="R91" s="28">
        <f>HARF!CO32</f>
        <v>0</v>
      </c>
      <c r="T91" s="28">
        <f>F58</f>
        <v>4.5692817707463301E-5</v>
      </c>
      <c r="U91" s="34">
        <f>HARF!BM33</f>
        <v>2</v>
      </c>
    </row>
    <row r="92" spans="1:21">
      <c r="D92" t="s">
        <v>88</v>
      </c>
      <c r="F92" s="33">
        <f>HARF!CC33</f>
        <v>0</v>
      </c>
      <c r="G92" s="33">
        <f>HARF!CD33</f>
        <v>364.3125</v>
      </c>
      <c r="H92" s="33">
        <f>HARF!CE33</f>
        <v>971.49999999999989</v>
      </c>
      <c r="I92" s="33">
        <f>HARF!CF33</f>
        <v>0</v>
      </c>
      <c r="J92" s="33">
        <f>HARF!CG33</f>
        <v>-364.3125</v>
      </c>
      <c r="K92" s="33">
        <f>HARF!CH33</f>
        <v>1942.9999999999998</v>
      </c>
      <c r="M92" s="28">
        <f>HARF!CJ33</f>
        <v>0</v>
      </c>
      <c r="N92" s="28">
        <f>HARF!CK33</f>
        <v>0</v>
      </c>
      <c r="O92" s="28">
        <f>HARF!CL33</f>
        <v>0</v>
      </c>
      <c r="P92" s="28">
        <f>HARF!CM33</f>
        <v>0</v>
      </c>
      <c r="Q92" s="28">
        <f>HARF!CN33</f>
        <v>0</v>
      </c>
      <c r="R92" s="28">
        <f>HARF!CO33</f>
        <v>1</v>
      </c>
      <c r="T92" s="28">
        <f>F59</f>
        <v>-8.165353432953517E-3</v>
      </c>
      <c r="U92" s="34">
        <f>HARF!BM34</f>
        <v>3</v>
      </c>
    </row>
    <row r="95" spans="1:21">
      <c r="D95" t="s">
        <v>83</v>
      </c>
      <c r="F95" s="28">
        <f t="array" ref="F95:K100">MMULT(F87:K92,M87:R92)</f>
        <v>0</v>
      </c>
      <c r="G95" s="28">
        <v>71250</v>
      </c>
      <c r="H95" s="28">
        <v>0</v>
      </c>
      <c r="I95" s="28">
        <v>0</v>
      </c>
      <c r="J95" s="28">
        <v>-71250</v>
      </c>
      <c r="K95" s="28">
        <v>0</v>
      </c>
      <c r="M95" s="28">
        <f t="shared" ref="M95:M100" si="19">T87</f>
        <v>0</v>
      </c>
    </row>
    <row r="96" spans="1:21">
      <c r="D96" t="s">
        <v>84</v>
      </c>
      <c r="F96" s="28">
        <v>-91.078125</v>
      </c>
      <c r="G96" s="28">
        <v>0</v>
      </c>
      <c r="H96" s="28">
        <v>364.3125</v>
      </c>
      <c r="I96" s="28">
        <v>91.078125</v>
      </c>
      <c r="J96" s="28">
        <v>0</v>
      </c>
      <c r="K96" s="28">
        <v>364.3125</v>
      </c>
      <c r="M96" s="28">
        <f t="shared" si="19"/>
        <v>0</v>
      </c>
    </row>
    <row r="97" spans="4:13">
      <c r="D97" t="s">
        <v>85</v>
      </c>
      <c r="E97" t="s">
        <v>56</v>
      </c>
      <c r="F97" s="28">
        <v>-364.3125</v>
      </c>
      <c r="G97" s="28">
        <v>0</v>
      </c>
      <c r="H97" s="28">
        <v>1942.9999999999998</v>
      </c>
      <c r="I97" s="28">
        <v>364.3125</v>
      </c>
      <c r="J97" s="28">
        <v>0</v>
      </c>
      <c r="K97" s="28">
        <v>971.49999999999989</v>
      </c>
      <c r="M97" s="28">
        <f t="shared" si="19"/>
        <v>0</v>
      </c>
    </row>
    <row r="98" spans="4:13">
      <c r="D98" t="s">
        <v>86</v>
      </c>
      <c r="F98" s="28">
        <v>0</v>
      </c>
      <c r="G98" s="28">
        <v>-71250</v>
      </c>
      <c r="H98" s="28">
        <v>0</v>
      </c>
      <c r="I98" s="28">
        <v>0</v>
      </c>
      <c r="J98" s="28">
        <v>71250</v>
      </c>
      <c r="K98" s="28">
        <v>0</v>
      </c>
      <c r="M98" s="28">
        <f t="shared" si="19"/>
        <v>8.4814441695438156E-2</v>
      </c>
    </row>
    <row r="99" spans="4:13">
      <c r="D99" t="s">
        <v>87</v>
      </c>
      <c r="F99" s="28">
        <v>91.078125</v>
      </c>
      <c r="G99" s="28">
        <v>0</v>
      </c>
      <c r="H99" s="28">
        <v>-364.3125</v>
      </c>
      <c r="I99" s="28">
        <v>-91.078125</v>
      </c>
      <c r="J99" s="28">
        <v>0</v>
      </c>
      <c r="K99" s="28">
        <v>-364.3125</v>
      </c>
      <c r="M99" s="28">
        <f t="shared" si="19"/>
        <v>4.5692817707463301E-5</v>
      </c>
    </row>
    <row r="100" spans="4:13">
      <c r="D100" t="s">
        <v>88</v>
      </c>
      <c r="F100" s="28">
        <v>-364.3125</v>
      </c>
      <c r="G100" s="28">
        <v>0</v>
      </c>
      <c r="H100" s="28">
        <v>971.49999999999989</v>
      </c>
      <c r="I100" s="28">
        <v>364.3125</v>
      </c>
      <c r="J100" s="28">
        <v>0</v>
      </c>
      <c r="K100" s="28">
        <v>1942.9999999999998</v>
      </c>
      <c r="M100" s="28">
        <f t="shared" si="19"/>
        <v>-8.165353432953517E-3</v>
      </c>
    </row>
    <row r="103" spans="4:13">
      <c r="D103" t="s">
        <v>83</v>
      </c>
      <c r="F103">
        <f t="array" ref="F103:F108">MMULT(F95:K100,M95:M100)</f>
        <v>-3.2556132616567601</v>
      </c>
      <c r="H103" s="27"/>
      <c r="I103" s="27" t="s">
        <v>90</v>
      </c>
      <c r="J103" s="27" t="s">
        <v>92</v>
      </c>
      <c r="K103" s="27" t="s">
        <v>94</v>
      </c>
    </row>
    <row r="104" spans="4:13">
      <c r="D104" t="s">
        <v>84</v>
      </c>
      <c r="F104">
        <v>4.7499999999994502</v>
      </c>
      <c r="H104" s="27" t="s">
        <v>91</v>
      </c>
      <c r="I104" s="27" t="s">
        <v>89</v>
      </c>
      <c r="J104" s="27" t="s">
        <v>93</v>
      </c>
      <c r="K104" s="27" t="s">
        <v>95</v>
      </c>
    </row>
    <row r="105" spans="4:13">
      <c r="D105" t="s">
        <v>85</v>
      </c>
      <c r="E105" t="s">
        <v>56</v>
      </c>
      <c r="F105">
        <v>22.966320430054974</v>
      </c>
      <c r="H105" s="27">
        <v>0</v>
      </c>
      <c r="I105" s="40">
        <f>F106</f>
        <v>3.2556132616567601</v>
      </c>
      <c r="J105" s="40">
        <f>F104</f>
        <v>4.7499999999994502</v>
      </c>
      <c r="K105" s="40">
        <f>-F105</f>
        <v>-22.966320430054974</v>
      </c>
    </row>
    <row r="106" spans="4:13">
      <c r="D106" t="s">
        <v>86</v>
      </c>
      <c r="F106">
        <v>3.2556132616567601</v>
      </c>
      <c r="H106" s="27">
        <f>HARF!BJ5</f>
        <v>8</v>
      </c>
      <c r="I106" s="40">
        <f>I105</f>
        <v>3.2556132616567601</v>
      </c>
      <c r="J106" s="40">
        <f>J105</f>
        <v>4.7499999999994502</v>
      </c>
      <c r="K106" s="40">
        <f>F108</f>
        <v>15.033679569940633</v>
      </c>
    </row>
    <row r="107" spans="4:13">
      <c r="D107" t="s">
        <v>87</v>
      </c>
      <c r="F107">
        <v>-4.7499999999994502</v>
      </c>
    </row>
    <row r="108" spans="4:13">
      <c r="D108" t="s">
        <v>88</v>
      </c>
      <c r="F108">
        <v>15.033679569940633</v>
      </c>
    </row>
    <row r="113" spans="1:21" ht="12.75">
      <c r="A113" s="47" t="s">
        <v>96</v>
      </c>
      <c r="D113" t="s">
        <v>83</v>
      </c>
      <c r="F113" s="33">
        <f>HARF!CC37</f>
        <v>90124.913314798803</v>
      </c>
      <c r="G113" s="33">
        <f>HARF!CD37</f>
        <v>0</v>
      </c>
      <c r="H113" s="33">
        <f>HARF!CE37</f>
        <v>0</v>
      </c>
      <c r="I113" s="33">
        <f>HARF!CF37</f>
        <v>-90124.913314798803</v>
      </c>
      <c r="J113" s="33">
        <f>HARF!CG37</f>
        <v>0</v>
      </c>
      <c r="K113" s="33">
        <f>HARF!CH37</f>
        <v>0</v>
      </c>
      <c r="M113" s="28">
        <f>HARF!CJ37</f>
        <v>0.94868329805051377</v>
      </c>
      <c r="N113" s="28">
        <f>HARF!CK37</f>
        <v>0.31622776601683794</v>
      </c>
      <c r="O113" s="28">
        <f>HARF!CL37</f>
        <v>0</v>
      </c>
      <c r="P113" s="28">
        <f>HARF!CM37</f>
        <v>0</v>
      </c>
      <c r="Q113" s="28">
        <f>HARF!CN37</f>
        <v>0</v>
      </c>
      <c r="R113" s="28">
        <f>HARF!CO37</f>
        <v>0</v>
      </c>
      <c r="T113" s="28">
        <f t="shared" ref="T113:T118" si="20">F57</f>
        <v>8.4814441695438156E-2</v>
      </c>
      <c r="U113" s="34">
        <f>HARF!BM38</f>
        <v>1</v>
      </c>
    </row>
    <row r="114" spans="1:21">
      <c r="D114" t="s">
        <v>84</v>
      </c>
      <c r="F114" s="33">
        <f>HARF!CC38</f>
        <v>0</v>
      </c>
      <c r="G114" s="33">
        <f>HARF!CD38</f>
        <v>184.32916481121478</v>
      </c>
      <c r="H114" s="33">
        <f>HARF!CE38</f>
        <v>582.89999999999986</v>
      </c>
      <c r="I114" s="33">
        <f>HARF!CF38</f>
        <v>0</v>
      </c>
      <c r="J114" s="33">
        <f>HARF!CG38</f>
        <v>-184.32916481121478</v>
      </c>
      <c r="K114" s="33">
        <f>HARF!CH38</f>
        <v>582.89999999999986</v>
      </c>
      <c r="M114" s="28">
        <f>HARF!CJ38</f>
        <v>-0.31622776601683794</v>
      </c>
      <c r="N114" s="28">
        <f>HARF!CK38</f>
        <v>0.94868329805051377</v>
      </c>
      <c r="O114" s="28">
        <f>HARF!CL38</f>
        <v>0</v>
      </c>
      <c r="P114" s="28">
        <f>HARF!CM38</f>
        <v>0</v>
      </c>
      <c r="Q114" s="28">
        <f>HARF!CN38</f>
        <v>0</v>
      </c>
      <c r="R114" s="28">
        <f>HARF!CO38</f>
        <v>0</v>
      </c>
      <c r="T114" s="28">
        <f t="shared" si="20"/>
        <v>4.5692817707463301E-5</v>
      </c>
      <c r="U114" s="34">
        <f>HARF!BM39</f>
        <v>2</v>
      </c>
    </row>
    <row r="115" spans="1:21">
      <c r="D115" t="s">
        <v>85</v>
      </c>
      <c r="E115" t="s">
        <v>56</v>
      </c>
      <c r="F115" s="33">
        <f>HARF!CC39</f>
        <v>0</v>
      </c>
      <c r="G115" s="33">
        <f>HARF!CD39</f>
        <v>582.89999999999986</v>
      </c>
      <c r="H115" s="33">
        <f>HARF!CE39</f>
        <v>2457.722197482864</v>
      </c>
      <c r="I115" s="33">
        <f>HARF!CF39</f>
        <v>0</v>
      </c>
      <c r="J115" s="33">
        <f>HARF!CG39</f>
        <v>-582.89999999999986</v>
      </c>
      <c r="K115" s="33">
        <f>HARF!CH39</f>
        <v>1228.861098741432</v>
      </c>
      <c r="M115" s="28">
        <f>HARF!CJ39</f>
        <v>0</v>
      </c>
      <c r="N115" s="28">
        <f>HARF!CK39</f>
        <v>0</v>
      </c>
      <c r="O115" s="28">
        <f>HARF!CL39</f>
        <v>1</v>
      </c>
      <c r="P115" s="28">
        <f>HARF!CM39</f>
        <v>0</v>
      </c>
      <c r="Q115" s="28">
        <f>HARF!CN39</f>
        <v>0</v>
      </c>
      <c r="R115" s="28">
        <f>HARF!CO39</f>
        <v>0</v>
      </c>
      <c r="T115" s="28">
        <f t="shared" si="20"/>
        <v>-8.165353432953517E-3</v>
      </c>
      <c r="U115" s="34">
        <f>HARF!BM40</f>
        <v>3</v>
      </c>
    </row>
    <row r="116" spans="1:21">
      <c r="D116" t="s">
        <v>86</v>
      </c>
      <c r="F116" s="33">
        <f>HARF!CC40</f>
        <v>-90124.913314798803</v>
      </c>
      <c r="G116" s="33">
        <f>HARF!CD40</f>
        <v>0</v>
      </c>
      <c r="H116" s="33">
        <f>HARF!CE40</f>
        <v>0</v>
      </c>
      <c r="I116" s="33">
        <f>HARF!CF40</f>
        <v>90124.913314798803</v>
      </c>
      <c r="J116" s="33">
        <f>HARF!CG40</f>
        <v>0</v>
      </c>
      <c r="K116" s="33">
        <f>HARF!CH40</f>
        <v>0</v>
      </c>
      <c r="M116" s="28">
        <f>HARF!CJ40</f>
        <v>0</v>
      </c>
      <c r="N116" s="28">
        <f>HARF!CK40</f>
        <v>0</v>
      </c>
      <c r="O116" s="28">
        <f>HARF!CL40</f>
        <v>0</v>
      </c>
      <c r="P116" s="28">
        <f>HARF!CM40</f>
        <v>0.94868329805051377</v>
      </c>
      <c r="Q116" s="28">
        <f>HARF!CN40</f>
        <v>0.31622776601683794</v>
      </c>
      <c r="R116" s="28">
        <f>HARF!CO40</f>
        <v>0</v>
      </c>
      <c r="T116" s="28">
        <f t="shared" si="20"/>
        <v>8.4866679099345255E-2</v>
      </c>
      <c r="U116" s="34">
        <f>HARF!BM41</f>
        <v>4</v>
      </c>
    </row>
    <row r="117" spans="1:21">
      <c r="D117" t="s">
        <v>87</v>
      </c>
      <c r="F117" s="33">
        <f>HARF!CC41</f>
        <v>0</v>
      </c>
      <c r="G117" s="33">
        <f>HARF!CD41</f>
        <v>-184.32916481121478</v>
      </c>
      <c r="H117" s="33">
        <f>HARF!CE41</f>
        <v>-582.89999999999986</v>
      </c>
      <c r="I117" s="33">
        <f>HARF!CF41</f>
        <v>0</v>
      </c>
      <c r="J117" s="33">
        <f>HARF!CG41</f>
        <v>184.32916481121478</v>
      </c>
      <c r="K117" s="33">
        <f>HARF!CH41</f>
        <v>-582.89999999999986</v>
      </c>
      <c r="M117" s="28">
        <f>HARF!CJ41</f>
        <v>0</v>
      </c>
      <c r="N117" s="28">
        <f>HARF!CK41</f>
        <v>0</v>
      </c>
      <c r="O117" s="28">
        <f>HARF!CL41</f>
        <v>0</v>
      </c>
      <c r="P117" s="28">
        <f>HARF!CM41</f>
        <v>-0.31622776601683794</v>
      </c>
      <c r="Q117" s="28">
        <f>HARF!CN41</f>
        <v>0.94868329805051377</v>
      </c>
      <c r="R117" s="28">
        <f>HARF!CO41</f>
        <v>0</v>
      </c>
      <c r="T117" s="28">
        <f t="shared" si="20"/>
        <v>-1.0737938316296436E-15</v>
      </c>
      <c r="U117" s="34">
        <f>HARF!BM42</f>
        <v>5</v>
      </c>
    </row>
    <row r="118" spans="1:21">
      <c r="D118" t="s">
        <v>88</v>
      </c>
      <c r="F118" s="33">
        <f>HARF!CC42</f>
        <v>0</v>
      </c>
      <c r="G118" s="33">
        <f>HARF!CD42</f>
        <v>582.89999999999986</v>
      </c>
      <c r="H118" s="33">
        <f>HARF!CE42</f>
        <v>1228.861098741432</v>
      </c>
      <c r="I118" s="33">
        <f>HARF!CF42</f>
        <v>0</v>
      </c>
      <c r="J118" s="33">
        <f>HARF!CG42</f>
        <v>-582.89999999999986</v>
      </c>
      <c r="K118" s="33">
        <f>HARF!CH42</f>
        <v>2457.722197482864</v>
      </c>
      <c r="M118" s="28">
        <f>HARF!CJ42</f>
        <v>0</v>
      </c>
      <c r="N118" s="28">
        <f>HARF!CK42</f>
        <v>0</v>
      </c>
      <c r="O118" s="28">
        <f>HARF!CL42</f>
        <v>0</v>
      </c>
      <c r="P118" s="28">
        <f>HARF!CM42</f>
        <v>0</v>
      </c>
      <c r="Q118" s="28">
        <f>HARF!CN42</f>
        <v>0</v>
      </c>
      <c r="R118" s="28">
        <f>HARF!CO42</f>
        <v>1</v>
      </c>
      <c r="T118" s="28">
        <f t="shared" si="20"/>
        <v>4.0684780271995147E-3</v>
      </c>
      <c r="U118" s="34">
        <f>HARF!BM43</f>
        <v>6</v>
      </c>
    </row>
    <row r="121" spans="1:21">
      <c r="D121" t="s">
        <v>83</v>
      </c>
      <c r="F121" s="28">
        <f t="array" ref="F121:K126">MMULT(F113:K118,M113:R118)</f>
        <v>85499.999999999985</v>
      </c>
      <c r="G121" s="28">
        <v>28500</v>
      </c>
      <c r="H121" s="28">
        <v>0</v>
      </c>
      <c r="I121" s="28">
        <v>-85499.999999999985</v>
      </c>
      <c r="J121" s="28">
        <v>-28500</v>
      </c>
      <c r="K121" s="28">
        <v>0</v>
      </c>
      <c r="M121" s="28">
        <f t="shared" ref="M121:M126" si="21">T113</f>
        <v>8.4814441695438156E-2</v>
      </c>
    </row>
    <row r="122" spans="1:21">
      <c r="D122" t="s">
        <v>84</v>
      </c>
      <c r="F122" s="28">
        <v>-58.289999999999985</v>
      </c>
      <c r="G122" s="28">
        <v>174.86999999999995</v>
      </c>
      <c r="H122" s="28">
        <v>582.89999999999986</v>
      </c>
      <c r="I122" s="28">
        <v>58.289999999999985</v>
      </c>
      <c r="J122" s="28">
        <v>-174.86999999999995</v>
      </c>
      <c r="K122" s="28">
        <v>582.89999999999986</v>
      </c>
      <c r="M122" s="28">
        <f t="shared" si="21"/>
        <v>4.5692817707463301E-5</v>
      </c>
    </row>
    <row r="123" spans="1:21">
      <c r="D123" t="s">
        <v>85</v>
      </c>
      <c r="E123" t="s">
        <v>56</v>
      </c>
      <c r="F123" s="28">
        <v>-184.32916481121478</v>
      </c>
      <c r="G123" s="28">
        <v>552.98749443364431</v>
      </c>
      <c r="H123" s="28">
        <v>2457.722197482864</v>
      </c>
      <c r="I123" s="28">
        <v>184.32916481121478</v>
      </c>
      <c r="J123" s="28">
        <v>-552.98749443364431</v>
      </c>
      <c r="K123" s="28">
        <v>1228.861098741432</v>
      </c>
      <c r="M123" s="28">
        <f t="shared" si="21"/>
        <v>-8.165353432953517E-3</v>
      </c>
    </row>
    <row r="124" spans="1:21">
      <c r="D124" t="s">
        <v>86</v>
      </c>
      <c r="F124" s="28">
        <v>-85499.999999999985</v>
      </c>
      <c r="G124" s="28">
        <v>-28500</v>
      </c>
      <c r="H124" s="28">
        <v>0</v>
      </c>
      <c r="I124" s="28">
        <v>85499.999999999985</v>
      </c>
      <c r="J124" s="28">
        <v>28500</v>
      </c>
      <c r="K124" s="28">
        <v>0</v>
      </c>
      <c r="M124" s="28">
        <f t="shared" si="21"/>
        <v>8.4866679099345255E-2</v>
      </c>
    </row>
    <row r="125" spans="1:21">
      <c r="D125" t="s">
        <v>87</v>
      </c>
      <c r="F125" s="28">
        <v>58.289999999999985</v>
      </c>
      <c r="G125" s="28">
        <v>-174.86999999999995</v>
      </c>
      <c r="H125" s="28">
        <v>-582.89999999999986</v>
      </c>
      <c r="I125" s="28">
        <v>-58.289999999999985</v>
      </c>
      <c r="J125" s="28">
        <v>174.86999999999995</v>
      </c>
      <c r="K125" s="28">
        <v>-582.89999999999986</v>
      </c>
      <c r="M125" s="28">
        <f t="shared" si="21"/>
        <v>-1.0737938316296436E-15</v>
      </c>
    </row>
    <row r="126" spans="1:21">
      <c r="D126" t="s">
        <v>88</v>
      </c>
      <c r="F126" s="28">
        <v>-184.32916481121478</v>
      </c>
      <c r="G126" s="28">
        <v>552.98749443364431</v>
      </c>
      <c r="H126" s="28">
        <v>1228.861098741432</v>
      </c>
      <c r="I126" s="28">
        <v>184.32916481121478</v>
      </c>
      <c r="J126" s="28">
        <v>-552.98749443364431</v>
      </c>
      <c r="K126" s="28">
        <v>2457.722197482864</v>
      </c>
      <c r="M126" s="28">
        <f t="shared" si="21"/>
        <v>4.0684780271995147E-3</v>
      </c>
    </row>
    <row r="129" spans="1:21">
      <c r="D129" t="s">
        <v>83</v>
      </c>
      <c r="F129">
        <f t="array" ref="F129:F134">MMULT(F121:K126,M121:M126)</f>
        <v>-3.1640527293642222</v>
      </c>
      <c r="H129" s="27"/>
      <c r="I129" s="27" t="s">
        <v>90</v>
      </c>
      <c r="J129" s="27" t="s">
        <v>92</v>
      </c>
      <c r="K129" s="27" t="s">
        <v>94</v>
      </c>
    </row>
    <row r="130" spans="1:21">
      <c r="D130" t="s">
        <v>84</v>
      </c>
      <c r="F130">
        <v>-2.3770334527075723</v>
      </c>
      <c r="H130" s="27" t="s">
        <v>91</v>
      </c>
      <c r="I130" s="27" t="s">
        <v>89</v>
      </c>
      <c r="J130" s="27" t="s">
        <v>93</v>
      </c>
      <c r="K130" s="27" t="s">
        <v>95</v>
      </c>
    </row>
    <row r="131" spans="1:21">
      <c r="D131" t="s">
        <v>85</v>
      </c>
      <c r="E131" t="s">
        <v>56</v>
      </c>
      <c r="F131">
        <v>-15.033679569940638</v>
      </c>
      <c r="H131" s="27">
        <v>0</v>
      </c>
      <c r="I131" s="40">
        <f>F132</f>
        <v>3.1640527293642222</v>
      </c>
      <c r="J131" s="40">
        <f>F130</f>
        <v>-2.3770334527075723</v>
      </c>
      <c r="K131" s="40">
        <f>-F131</f>
        <v>15.033679569940638</v>
      </c>
    </row>
    <row r="132" spans="1:21">
      <c r="D132" t="s">
        <v>86</v>
      </c>
      <c r="F132">
        <v>3.1640527293642222</v>
      </c>
      <c r="H132" s="27">
        <f>HARF!BJ41</f>
        <v>6.324555320336759</v>
      </c>
      <c r="I132" s="40">
        <f>I131</f>
        <v>3.1640527293642222</v>
      </c>
      <c r="J132" s="40">
        <f>J131</f>
        <v>-2.3770334527075723</v>
      </c>
      <c r="K132" s="40">
        <f>F134</f>
        <v>5.1514348342607263E-13</v>
      </c>
    </row>
    <row r="133" spans="1:21">
      <c r="D133" t="s">
        <v>87</v>
      </c>
      <c r="F133">
        <v>2.3770334527075723</v>
      </c>
    </row>
    <row r="134" spans="1:21">
      <c r="D134" t="s">
        <v>88</v>
      </c>
      <c r="F134">
        <v>5.1514348342607263E-13</v>
      </c>
    </row>
    <row r="138" spans="1:21" ht="12.75">
      <c r="A138" s="47" t="s">
        <v>97</v>
      </c>
      <c r="D138" t="s">
        <v>83</v>
      </c>
      <c r="F138" s="33">
        <f>HARF!CC46</f>
        <v>90124.913314798803</v>
      </c>
      <c r="G138" s="33">
        <f>HARF!CD46</f>
        <v>0</v>
      </c>
      <c r="H138" s="33">
        <f>HARF!CE46</f>
        <v>0</v>
      </c>
      <c r="I138" s="33">
        <f>HARF!CF46</f>
        <v>-90124.913314798803</v>
      </c>
      <c r="J138" s="33">
        <f>HARF!CG46</f>
        <v>0</v>
      </c>
      <c r="K138" s="33">
        <f>HARF!CH46</f>
        <v>0</v>
      </c>
      <c r="M138" s="28">
        <f>HARF!CJ46</f>
        <v>0.94868329805051377</v>
      </c>
      <c r="N138" s="28">
        <f>HARF!CK46</f>
        <v>-0.31622776601683794</v>
      </c>
      <c r="O138" s="28">
        <f>HARF!CL46</f>
        <v>0</v>
      </c>
      <c r="P138" s="28">
        <f>HARF!CM46</f>
        <v>0</v>
      </c>
      <c r="Q138" s="28">
        <f>HARF!CN46</f>
        <v>0</v>
      </c>
      <c r="R138" s="28">
        <f>HARF!CO46</f>
        <v>0</v>
      </c>
      <c r="T138" s="28">
        <f t="shared" ref="T138:T143" si="22">F60</f>
        <v>8.4866679099345255E-2</v>
      </c>
      <c r="U138" s="34">
        <f>HARF!BM47</f>
        <v>4</v>
      </c>
    </row>
    <row r="139" spans="1:21">
      <c r="D139" t="s">
        <v>84</v>
      </c>
      <c r="F139" s="33">
        <f>HARF!CC47</f>
        <v>0</v>
      </c>
      <c r="G139" s="33">
        <f>HARF!CD47</f>
        <v>184.32916481121478</v>
      </c>
      <c r="H139" s="33">
        <f>HARF!CE47</f>
        <v>582.89999999999986</v>
      </c>
      <c r="I139" s="33">
        <f>HARF!CF47</f>
        <v>0</v>
      </c>
      <c r="J139" s="33">
        <f>HARF!CG47</f>
        <v>-184.32916481121478</v>
      </c>
      <c r="K139" s="33">
        <f>HARF!CH47</f>
        <v>582.89999999999986</v>
      </c>
      <c r="M139" s="28">
        <f>HARF!CJ47</f>
        <v>0.31622776601683794</v>
      </c>
      <c r="N139" s="28">
        <f>HARF!CK47</f>
        <v>0.94868329805051377</v>
      </c>
      <c r="O139" s="28">
        <f>HARF!CL47</f>
        <v>0</v>
      </c>
      <c r="P139" s="28">
        <f>HARF!CM47</f>
        <v>0</v>
      </c>
      <c r="Q139" s="28">
        <f>HARF!CN47</f>
        <v>0</v>
      </c>
      <c r="R139" s="28">
        <f>HARF!CO47</f>
        <v>0</v>
      </c>
      <c r="T139" s="28">
        <f t="shared" si="22"/>
        <v>-1.0737938316296436E-15</v>
      </c>
      <c r="U139" s="34">
        <f>HARF!BM48</f>
        <v>5</v>
      </c>
    </row>
    <row r="140" spans="1:21">
      <c r="D140" t="s">
        <v>85</v>
      </c>
      <c r="E140" t="s">
        <v>56</v>
      </c>
      <c r="F140" s="33">
        <f>HARF!CC48</f>
        <v>0</v>
      </c>
      <c r="G140" s="33">
        <f>HARF!CD48</f>
        <v>582.89999999999986</v>
      </c>
      <c r="H140" s="33">
        <f>HARF!CE48</f>
        <v>2457.722197482864</v>
      </c>
      <c r="I140" s="33">
        <f>HARF!CF48</f>
        <v>0</v>
      </c>
      <c r="J140" s="33">
        <f>HARF!CG48</f>
        <v>-582.89999999999986</v>
      </c>
      <c r="K140" s="33">
        <f>HARF!CH48</f>
        <v>1228.861098741432</v>
      </c>
      <c r="M140" s="28">
        <f>HARF!CJ48</f>
        <v>0</v>
      </c>
      <c r="N140" s="28">
        <f>HARF!CK48</f>
        <v>0</v>
      </c>
      <c r="O140" s="28">
        <f>HARF!CL48</f>
        <v>1</v>
      </c>
      <c r="P140" s="28">
        <f>HARF!CM48</f>
        <v>0</v>
      </c>
      <c r="Q140" s="28">
        <f>HARF!CN48</f>
        <v>0</v>
      </c>
      <c r="R140" s="28">
        <f>HARF!CO48</f>
        <v>0</v>
      </c>
      <c r="T140" s="28">
        <f t="shared" si="22"/>
        <v>4.0684780271995147E-3</v>
      </c>
      <c r="U140" s="34">
        <f>HARF!BM49</f>
        <v>6</v>
      </c>
    </row>
    <row r="141" spans="1:21">
      <c r="D141" t="s">
        <v>86</v>
      </c>
      <c r="F141" s="33">
        <f>HARF!CC49</f>
        <v>-90124.913314798803</v>
      </c>
      <c r="G141" s="33">
        <f>HARF!CD49</f>
        <v>0</v>
      </c>
      <c r="H141" s="33">
        <f>HARF!CE49</f>
        <v>0</v>
      </c>
      <c r="I141" s="33">
        <f>HARF!CF49</f>
        <v>90124.913314798803</v>
      </c>
      <c r="J141" s="33">
        <f>HARF!CG49</f>
        <v>0</v>
      </c>
      <c r="K141" s="33">
        <f>HARF!CH49</f>
        <v>0</v>
      </c>
      <c r="M141" s="28">
        <f>HARF!CJ49</f>
        <v>0</v>
      </c>
      <c r="N141" s="28">
        <f>HARF!CK49</f>
        <v>0</v>
      </c>
      <c r="O141" s="28">
        <f>HARF!CL49</f>
        <v>0</v>
      </c>
      <c r="P141" s="28">
        <f>HARF!CM49</f>
        <v>0.94868329805051377</v>
      </c>
      <c r="Q141" s="28">
        <f>HARF!CN49</f>
        <v>-0.31622776601683794</v>
      </c>
      <c r="R141" s="28">
        <f>HARF!CO49</f>
        <v>0</v>
      </c>
      <c r="T141" s="28">
        <f t="shared" si="22"/>
        <v>8.4814441695438877E-2</v>
      </c>
      <c r="U141" s="34">
        <f>HARF!BM50</f>
        <v>7</v>
      </c>
    </row>
    <row r="142" spans="1:21">
      <c r="D142" t="s">
        <v>87</v>
      </c>
      <c r="F142" s="33">
        <f>HARF!CC50</f>
        <v>0</v>
      </c>
      <c r="G142" s="33">
        <f>HARF!CD50</f>
        <v>-184.32916481121478</v>
      </c>
      <c r="H142" s="33">
        <f>HARF!CE50</f>
        <v>-582.89999999999986</v>
      </c>
      <c r="I142" s="33">
        <f>HARF!CF50</f>
        <v>0</v>
      </c>
      <c r="J142" s="33">
        <f>HARF!CG50</f>
        <v>184.32916481121478</v>
      </c>
      <c r="K142" s="33">
        <f>HARF!CH50</f>
        <v>-582.89999999999986</v>
      </c>
      <c r="M142" s="28">
        <f>HARF!CJ50</f>
        <v>0</v>
      </c>
      <c r="N142" s="28">
        <f>HARF!CK50</f>
        <v>0</v>
      </c>
      <c r="O142" s="28">
        <f>HARF!CL50</f>
        <v>0</v>
      </c>
      <c r="P142" s="28">
        <f>HARF!CM50</f>
        <v>0.31622776601683794</v>
      </c>
      <c r="Q142" s="28">
        <f>HARF!CN50</f>
        <v>0.94868329805051377</v>
      </c>
      <c r="R142" s="28">
        <f>HARF!CO50</f>
        <v>0</v>
      </c>
      <c r="T142" s="28">
        <f t="shared" si="22"/>
        <v>-4.5692817707463382E-5</v>
      </c>
      <c r="U142" s="34">
        <f>HARF!BM51</f>
        <v>8</v>
      </c>
    </row>
    <row r="143" spans="1:21">
      <c r="D143" t="s">
        <v>88</v>
      </c>
      <c r="F143" s="33">
        <f>HARF!CC51</f>
        <v>0</v>
      </c>
      <c r="G143" s="33">
        <f>HARF!CD51</f>
        <v>582.89999999999986</v>
      </c>
      <c r="H143" s="33">
        <f>HARF!CE51</f>
        <v>1228.861098741432</v>
      </c>
      <c r="I143" s="33">
        <f>HARF!CF51</f>
        <v>0</v>
      </c>
      <c r="J143" s="33">
        <f>HARF!CG51</f>
        <v>-582.89999999999986</v>
      </c>
      <c r="K143" s="33">
        <f>HARF!CH51</f>
        <v>2457.722197482864</v>
      </c>
      <c r="M143" s="28">
        <f>HARF!CJ51</f>
        <v>0</v>
      </c>
      <c r="N143" s="28">
        <f>HARF!CK51</f>
        <v>0</v>
      </c>
      <c r="O143" s="28">
        <f>HARF!CL51</f>
        <v>0</v>
      </c>
      <c r="P143" s="28">
        <f>HARF!CM51</f>
        <v>0</v>
      </c>
      <c r="Q143" s="28">
        <f>HARF!CN51</f>
        <v>0</v>
      </c>
      <c r="R143" s="28">
        <f>HARF!CO51</f>
        <v>1</v>
      </c>
      <c r="T143" s="28">
        <f t="shared" si="22"/>
        <v>-8.1653534329532759E-3</v>
      </c>
      <c r="U143" s="34">
        <f>HARF!BM52</f>
        <v>9</v>
      </c>
    </row>
    <row r="146" spans="4:13">
      <c r="D146" t="s">
        <v>83</v>
      </c>
      <c r="F146" s="28">
        <f t="array" ref="F146:K151">MMULT(F138:K143,M138:R143)</f>
        <v>85499.999999999985</v>
      </c>
      <c r="G146" s="28">
        <v>-28500</v>
      </c>
      <c r="H146" s="28">
        <v>0</v>
      </c>
      <c r="I146" s="28">
        <v>-85499.999999999985</v>
      </c>
      <c r="J146" s="28">
        <v>28500</v>
      </c>
      <c r="K146" s="28">
        <v>0</v>
      </c>
      <c r="M146" s="28">
        <f t="shared" ref="M146:M151" si="23">T138</f>
        <v>8.4866679099345255E-2</v>
      </c>
    </row>
    <row r="147" spans="4:13">
      <c r="D147" t="s">
        <v>84</v>
      </c>
      <c r="F147" s="28">
        <v>58.289999999999985</v>
      </c>
      <c r="G147" s="28">
        <v>174.86999999999995</v>
      </c>
      <c r="H147" s="28">
        <v>582.89999999999986</v>
      </c>
      <c r="I147" s="28">
        <v>-58.289999999999985</v>
      </c>
      <c r="J147" s="28">
        <v>-174.86999999999995</v>
      </c>
      <c r="K147" s="28">
        <v>582.89999999999986</v>
      </c>
      <c r="M147" s="28">
        <f t="shared" si="23"/>
        <v>-1.0737938316296436E-15</v>
      </c>
    </row>
    <row r="148" spans="4:13">
      <c r="D148" t="s">
        <v>85</v>
      </c>
      <c r="E148" t="s">
        <v>56</v>
      </c>
      <c r="F148" s="28">
        <v>184.32916481121478</v>
      </c>
      <c r="G148" s="28">
        <v>552.98749443364431</v>
      </c>
      <c r="H148" s="28">
        <v>2457.722197482864</v>
      </c>
      <c r="I148" s="28">
        <v>-184.32916481121478</v>
      </c>
      <c r="J148" s="28">
        <v>-552.98749443364431</v>
      </c>
      <c r="K148" s="28">
        <v>1228.861098741432</v>
      </c>
      <c r="M148" s="28">
        <f t="shared" si="23"/>
        <v>4.0684780271995147E-3</v>
      </c>
    </row>
    <row r="149" spans="4:13">
      <c r="D149" t="s">
        <v>86</v>
      </c>
      <c r="F149" s="28">
        <v>-85499.999999999985</v>
      </c>
      <c r="G149" s="28">
        <v>28500</v>
      </c>
      <c r="H149" s="28">
        <v>0</v>
      </c>
      <c r="I149" s="28">
        <v>85499.999999999985</v>
      </c>
      <c r="J149" s="28">
        <v>-28500</v>
      </c>
      <c r="K149" s="28">
        <v>0</v>
      </c>
      <c r="M149" s="28">
        <f t="shared" si="23"/>
        <v>8.4814441695438877E-2</v>
      </c>
    </row>
    <row r="150" spans="4:13">
      <c r="D150" t="s">
        <v>87</v>
      </c>
      <c r="F150" s="28">
        <v>-58.289999999999985</v>
      </c>
      <c r="G150" s="28">
        <v>-174.86999999999995</v>
      </c>
      <c r="H150" s="28">
        <v>-582.89999999999986</v>
      </c>
      <c r="I150" s="28">
        <v>58.289999999999985</v>
      </c>
      <c r="J150" s="28">
        <v>174.86999999999995</v>
      </c>
      <c r="K150" s="28">
        <v>-582.89999999999986</v>
      </c>
      <c r="M150" s="28">
        <f t="shared" si="23"/>
        <v>-4.5692817707463382E-5</v>
      </c>
    </row>
    <row r="151" spans="4:13">
      <c r="D151" t="s">
        <v>88</v>
      </c>
      <c r="F151" s="28">
        <v>184.32916481121478</v>
      </c>
      <c r="G151" s="28">
        <v>552.98749443364431</v>
      </c>
      <c r="H151" s="28">
        <v>1228.861098741432</v>
      </c>
      <c r="I151" s="28">
        <v>-184.32916481121478</v>
      </c>
      <c r="J151" s="28">
        <v>-552.98749443364431</v>
      </c>
      <c r="K151" s="28">
        <v>2457.722197482864</v>
      </c>
      <c r="M151" s="28">
        <f t="shared" si="23"/>
        <v>-8.1653534329532759E-3</v>
      </c>
    </row>
    <row r="154" spans="4:13">
      <c r="D154" t="s">
        <v>83</v>
      </c>
      <c r="F154">
        <f t="array" ref="F154:F159">MMULT(F146:K151,M146:M151)</f>
        <v>3.1640527293635881</v>
      </c>
      <c r="H154" s="27"/>
      <c r="I154" s="27" t="s">
        <v>90</v>
      </c>
      <c r="J154" s="27" t="s">
        <v>92</v>
      </c>
      <c r="K154" s="27" t="s">
        <v>94</v>
      </c>
    </row>
    <row r="155" spans="4:13">
      <c r="D155" t="s">
        <v>84</v>
      </c>
      <c r="F155">
        <v>-2.3770334527078476</v>
      </c>
      <c r="H155" s="27" t="s">
        <v>91</v>
      </c>
      <c r="I155" s="27" t="s">
        <v>89</v>
      </c>
      <c r="J155" s="27" t="s">
        <v>93</v>
      </c>
      <c r="K155" s="27" t="s">
        <v>95</v>
      </c>
    </row>
    <row r="156" spans="4:13">
      <c r="D156" t="s">
        <v>85</v>
      </c>
      <c r="E156" t="s">
        <v>56</v>
      </c>
      <c r="F156">
        <v>-5.0803805606847163E-13</v>
      </c>
      <c r="H156" s="27">
        <v>0</v>
      </c>
      <c r="I156" s="40">
        <f>F157</f>
        <v>-3.1640527293635881</v>
      </c>
      <c r="J156" s="40">
        <f>F155</f>
        <v>-2.3770334527078476</v>
      </c>
      <c r="K156" s="40">
        <f>-F156</f>
        <v>5.0803805606847163E-13</v>
      </c>
    </row>
    <row r="157" spans="4:13">
      <c r="D157" t="s">
        <v>86</v>
      </c>
      <c r="F157">
        <v>-3.1640527293635881</v>
      </c>
      <c r="H157" s="27">
        <f>H132</f>
        <v>6.324555320336759</v>
      </c>
      <c r="I157" s="40">
        <f>I156</f>
        <v>-3.1640527293635881</v>
      </c>
      <c r="J157" s="40">
        <f>J156</f>
        <v>-2.3770334527078476</v>
      </c>
      <c r="K157" s="40">
        <f>F159</f>
        <v>-15.033679569941363</v>
      </c>
    </row>
    <row r="158" spans="4:13">
      <c r="D158" t="s">
        <v>87</v>
      </c>
      <c r="F158">
        <v>2.3770334527078476</v>
      </c>
    </row>
    <row r="159" spans="4:13">
      <c r="D159" t="s">
        <v>88</v>
      </c>
      <c r="F159">
        <v>-15.033679569941363</v>
      </c>
    </row>
    <row r="163" spans="1:21" ht="12.75">
      <c r="A163" s="47" t="s">
        <v>98</v>
      </c>
      <c r="D163" t="s">
        <v>83</v>
      </c>
      <c r="F163" s="33">
        <f>HARF!CC55</f>
        <v>71250</v>
      </c>
      <c r="G163" s="33">
        <f>HARF!CD55</f>
        <v>0</v>
      </c>
      <c r="H163" s="33">
        <f>HARF!CE55</f>
        <v>0</v>
      </c>
      <c r="I163" s="33">
        <f>HARF!CF55</f>
        <v>-71250</v>
      </c>
      <c r="J163" s="33">
        <f>HARF!CG55</f>
        <v>0</v>
      </c>
      <c r="K163" s="33">
        <f>HARF!CH55</f>
        <v>0</v>
      </c>
      <c r="M163" s="28">
        <f>HARF!CJ55</f>
        <v>0</v>
      </c>
      <c r="N163" s="28">
        <f>HARF!CK55</f>
        <v>-1</v>
      </c>
      <c r="O163" s="28">
        <f>HARF!CL55</f>
        <v>0</v>
      </c>
      <c r="P163" s="28">
        <f>HARF!CM55</f>
        <v>0</v>
      </c>
      <c r="Q163" s="28">
        <f>HARF!CN55</f>
        <v>0</v>
      </c>
      <c r="R163" s="28">
        <f>HARF!CO55</f>
        <v>0</v>
      </c>
      <c r="T163" s="28">
        <f>F63</f>
        <v>8.4814441695438877E-2</v>
      </c>
      <c r="U163" s="34">
        <f>HARF!BM56</f>
        <v>7</v>
      </c>
    </row>
    <row r="164" spans="1:21">
      <c r="D164" t="s">
        <v>84</v>
      </c>
      <c r="F164" s="33">
        <f>HARF!CC56</f>
        <v>0</v>
      </c>
      <c r="G164" s="33">
        <f>HARF!CD56</f>
        <v>91.078125</v>
      </c>
      <c r="H164" s="33">
        <f>HARF!CE56</f>
        <v>364.3125</v>
      </c>
      <c r="I164" s="33">
        <f>HARF!CF56</f>
        <v>0</v>
      </c>
      <c r="J164" s="33">
        <f>HARF!CG56</f>
        <v>-91.078125</v>
      </c>
      <c r="K164" s="33">
        <f>HARF!CH56</f>
        <v>364.3125</v>
      </c>
      <c r="M164" s="28">
        <f>HARF!CJ56</f>
        <v>1</v>
      </c>
      <c r="N164" s="28">
        <f>HARF!CK56</f>
        <v>0</v>
      </c>
      <c r="O164" s="28">
        <f>HARF!CL56</f>
        <v>0</v>
      </c>
      <c r="P164" s="28">
        <f>HARF!CM56</f>
        <v>0</v>
      </c>
      <c r="Q164" s="28">
        <f>HARF!CN56</f>
        <v>0</v>
      </c>
      <c r="R164" s="28">
        <f>HARF!CO56</f>
        <v>0</v>
      </c>
      <c r="T164" s="28">
        <f>F64</f>
        <v>-4.5692817707463382E-5</v>
      </c>
      <c r="U164" s="34">
        <f>HARF!BM57</f>
        <v>8</v>
      </c>
    </row>
    <row r="165" spans="1:21">
      <c r="D165" t="s">
        <v>85</v>
      </c>
      <c r="E165" t="s">
        <v>56</v>
      </c>
      <c r="F165" s="33">
        <f>HARF!CC57</f>
        <v>0</v>
      </c>
      <c r="G165" s="33">
        <f>HARF!CD57</f>
        <v>364.3125</v>
      </c>
      <c r="H165" s="33">
        <f>HARF!CE57</f>
        <v>1942.9999999999998</v>
      </c>
      <c r="I165" s="33">
        <f>HARF!CF57</f>
        <v>0</v>
      </c>
      <c r="J165" s="33">
        <f>HARF!CG57</f>
        <v>-364.3125</v>
      </c>
      <c r="K165" s="33">
        <f>HARF!CH57</f>
        <v>971.49999999999989</v>
      </c>
      <c r="M165" s="28">
        <f>HARF!CJ57</f>
        <v>0</v>
      </c>
      <c r="N165" s="28">
        <f>HARF!CK57</f>
        <v>0</v>
      </c>
      <c r="O165" s="28">
        <f>HARF!CL57</f>
        <v>1</v>
      </c>
      <c r="P165" s="28">
        <f>HARF!CM57</f>
        <v>0</v>
      </c>
      <c r="Q165" s="28">
        <f>HARF!CN57</f>
        <v>0</v>
      </c>
      <c r="R165" s="28">
        <f>HARF!CO57</f>
        <v>0</v>
      </c>
      <c r="T165" s="28">
        <f>F65</f>
        <v>-8.1653534329532759E-3</v>
      </c>
      <c r="U165" s="34">
        <f>HARF!BM58</f>
        <v>9</v>
      </c>
    </row>
    <row r="166" spans="1:21">
      <c r="D166" t="s">
        <v>86</v>
      </c>
      <c r="F166" s="33">
        <f>HARF!CC58</f>
        <v>-71250</v>
      </c>
      <c r="G166" s="33">
        <f>HARF!CD58</f>
        <v>0</v>
      </c>
      <c r="H166" s="33">
        <f>HARF!CE58</f>
        <v>0</v>
      </c>
      <c r="I166" s="33">
        <f>HARF!CF58</f>
        <v>71250</v>
      </c>
      <c r="J166" s="33">
        <f>HARF!CG58</f>
        <v>0</v>
      </c>
      <c r="K166" s="33">
        <f>HARF!CH58</f>
        <v>0</v>
      </c>
      <c r="M166" s="28">
        <f>HARF!CJ58</f>
        <v>0</v>
      </c>
      <c r="N166" s="28">
        <f>HARF!CK58</f>
        <v>0</v>
      </c>
      <c r="O166" s="28">
        <f>HARF!CL58</f>
        <v>0</v>
      </c>
      <c r="P166" s="28">
        <f>HARF!CM58</f>
        <v>0</v>
      </c>
      <c r="Q166" s="28">
        <f>HARF!CN58</f>
        <v>-1</v>
      </c>
      <c r="R166" s="28">
        <f>HARF!CO58</f>
        <v>0</v>
      </c>
      <c r="T166" s="28">
        <v>0</v>
      </c>
      <c r="U166" s="34">
        <f>HARF!BM59</f>
        <v>13</v>
      </c>
    </row>
    <row r="167" spans="1:21">
      <c r="D167" t="s">
        <v>87</v>
      </c>
      <c r="F167" s="33">
        <f>HARF!CC59</f>
        <v>0</v>
      </c>
      <c r="G167" s="33">
        <f>HARF!CD59</f>
        <v>-91.078125</v>
      </c>
      <c r="H167" s="33">
        <f>HARF!CE59</f>
        <v>-364.3125</v>
      </c>
      <c r="I167" s="33">
        <f>HARF!CF59</f>
        <v>0</v>
      </c>
      <c r="J167" s="33">
        <f>HARF!CG59</f>
        <v>91.078125</v>
      </c>
      <c r="K167" s="33">
        <f>HARF!CH59</f>
        <v>-364.3125</v>
      </c>
      <c r="M167" s="28">
        <f>HARF!CJ59</f>
        <v>0</v>
      </c>
      <c r="N167" s="28">
        <f>HARF!CK59</f>
        <v>0</v>
      </c>
      <c r="O167" s="28">
        <f>HARF!CL59</f>
        <v>0</v>
      </c>
      <c r="P167" s="28">
        <f>HARF!CM59</f>
        <v>1</v>
      </c>
      <c r="Q167" s="28">
        <f>HARF!CN59</f>
        <v>0</v>
      </c>
      <c r="R167" s="28">
        <f>HARF!CO59</f>
        <v>0</v>
      </c>
      <c r="T167" s="28">
        <v>0</v>
      </c>
      <c r="U167" s="34">
        <f>HARF!BM60</f>
        <v>14</v>
      </c>
    </row>
    <row r="168" spans="1:21">
      <c r="D168" t="s">
        <v>88</v>
      </c>
      <c r="F168" s="33">
        <f>HARF!CC60</f>
        <v>0</v>
      </c>
      <c r="G168" s="33">
        <f>HARF!CD60</f>
        <v>364.3125</v>
      </c>
      <c r="H168" s="33">
        <f>HARF!CE60</f>
        <v>971.49999999999989</v>
      </c>
      <c r="I168" s="33">
        <f>HARF!CF60</f>
        <v>0</v>
      </c>
      <c r="J168" s="33">
        <f>HARF!CG60</f>
        <v>-364.3125</v>
      </c>
      <c r="K168" s="33">
        <f>HARF!CH60</f>
        <v>1942.9999999999998</v>
      </c>
      <c r="M168" s="28">
        <f>HARF!CJ60</f>
        <v>0</v>
      </c>
      <c r="N168" s="28">
        <f>HARF!CK60</f>
        <v>0</v>
      </c>
      <c r="O168" s="28">
        <f>HARF!CL60</f>
        <v>0</v>
      </c>
      <c r="P168" s="28">
        <f>HARF!CM60</f>
        <v>0</v>
      </c>
      <c r="Q168" s="28">
        <f>HARF!CN60</f>
        <v>0</v>
      </c>
      <c r="R168" s="28">
        <f>HARF!CO60</f>
        <v>1</v>
      </c>
      <c r="T168" s="28">
        <v>0</v>
      </c>
      <c r="U168" s="34">
        <f>HARF!BM61</f>
        <v>15</v>
      </c>
    </row>
    <row r="171" spans="1:21">
      <c r="D171" t="s">
        <v>83</v>
      </c>
      <c r="F171" s="28">
        <f t="array" ref="F171:K176">MMULT(F163:K168,M163:R168)</f>
        <v>0</v>
      </c>
      <c r="G171" s="28">
        <v>-71250</v>
      </c>
      <c r="H171" s="28">
        <v>0</v>
      </c>
      <c r="I171" s="28">
        <v>0</v>
      </c>
      <c r="J171" s="28">
        <v>71250</v>
      </c>
      <c r="K171" s="28">
        <v>0</v>
      </c>
      <c r="M171" s="28">
        <f t="shared" ref="M171:M176" si="24">T163</f>
        <v>8.4814441695438877E-2</v>
      </c>
    </row>
    <row r="172" spans="1:21">
      <c r="D172" t="s">
        <v>84</v>
      </c>
      <c r="F172" s="28">
        <v>91.078125</v>
      </c>
      <c r="G172" s="28">
        <v>0</v>
      </c>
      <c r="H172" s="28">
        <v>364.3125</v>
      </c>
      <c r="I172" s="28">
        <v>-91.078125</v>
      </c>
      <c r="J172" s="28">
        <v>0</v>
      </c>
      <c r="K172" s="28">
        <v>364.3125</v>
      </c>
      <c r="M172" s="28">
        <f t="shared" si="24"/>
        <v>-4.5692817707463382E-5</v>
      </c>
    </row>
    <row r="173" spans="1:21">
      <c r="D173" t="s">
        <v>85</v>
      </c>
      <c r="E173" t="s">
        <v>56</v>
      </c>
      <c r="F173" s="28">
        <v>364.3125</v>
      </c>
      <c r="G173" s="28">
        <v>0</v>
      </c>
      <c r="H173" s="28">
        <v>1942.9999999999998</v>
      </c>
      <c r="I173" s="28">
        <v>-364.3125</v>
      </c>
      <c r="J173" s="28">
        <v>0</v>
      </c>
      <c r="K173" s="28">
        <v>971.49999999999989</v>
      </c>
      <c r="M173" s="28">
        <f t="shared" si="24"/>
        <v>-8.1653534329532759E-3</v>
      </c>
    </row>
    <row r="174" spans="1:21">
      <c r="D174" t="s">
        <v>86</v>
      </c>
      <c r="F174" s="28">
        <v>0</v>
      </c>
      <c r="G174" s="28">
        <v>71250</v>
      </c>
      <c r="H174" s="28">
        <v>0</v>
      </c>
      <c r="I174" s="28">
        <v>0</v>
      </c>
      <c r="J174" s="28">
        <v>-71250</v>
      </c>
      <c r="K174" s="28">
        <v>0</v>
      </c>
      <c r="M174" s="28">
        <f t="shared" si="24"/>
        <v>0</v>
      </c>
    </row>
    <row r="175" spans="1:21">
      <c r="D175" t="s">
        <v>87</v>
      </c>
      <c r="F175" s="28">
        <v>-91.078125</v>
      </c>
      <c r="G175" s="28">
        <v>0</v>
      </c>
      <c r="H175" s="28">
        <v>-364.3125</v>
      </c>
      <c r="I175" s="28">
        <v>91.078125</v>
      </c>
      <c r="J175" s="28">
        <v>0</v>
      </c>
      <c r="K175" s="28">
        <v>-364.3125</v>
      </c>
      <c r="M175" s="28">
        <f t="shared" si="24"/>
        <v>0</v>
      </c>
    </row>
    <row r="176" spans="1:21">
      <c r="D176" t="s">
        <v>88</v>
      </c>
      <c r="F176" s="28">
        <v>364.3125</v>
      </c>
      <c r="G176" s="28">
        <v>0</v>
      </c>
      <c r="H176" s="28">
        <v>971.49999999999989</v>
      </c>
      <c r="I176" s="28">
        <v>-364.3125</v>
      </c>
      <c r="J176" s="28">
        <v>0</v>
      </c>
      <c r="K176" s="28">
        <v>1942.9999999999998</v>
      </c>
      <c r="M176" s="28">
        <f t="shared" si="24"/>
        <v>0</v>
      </c>
    </row>
    <row r="179" spans="4:11">
      <c r="D179" t="s">
        <v>83</v>
      </c>
      <c r="F179">
        <f t="array" ref="F179:F184">MMULT(F171:K176,M171:M176)</f>
        <v>3.2556132616567659</v>
      </c>
      <c r="H179" s="27"/>
      <c r="I179" s="27" t="s">
        <v>90</v>
      </c>
      <c r="J179" s="27" t="s">
        <v>92</v>
      </c>
      <c r="K179" s="27" t="s">
        <v>94</v>
      </c>
    </row>
    <row r="180" spans="4:11">
      <c r="D180" t="s">
        <v>84</v>
      </c>
      <c r="F180">
        <v>4.7499999999996039</v>
      </c>
      <c r="H180" s="27" t="s">
        <v>91</v>
      </c>
      <c r="I180" s="27" t="s">
        <v>89</v>
      </c>
      <c r="J180" s="27" t="s">
        <v>93</v>
      </c>
      <c r="K180" s="27" t="s">
        <v>95</v>
      </c>
    </row>
    <row r="181" spans="4:11">
      <c r="D181" t="s">
        <v>85</v>
      </c>
      <c r="E181" t="s">
        <v>56</v>
      </c>
      <c r="F181">
        <v>15.033679569941365</v>
      </c>
      <c r="H181" s="27">
        <v>0</v>
      </c>
      <c r="I181" s="40">
        <f>F182</f>
        <v>-3.2556132616567659</v>
      </c>
      <c r="J181" s="40">
        <f>F180</f>
        <v>4.7499999999996039</v>
      </c>
      <c r="K181" s="40">
        <f>-F181</f>
        <v>-15.033679569941365</v>
      </c>
    </row>
    <row r="182" spans="4:11">
      <c r="D182" t="s">
        <v>86</v>
      </c>
      <c r="F182">
        <v>-3.2556132616567659</v>
      </c>
      <c r="H182" s="27">
        <f>HARF!BJ59</f>
        <v>8</v>
      </c>
      <c r="I182" s="40">
        <f>I181</f>
        <v>-3.2556132616567659</v>
      </c>
      <c r="J182" s="40">
        <f>J181</f>
        <v>4.7499999999996039</v>
      </c>
      <c r="K182" s="40">
        <f>F184</f>
        <v>22.966320430055472</v>
      </c>
    </row>
    <row r="183" spans="4:11">
      <c r="D183" t="s">
        <v>87</v>
      </c>
      <c r="F183">
        <v>-4.7499999999996039</v>
      </c>
    </row>
    <row r="184" spans="4:11">
      <c r="D184" t="s">
        <v>88</v>
      </c>
      <c r="F184">
        <v>22.966320430055472</v>
      </c>
    </row>
  </sheetData>
  <mergeCells count="1">
    <mergeCell ref="B4:H6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V235"/>
  <sheetViews>
    <sheetView topLeftCell="A203" zoomScale="90" zoomScaleNormal="90" workbookViewId="0">
      <selection activeCell="O206" sqref="O206"/>
    </sheetView>
  </sheetViews>
  <sheetFormatPr defaultRowHeight="11.25"/>
  <cols>
    <col min="6" max="6" width="10.1640625" bestFit="1" customWidth="1"/>
    <col min="7" max="7" width="13.33203125" bestFit="1" customWidth="1"/>
    <col min="8" max="8" width="12.5" bestFit="1" customWidth="1"/>
    <col min="9" max="11" width="16.1640625" customWidth="1"/>
    <col min="12" max="14" width="13.1640625" bestFit="1" customWidth="1"/>
  </cols>
  <sheetData>
    <row r="4" spans="2:22">
      <c r="B4" s="78" t="s">
        <v>63</v>
      </c>
      <c r="C4" s="78"/>
      <c r="D4" s="78"/>
      <c r="E4" s="78"/>
      <c r="F4" s="78"/>
      <c r="G4" s="78"/>
      <c r="H4" s="78"/>
    </row>
    <row r="5" spans="2:22">
      <c r="B5" s="78"/>
      <c r="C5" s="78"/>
      <c r="D5" s="78"/>
      <c r="E5" s="78"/>
      <c r="F5" s="78"/>
      <c r="G5" s="78"/>
      <c r="H5" s="78"/>
    </row>
    <row r="6" spans="2:22">
      <c r="B6" s="78"/>
      <c r="C6" s="78"/>
      <c r="D6" s="78"/>
      <c r="E6" s="78"/>
      <c r="F6" s="78"/>
      <c r="G6" s="78"/>
      <c r="H6" s="78"/>
    </row>
    <row r="12" spans="2:22">
      <c r="F12" s="26">
        <f>HARF!DS36</f>
        <v>1</v>
      </c>
      <c r="G12" s="26">
        <f>HARF!DT36</f>
        <v>2</v>
      </c>
      <c r="H12" s="26">
        <f>HARF!DU36</f>
        <v>3</v>
      </c>
      <c r="I12" s="26">
        <f>HARF!DV36</f>
        <v>4</v>
      </c>
      <c r="J12" s="26">
        <f>HARF!DW36</f>
        <v>5</v>
      </c>
      <c r="K12" s="26">
        <f>HARF!DX36</f>
        <v>6</v>
      </c>
      <c r="L12" s="26">
        <f>HARF!DY36</f>
        <v>7</v>
      </c>
      <c r="M12" s="26">
        <f>HARF!DZ36</f>
        <v>8</v>
      </c>
      <c r="N12" s="26">
        <f>HARF!EA36</f>
        <v>9</v>
      </c>
      <c r="O12" s="26">
        <f>HARF!EB36</f>
        <v>10</v>
      </c>
      <c r="P12" s="26">
        <f>HARF!EC36</f>
        <v>11</v>
      </c>
      <c r="Q12" s="26">
        <f>HARF!ED36</f>
        <v>12</v>
      </c>
      <c r="R12" s="26">
        <f>HARF!EE36</f>
        <v>13</v>
      </c>
      <c r="S12" s="26">
        <f>HARF!EF36</f>
        <v>14</v>
      </c>
      <c r="T12" s="26">
        <f>HARF!EG36</f>
        <v>15</v>
      </c>
    </row>
    <row r="13" spans="2:22">
      <c r="C13" s="26">
        <v>1</v>
      </c>
      <c r="D13">
        <v>0</v>
      </c>
      <c r="F13" s="32">
        <f>HARF!DS37</f>
        <v>81221.933024800033</v>
      </c>
      <c r="G13" s="32">
        <f>HARF!DT37</f>
        <v>26982.175244996273</v>
      </c>
      <c r="H13" s="32">
        <f>HARF!DU37</f>
        <v>179.98333518878522</v>
      </c>
      <c r="I13" s="32">
        <f>HARF!DV37</f>
        <v>-81130.854899800033</v>
      </c>
      <c r="J13" s="32">
        <f>HARF!DW37</f>
        <v>-26982.175244996273</v>
      </c>
      <c r="K13" s="32">
        <f>HARF!DX37</f>
        <v>-184.32916481121478</v>
      </c>
      <c r="L13" s="32">
        <f>HARF!DY37</f>
        <v>0</v>
      </c>
      <c r="M13" s="32">
        <f>HARF!DZ37</f>
        <v>0</v>
      </c>
      <c r="N13" s="35">
        <f>HARF!EA37</f>
        <v>0</v>
      </c>
      <c r="O13" s="32">
        <f>HARF!EB37</f>
        <v>-91.078125</v>
      </c>
      <c r="P13" s="32">
        <f>HARF!EC37</f>
        <v>0</v>
      </c>
      <c r="Q13" s="32">
        <f>HARF!ED37</f>
        <v>364.3125</v>
      </c>
      <c r="R13" s="32">
        <f>HARF!EE37</f>
        <v>0</v>
      </c>
      <c r="S13" s="32">
        <f>HARF!EF37</f>
        <v>0</v>
      </c>
      <c r="T13" s="32">
        <f>HARF!EG37</f>
        <v>0</v>
      </c>
      <c r="U13" s="26">
        <f>HARF!EH37</f>
        <v>1</v>
      </c>
      <c r="V13" s="27" t="s">
        <v>70</v>
      </c>
    </row>
    <row r="14" spans="2:22">
      <c r="C14" s="26">
        <v>2</v>
      </c>
      <c r="D14">
        <f>-1*HARF!BJ20*HARF!BJ41/2</f>
        <v>-31.622776601683796</v>
      </c>
      <c r="F14" s="32">
        <f>HARF!DS38</f>
        <v>26982.175244996273</v>
      </c>
      <c r="G14" s="32">
        <f>HARF!DT38</f>
        <v>80428.387579809976</v>
      </c>
      <c r="H14" s="32">
        <f>HARF!DU38</f>
        <v>552.98749443364431</v>
      </c>
      <c r="I14" s="32">
        <f>HARF!DV38</f>
        <v>-26982.175244996277</v>
      </c>
      <c r="J14" s="32">
        <f>HARF!DW38</f>
        <v>-9178.3875798099743</v>
      </c>
      <c r="K14" s="32">
        <f>HARF!DX38</f>
        <v>552.98749443364431</v>
      </c>
      <c r="L14" s="32">
        <f>HARF!DY38</f>
        <v>0</v>
      </c>
      <c r="M14" s="32">
        <f>HARF!DZ38</f>
        <v>0</v>
      </c>
      <c r="N14" s="35">
        <f>HARF!EA38</f>
        <v>0</v>
      </c>
      <c r="O14" s="32">
        <f>HARF!EB38</f>
        <v>0</v>
      </c>
      <c r="P14" s="32">
        <f>HARF!EC38</f>
        <v>-71250</v>
      </c>
      <c r="Q14" s="32">
        <f>HARF!ED38</f>
        <v>0</v>
      </c>
      <c r="R14" s="32">
        <f>HARF!EE38</f>
        <v>0</v>
      </c>
      <c r="S14" s="32">
        <f>HARF!EF38</f>
        <v>0</v>
      </c>
      <c r="T14" s="32">
        <f>HARF!EG38</f>
        <v>0</v>
      </c>
      <c r="U14" s="26">
        <f>HARF!EH38</f>
        <v>2</v>
      </c>
      <c r="V14" s="27" t="s">
        <v>71</v>
      </c>
    </row>
    <row r="15" spans="2:22">
      <c r="C15" s="26">
        <v>3</v>
      </c>
      <c r="D15">
        <f>-1*HARF!BJ20*HARF!BJ41^2/12</f>
        <v>-33.333333333333336</v>
      </c>
      <c r="F15" s="32">
        <f>HARF!DS39</f>
        <v>179.98333518878522</v>
      </c>
      <c r="G15" s="32">
        <f>HARF!DT39</f>
        <v>552.98749443364431</v>
      </c>
      <c r="H15" s="32">
        <f>HARF!DU39</f>
        <v>4400.7221974828635</v>
      </c>
      <c r="I15" s="32">
        <f>HARF!DV39</f>
        <v>184.32916481121478</v>
      </c>
      <c r="J15" s="32">
        <f>HARF!DW39</f>
        <v>-552.98749443364431</v>
      </c>
      <c r="K15" s="32">
        <f>HARF!DX39</f>
        <v>1228.861098741432</v>
      </c>
      <c r="L15" s="32">
        <f>HARF!DY39</f>
        <v>0</v>
      </c>
      <c r="M15" s="32">
        <f>HARF!DZ39</f>
        <v>0</v>
      </c>
      <c r="N15" s="35">
        <f>HARF!EA39</f>
        <v>0</v>
      </c>
      <c r="O15" s="32">
        <f>HARF!EB39</f>
        <v>-364.3125</v>
      </c>
      <c r="P15" s="32">
        <f>HARF!EC39</f>
        <v>0</v>
      </c>
      <c r="Q15" s="32">
        <f>HARF!ED39</f>
        <v>971.49999999999989</v>
      </c>
      <c r="R15" s="32">
        <f>HARF!EE39</f>
        <v>0</v>
      </c>
      <c r="S15" s="32">
        <f>HARF!EF39</f>
        <v>0</v>
      </c>
      <c r="T15" s="32">
        <f>HARF!EG39</f>
        <v>0</v>
      </c>
      <c r="U15" s="26">
        <f>HARF!EH39</f>
        <v>3</v>
      </c>
      <c r="V15" s="27" t="s">
        <v>72</v>
      </c>
    </row>
    <row r="16" spans="2:22">
      <c r="C16" s="26">
        <v>4</v>
      </c>
      <c r="D16">
        <v>0</v>
      </c>
      <c r="F16" s="32">
        <f>HARF!DS40</f>
        <v>-81130.854899800033</v>
      </c>
      <c r="G16" s="32">
        <f>HARF!DT40</f>
        <v>-26982.175244996277</v>
      </c>
      <c r="H16" s="32">
        <f>HARF!DU40</f>
        <v>184.32916481121478</v>
      </c>
      <c r="I16" s="32">
        <f>HARF!DV40</f>
        <v>162261.70979960007</v>
      </c>
      <c r="J16" s="32">
        <f>HARF!DW40</f>
        <v>0</v>
      </c>
      <c r="K16" s="32">
        <f>HARF!DX40</f>
        <v>368.65832962242956</v>
      </c>
      <c r="L16" s="32">
        <f>HARF!DY40</f>
        <v>-81130.854899800033</v>
      </c>
      <c r="M16" s="32">
        <f>HARF!DZ40</f>
        <v>26982.175244996273</v>
      </c>
      <c r="N16" s="35">
        <f>HARF!EA40</f>
        <v>184.32916481121478</v>
      </c>
      <c r="O16" s="32">
        <f>HARF!EB40</f>
        <v>0</v>
      </c>
      <c r="P16" s="32">
        <f>HARF!EC40</f>
        <v>0</v>
      </c>
      <c r="Q16" s="32">
        <f>HARF!ED40</f>
        <v>0</v>
      </c>
      <c r="R16" s="32">
        <f>HARF!EE40</f>
        <v>0</v>
      </c>
      <c r="S16" s="32">
        <f>HARF!EF40</f>
        <v>0</v>
      </c>
      <c r="T16" s="32">
        <f>HARF!EG40</f>
        <v>0</v>
      </c>
      <c r="U16" s="26">
        <f>HARF!EH40</f>
        <v>4</v>
      </c>
      <c r="V16" s="27" t="s">
        <v>73</v>
      </c>
    </row>
    <row r="17" spans="3:22">
      <c r="C17" s="26">
        <v>5</v>
      </c>
      <c r="D17">
        <f>D14*2</f>
        <v>-63.245553203367592</v>
      </c>
      <c r="F17" s="32">
        <f>HARF!DS41</f>
        <v>-26982.175244996273</v>
      </c>
      <c r="G17" s="32">
        <f>HARF!DT41</f>
        <v>-9178.3875798099743</v>
      </c>
      <c r="H17" s="32">
        <f>HARF!DU41</f>
        <v>-552.98749443364431</v>
      </c>
      <c r="I17" s="32">
        <f>HARF!DV41</f>
        <v>0</v>
      </c>
      <c r="J17" s="32">
        <f>HARF!DW41</f>
        <v>18356.775159619949</v>
      </c>
      <c r="K17" s="32">
        <f>HARF!DX41</f>
        <v>0</v>
      </c>
      <c r="L17" s="32">
        <f>HARF!DY41</f>
        <v>26982.175244996277</v>
      </c>
      <c r="M17" s="32">
        <f>HARF!DZ41</f>
        <v>-9178.3875798099743</v>
      </c>
      <c r="N17" s="35">
        <f>HARF!EA41</f>
        <v>552.98749443364431</v>
      </c>
      <c r="O17" s="32">
        <f>HARF!EB41</f>
        <v>0</v>
      </c>
      <c r="P17" s="32">
        <f>HARF!EC41</f>
        <v>0</v>
      </c>
      <c r="Q17" s="32">
        <f>HARF!ED41</f>
        <v>0</v>
      </c>
      <c r="R17" s="32">
        <f>HARF!EE41</f>
        <v>0</v>
      </c>
      <c r="S17" s="32">
        <f>HARF!EF41</f>
        <v>0</v>
      </c>
      <c r="T17" s="32">
        <f>HARF!EG41</f>
        <v>0</v>
      </c>
      <c r="U17" s="26">
        <f>HARF!EH41</f>
        <v>5</v>
      </c>
      <c r="V17" s="27" t="s">
        <v>74</v>
      </c>
    </row>
    <row r="18" spans="3:22">
      <c r="C18" s="26">
        <v>6</v>
      </c>
      <c r="D18">
        <v>0</v>
      </c>
      <c r="F18" s="32">
        <f>HARF!DS42</f>
        <v>-184.32916481121478</v>
      </c>
      <c r="G18" s="32">
        <f>HARF!DT42</f>
        <v>552.98749443364431</v>
      </c>
      <c r="H18" s="32">
        <f>HARF!DU42</f>
        <v>1228.861098741432</v>
      </c>
      <c r="I18" s="32">
        <f>HARF!DV42</f>
        <v>368.65832962242956</v>
      </c>
      <c r="J18" s="32">
        <f>HARF!DW42</f>
        <v>0</v>
      </c>
      <c r="K18" s="32">
        <f>HARF!DX42</f>
        <v>4915.444394965728</v>
      </c>
      <c r="L18" s="32">
        <f>HARF!DY42</f>
        <v>-184.32916481121478</v>
      </c>
      <c r="M18" s="32">
        <f>HARF!DZ42</f>
        <v>-552.98749443364431</v>
      </c>
      <c r="N18" s="35">
        <f>HARF!EA42</f>
        <v>1228.861098741432</v>
      </c>
      <c r="O18" s="32">
        <f>HARF!EB42</f>
        <v>0</v>
      </c>
      <c r="P18" s="32">
        <f>HARF!EC42</f>
        <v>0</v>
      </c>
      <c r="Q18" s="32">
        <f>HARF!ED42</f>
        <v>0</v>
      </c>
      <c r="R18" s="32">
        <f>HARF!EE42</f>
        <v>0</v>
      </c>
      <c r="S18" s="32">
        <f>HARF!EF42</f>
        <v>0</v>
      </c>
      <c r="T18" s="32">
        <f>HARF!EG42</f>
        <v>0</v>
      </c>
      <c r="U18" s="26">
        <f>HARF!EH42</f>
        <v>6</v>
      </c>
      <c r="V18" s="27" t="s">
        <v>75</v>
      </c>
    </row>
    <row r="19" spans="3:22">
      <c r="C19" s="26">
        <v>7</v>
      </c>
      <c r="D19">
        <v>0</v>
      </c>
      <c r="F19" s="32">
        <f>HARF!DS43</f>
        <v>0</v>
      </c>
      <c r="G19" s="32">
        <f>HARF!DT43</f>
        <v>0</v>
      </c>
      <c r="H19" s="32">
        <f>HARF!DU43</f>
        <v>0</v>
      </c>
      <c r="I19" s="32">
        <f>HARF!DV43</f>
        <v>-81130.854899800033</v>
      </c>
      <c r="J19" s="32">
        <f>HARF!DW43</f>
        <v>26982.175244996277</v>
      </c>
      <c r="K19" s="32">
        <f>HARF!DX43</f>
        <v>-184.32916481121478</v>
      </c>
      <c r="L19" s="32">
        <f>HARF!DY43</f>
        <v>81221.933024800033</v>
      </c>
      <c r="M19" s="32">
        <f>HARF!DZ43</f>
        <v>-26982.175244996273</v>
      </c>
      <c r="N19" s="35">
        <f>HARF!EA43</f>
        <v>179.98333518878522</v>
      </c>
      <c r="O19" s="32">
        <f>HARF!EB43</f>
        <v>0</v>
      </c>
      <c r="P19" s="32">
        <f>HARF!EC43</f>
        <v>0</v>
      </c>
      <c r="Q19" s="32">
        <f>HARF!ED43</f>
        <v>0</v>
      </c>
      <c r="R19" s="32">
        <f>HARF!EE43</f>
        <v>-91.078125</v>
      </c>
      <c r="S19" s="32">
        <f>HARF!EF43</f>
        <v>0</v>
      </c>
      <c r="T19" s="32">
        <f>HARF!EG43</f>
        <v>364.3125</v>
      </c>
      <c r="U19" s="26">
        <f>HARF!EH43</f>
        <v>7</v>
      </c>
      <c r="V19" s="27" t="s">
        <v>76</v>
      </c>
    </row>
    <row r="20" spans="3:22">
      <c r="C20" s="26">
        <v>8</v>
      </c>
      <c r="D20">
        <f>D14</f>
        <v>-31.622776601683796</v>
      </c>
      <c r="E20" s="25" t="s">
        <v>56</v>
      </c>
      <c r="F20" s="32">
        <f>HARF!DS44</f>
        <v>0</v>
      </c>
      <c r="G20" s="32">
        <f>HARF!DT44</f>
        <v>0</v>
      </c>
      <c r="H20" s="32">
        <f>HARF!DU44</f>
        <v>0</v>
      </c>
      <c r="I20" s="32">
        <f>HARF!DV44</f>
        <v>26982.175244996273</v>
      </c>
      <c r="J20" s="32">
        <f>HARF!DW44</f>
        <v>-9178.3875798099743</v>
      </c>
      <c r="K20" s="32">
        <f>HARF!DX44</f>
        <v>-552.98749443364431</v>
      </c>
      <c r="L20" s="32">
        <f>HARF!DY44</f>
        <v>-26982.175244996273</v>
      </c>
      <c r="M20" s="32">
        <f>HARF!DZ44</f>
        <v>80428.387579809976</v>
      </c>
      <c r="N20" s="35">
        <f>HARF!EA44</f>
        <v>-552.98749443364431</v>
      </c>
      <c r="O20" s="32">
        <f>HARF!EB44</f>
        <v>0</v>
      </c>
      <c r="P20" s="32">
        <f>HARF!EC44</f>
        <v>0</v>
      </c>
      <c r="Q20" s="32">
        <f>HARF!ED44</f>
        <v>0</v>
      </c>
      <c r="R20" s="32">
        <f>HARF!EE44</f>
        <v>0</v>
      </c>
      <c r="S20" s="32">
        <f>HARF!EF44</f>
        <v>-71250</v>
      </c>
      <c r="T20" s="32">
        <f>HARF!EG44</f>
        <v>0</v>
      </c>
      <c r="U20" s="26">
        <f>HARF!EH44</f>
        <v>8</v>
      </c>
      <c r="V20" s="27" t="s">
        <v>77</v>
      </c>
    </row>
    <row r="21" spans="3:22" ht="12" thickBot="1">
      <c r="C21" s="26">
        <v>9</v>
      </c>
      <c r="D21" s="29">
        <f>-1*D15</f>
        <v>33.333333333333336</v>
      </c>
      <c r="F21" s="36">
        <f>HARF!DS45</f>
        <v>0</v>
      </c>
      <c r="G21" s="36">
        <f>HARF!DT45</f>
        <v>0</v>
      </c>
      <c r="H21" s="36">
        <f>HARF!DU45</f>
        <v>0</v>
      </c>
      <c r="I21" s="36">
        <f>HARF!DV45</f>
        <v>184.32916481121478</v>
      </c>
      <c r="J21" s="36">
        <f>HARF!DW45</f>
        <v>552.98749443364431</v>
      </c>
      <c r="K21" s="36">
        <f>HARF!DX45</f>
        <v>1228.861098741432</v>
      </c>
      <c r="L21" s="36">
        <f>HARF!DY45</f>
        <v>179.98333518878522</v>
      </c>
      <c r="M21" s="36">
        <f>HARF!DZ45</f>
        <v>-552.98749443364431</v>
      </c>
      <c r="N21" s="37">
        <f>HARF!EA45</f>
        <v>4400.7221974828635</v>
      </c>
      <c r="O21" s="36">
        <f>HARF!EB45</f>
        <v>0</v>
      </c>
      <c r="P21" s="36">
        <f>HARF!EC45</f>
        <v>0</v>
      </c>
      <c r="Q21" s="36">
        <f>HARF!ED45</f>
        <v>0</v>
      </c>
      <c r="R21" s="36">
        <f>HARF!EE45</f>
        <v>-364.3125</v>
      </c>
      <c r="S21" s="36">
        <f>HARF!EF45</f>
        <v>0</v>
      </c>
      <c r="T21" s="36">
        <f>HARF!EG45</f>
        <v>971.49999999999989</v>
      </c>
      <c r="U21" s="26">
        <f>HARF!EH45</f>
        <v>9</v>
      </c>
      <c r="V21" s="30" t="s">
        <v>78</v>
      </c>
    </row>
    <row r="22" spans="3:22">
      <c r="C22" s="26">
        <v>10</v>
      </c>
      <c r="D22" s="27" t="s">
        <v>64</v>
      </c>
      <c r="F22" s="32">
        <f>HARF!DS46</f>
        <v>-91.078125</v>
      </c>
      <c r="G22" s="32">
        <f>HARF!DT46</f>
        <v>0</v>
      </c>
      <c r="H22" s="32">
        <f>HARF!DU46</f>
        <v>-364.3125</v>
      </c>
      <c r="I22" s="32">
        <f>HARF!DV46</f>
        <v>0</v>
      </c>
      <c r="J22" s="32">
        <f>HARF!DW46</f>
        <v>0</v>
      </c>
      <c r="K22" s="32">
        <f>HARF!DX46</f>
        <v>0</v>
      </c>
      <c r="L22" s="32">
        <f>HARF!DY46</f>
        <v>0</v>
      </c>
      <c r="M22" s="32">
        <f>HARF!DZ46</f>
        <v>0</v>
      </c>
      <c r="N22" s="35">
        <f>HARF!EA46</f>
        <v>0</v>
      </c>
      <c r="O22" s="32">
        <f>HARF!EB46</f>
        <v>91.078125</v>
      </c>
      <c r="P22" s="32">
        <f>HARF!EC46</f>
        <v>0</v>
      </c>
      <c r="Q22" s="32">
        <f>HARF!ED46</f>
        <v>-364.3125</v>
      </c>
      <c r="R22" s="32">
        <f>HARF!EE46</f>
        <v>0</v>
      </c>
      <c r="S22" s="32">
        <f>HARF!EF46</f>
        <v>0</v>
      </c>
      <c r="T22" s="32">
        <f>HARF!EG46</f>
        <v>0</v>
      </c>
      <c r="U22" s="26">
        <f>HARF!EH46</f>
        <v>10</v>
      </c>
      <c r="V22" s="27">
        <v>0</v>
      </c>
    </row>
    <row r="23" spans="3:22">
      <c r="C23" s="26">
        <v>11</v>
      </c>
      <c r="D23" s="27" t="s">
        <v>65</v>
      </c>
      <c r="F23" s="32">
        <f>HARF!DS47</f>
        <v>0</v>
      </c>
      <c r="G23" s="32">
        <f>HARF!DT47</f>
        <v>-71250</v>
      </c>
      <c r="H23" s="32">
        <f>HARF!DU47</f>
        <v>0</v>
      </c>
      <c r="I23" s="32">
        <f>HARF!DV47</f>
        <v>0</v>
      </c>
      <c r="J23" s="32">
        <f>HARF!DW47</f>
        <v>0</v>
      </c>
      <c r="K23" s="32">
        <f>HARF!DX47</f>
        <v>0</v>
      </c>
      <c r="L23" s="32">
        <f>HARF!DY47</f>
        <v>0</v>
      </c>
      <c r="M23" s="32">
        <f>HARF!DZ47</f>
        <v>0</v>
      </c>
      <c r="N23" s="35">
        <f>HARF!EA47</f>
        <v>0</v>
      </c>
      <c r="O23" s="32">
        <f>HARF!EB47</f>
        <v>0</v>
      </c>
      <c r="P23" s="32">
        <f>HARF!EC47</f>
        <v>71250</v>
      </c>
      <c r="Q23" s="32">
        <f>HARF!ED47</f>
        <v>0</v>
      </c>
      <c r="R23" s="32">
        <f>HARF!EE47</f>
        <v>0</v>
      </c>
      <c r="S23" s="32">
        <f>HARF!EF47</f>
        <v>0</v>
      </c>
      <c r="T23" s="32">
        <f>HARF!EG47</f>
        <v>0</v>
      </c>
      <c r="U23" s="26">
        <f>HARF!EH47</f>
        <v>11</v>
      </c>
      <c r="V23" s="27">
        <v>0</v>
      </c>
    </row>
    <row r="24" spans="3:22">
      <c r="C24" s="26">
        <v>12</v>
      </c>
      <c r="D24" s="27" t="s">
        <v>66</v>
      </c>
      <c r="F24" s="32">
        <f>HARF!DS48</f>
        <v>364.3125</v>
      </c>
      <c r="G24" s="32">
        <f>HARF!DT48</f>
        <v>0</v>
      </c>
      <c r="H24" s="32">
        <f>HARF!DU48</f>
        <v>971.49999999999989</v>
      </c>
      <c r="I24" s="32">
        <f>HARF!DV48</f>
        <v>0</v>
      </c>
      <c r="J24" s="32">
        <f>HARF!DW48</f>
        <v>0</v>
      </c>
      <c r="K24" s="32">
        <f>HARF!DX48</f>
        <v>0</v>
      </c>
      <c r="L24" s="32">
        <f>HARF!DY48</f>
        <v>0</v>
      </c>
      <c r="M24" s="32">
        <f>HARF!DZ48</f>
        <v>0</v>
      </c>
      <c r="N24" s="35">
        <f>HARF!EA48</f>
        <v>0</v>
      </c>
      <c r="O24" s="32">
        <f>HARF!EB48</f>
        <v>-364.3125</v>
      </c>
      <c r="P24" s="32">
        <f>HARF!EC48</f>
        <v>0</v>
      </c>
      <c r="Q24" s="32">
        <f>HARF!ED48</f>
        <v>1942.9999999999998</v>
      </c>
      <c r="R24" s="32">
        <f>HARF!EE48</f>
        <v>0</v>
      </c>
      <c r="S24" s="32">
        <f>HARF!EF48</f>
        <v>0</v>
      </c>
      <c r="T24" s="32">
        <f>HARF!EG48</f>
        <v>0</v>
      </c>
      <c r="U24" s="26">
        <f>HARF!EH48</f>
        <v>12</v>
      </c>
      <c r="V24" s="27">
        <v>0</v>
      </c>
    </row>
    <row r="25" spans="3:22">
      <c r="C25" s="26">
        <v>13</v>
      </c>
      <c r="D25" s="27" t="s">
        <v>67</v>
      </c>
      <c r="F25" s="32">
        <f>HARF!DS49</f>
        <v>0</v>
      </c>
      <c r="G25" s="32">
        <f>HARF!DT49</f>
        <v>0</v>
      </c>
      <c r="H25" s="32">
        <f>HARF!DU49</f>
        <v>0</v>
      </c>
      <c r="I25" s="32">
        <f>HARF!DV49</f>
        <v>0</v>
      </c>
      <c r="J25" s="32">
        <f>HARF!DW49</f>
        <v>0</v>
      </c>
      <c r="K25" s="32">
        <f>HARF!DX49</f>
        <v>0</v>
      </c>
      <c r="L25" s="32">
        <f>HARF!DY49</f>
        <v>-91.078125</v>
      </c>
      <c r="M25" s="32">
        <f>HARF!DZ49</f>
        <v>0</v>
      </c>
      <c r="N25" s="35">
        <f>HARF!EA49</f>
        <v>-364.3125</v>
      </c>
      <c r="O25" s="32">
        <f>HARF!EB49</f>
        <v>0</v>
      </c>
      <c r="P25" s="32">
        <f>HARF!EC49</f>
        <v>0</v>
      </c>
      <c r="Q25" s="32">
        <f>HARF!ED49</f>
        <v>0</v>
      </c>
      <c r="R25" s="32">
        <f>HARF!EE49</f>
        <v>91.078125</v>
      </c>
      <c r="S25" s="32">
        <f>HARF!EF49</f>
        <v>0</v>
      </c>
      <c r="T25" s="32">
        <f>HARF!EG49</f>
        <v>-364.3125</v>
      </c>
      <c r="U25" s="26">
        <f>HARF!EH49</f>
        <v>13</v>
      </c>
      <c r="V25" s="27">
        <v>0</v>
      </c>
    </row>
    <row r="26" spans="3:22">
      <c r="C26" s="26">
        <v>14</v>
      </c>
      <c r="D26" s="27" t="s">
        <v>68</v>
      </c>
      <c r="F26" s="32">
        <f>HARF!DS50</f>
        <v>0</v>
      </c>
      <c r="G26" s="32">
        <f>HARF!DT50</f>
        <v>0</v>
      </c>
      <c r="H26" s="32">
        <f>HARF!DU50</f>
        <v>0</v>
      </c>
      <c r="I26" s="32">
        <f>HARF!DV50</f>
        <v>0</v>
      </c>
      <c r="J26" s="32">
        <f>HARF!DW50</f>
        <v>0</v>
      </c>
      <c r="K26" s="32">
        <f>HARF!DX50</f>
        <v>0</v>
      </c>
      <c r="L26" s="32">
        <f>HARF!DY50</f>
        <v>0</v>
      </c>
      <c r="M26" s="32">
        <f>HARF!DZ50</f>
        <v>-71250</v>
      </c>
      <c r="N26" s="35">
        <f>HARF!EA50</f>
        <v>0</v>
      </c>
      <c r="O26" s="32">
        <f>HARF!EB50</f>
        <v>0</v>
      </c>
      <c r="P26" s="32">
        <f>HARF!EC50</f>
        <v>0</v>
      </c>
      <c r="Q26" s="32">
        <f>HARF!ED50</f>
        <v>0</v>
      </c>
      <c r="R26" s="32">
        <f>HARF!EE50</f>
        <v>0</v>
      </c>
      <c r="S26" s="32">
        <f>HARF!EF50</f>
        <v>71250</v>
      </c>
      <c r="T26" s="32">
        <f>HARF!EG50</f>
        <v>0</v>
      </c>
      <c r="U26" s="26">
        <f>HARF!EH50</f>
        <v>14</v>
      </c>
      <c r="V26" s="27">
        <v>0</v>
      </c>
    </row>
    <row r="27" spans="3:22">
      <c r="C27" s="26">
        <v>15</v>
      </c>
      <c r="D27" s="27" t="s">
        <v>69</v>
      </c>
      <c r="F27" s="32">
        <f>HARF!DS51</f>
        <v>0</v>
      </c>
      <c r="G27" s="32">
        <f>HARF!DT51</f>
        <v>0</v>
      </c>
      <c r="H27" s="32">
        <f>HARF!DU51</f>
        <v>0</v>
      </c>
      <c r="I27" s="32">
        <f>HARF!DV51</f>
        <v>0</v>
      </c>
      <c r="J27" s="32">
        <f>HARF!DW51</f>
        <v>0</v>
      </c>
      <c r="K27" s="32">
        <f>HARF!DX51</f>
        <v>0</v>
      </c>
      <c r="L27" s="32">
        <f>HARF!DY51</f>
        <v>364.3125</v>
      </c>
      <c r="M27" s="32">
        <f>HARF!DZ51</f>
        <v>0</v>
      </c>
      <c r="N27" s="35">
        <f>HARF!EA51</f>
        <v>971.49999999999989</v>
      </c>
      <c r="O27" s="32">
        <f>HARF!EB51</f>
        <v>0</v>
      </c>
      <c r="P27" s="32">
        <f>HARF!EC51</f>
        <v>0</v>
      </c>
      <c r="Q27" s="32">
        <f>HARF!ED51</f>
        <v>0</v>
      </c>
      <c r="R27" s="32">
        <f>HARF!EE51</f>
        <v>-364.3125</v>
      </c>
      <c r="S27" s="32">
        <f>HARF!EF51</f>
        <v>0</v>
      </c>
      <c r="T27" s="32">
        <f>HARF!EG51</f>
        <v>1942.9999999999998</v>
      </c>
      <c r="U27" s="26">
        <f>HARF!EH51</f>
        <v>15</v>
      </c>
      <c r="V27" s="27">
        <v>0</v>
      </c>
    </row>
    <row r="33" spans="3:16">
      <c r="F33" s="26">
        <v>1</v>
      </c>
      <c r="G33" s="26">
        <v>2</v>
      </c>
      <c r="H33" s="26">
        <v>3</v>
      </c>
      <c r="I33" s="26">
        <v>4</v>
      </c>
      <c r="J33" s="26">
        <v>5</v>
      </c>
      <c r="K33" s="26">
        <v>6</v>
      </c>
      <c r="L33" s="26">
        <v>7</v>
      </c>
      <c r="M33" s="26">
        <v>8</v>
      </c>
      <c r="N33" s="26">
        <v>9</v>
      </c>
    </row>
    <row r="34" spans="3:16">
      <c r="C34" s="26">
        <v>1</v>
      </c>
      <c r="D34">
        <f t="shared" ref="D34:D42" si="0">D13</f>
        <v>0</v>
      </c>
      <c r="F34">
        <f t="shared" ref="F34:N42" si="1">F13</f>
        <v>81221.933024800033</v>
      </c>
      <c r="G34">
        <f t="shared" si="1"/>
        <v>26982.175244996273</v>
      </c>
      <c r="H34">
        <f t="shared" si="1"/>
        <v>179.98333518878522</v>
      </c>
      <c r="I34">
        <f t="shared" si="1"/>
        <v>-81130.854899800033</v>
      </c>
      <c r="J34">
        <f t="shared" si="1"/>
        <v>-26982.175244996273</v>
      </c>
      <c r="K34">
        <f t="shared" si="1"/>
        <v>-184.32916481121478</v>
      </c>
      <c r="L34">
        <f t="shared" si="1"/>
        <v>0</v>
      </c>
      <c r="M34">
        <f t="shared" si="1"/>
        <v>0</v>
      </c>
      <c r="N34">
        <f t="shared" si="1"/>
        <v>0</v>
      </c>
      <c r="O34" s="26">
        <v>1</v>
      </c>
      <c r="P34" s="27" t="str">
        <f t="shared" ref="P34:P42" si="2">V13</f>
        <v>D1</v>
      </c>
    </row>
    <row r="35" spans="3:16">
      <c r="C35" s="26">
        <v>2</v>
      </c>
      <c r="D35">
        <f t="shared" si="0"/>
        <v>-31.622776601683796</v>
      </c>
      <c r="F35">
        <f t="shared" si="1"/>
        <v>26982.175244996273</v>
      </c>
      <c r="G35">
        <f t="shared" si="1"/>
        <v>80428.387579809976</v>
      </c>
      <c r="H35">
        <f t="shared" si="1"/>
        <v>552.98749443364431</v>
      </c>
      <c r="I35">
        <f t="shared" si="1"/>
        <v>-26982.175244996277</v>
      </c>
      <c r="J35">
        <f t="shared" si="1"/>
        <v>-9178.3875798099743</v>
      </c>
      <c r="K35">
        <f t="shared" si="1"/>
        <v>552.98749443364431</v>
      </c>
      <c r="L35">
        <f t="shared" si="1"/>
        <v>0</v>
      </c>
      <c r="M35">
        <f t="shared" si="1"/>
        <v>0</v>
      </c>
      <c r="N35">
        <f t="shared" si="1"/>
        <v>0</v>
      </c>
      <c r="O35" s="26">
        <v>2</v>
      </c>
      <c r="P35" s="27" t="str">
        <f t="shared" si="2"/>
        <v>D2</v>
      </c>
    </row>
    <row r="36" spans="3:16">
      <c r="C36" s="26">
        <v>3</v>
      </c>
      <c r="D36">
        <f t="shared" si="0"/>
        <v>-33.333333333333336</v>
      </c>
      <c r="F36">
        <f t="shared" si="1"/>
        <v>179.98333518878522</v>
      </c>
      <c r="G36">
        <f t="shared" si="1"/>
        <v>552.98749443364431</v>
      </c>
      <c r="H36">
        <f t="shared" si="1"/>
        <v>4400.7221974828635</v>
      </c>
      <c r="I36">
        <f t="shared" si="1"/>
        <v>184.32916481121478</v>
      </c>
      <c r="J36">
        <f t="shared" si="1"/>
        <v>-552.98749443364431</v>
      </c>
      <c r="K36">
        <f t="shared" si="1"/>
        <v>1228.861098741432</v>
      </c>
      <c r="L36">
        <f t="shared" si="1"/>
        <v>0</v>
      </c>
      <c r="M36">
        <f t="shared" si="1"/>
        <v>0</v>
      </c>
      <c r="N36">
        <f t="shared" si="1"/>
        <v>0</v>
      </c>
      <c r="O36" s="26">
        <v>3</v>
      </c>
      <c r="P36" s="27" t="str">
        <f t="shared" si="2"/>
        <v>D3</v>
      </c>
    </row>
    <row r="37" spans="3:16">
      <c r="C37" s="26">
        <v>4</v>
      </c>
      <c r="D37">
        <f t="shared" si="0"/>
        <v>0</v>
      </c>
      <c r="E37" s="25" t="s">
        <v>56</v>
      </c>
      <c r="F37">
        <f t="shared" si="1"/>
        <v>-81130.854899800033</v>
      </c>
      <c r="G37">
        <f t="shared" si="1"/>
        <v>-26982.175244996277</v>
      </c>
      <c r="H37">
        <f t="shared" si="1"/>
        <v>184.32916481121478</v>
      </c>
      <c r="I37">
        <f t="shared" si="1"/>
        <v>162261.70979960007</v>
      </c>
      <c r="J37">
        <f t="shared" si="1"/>
        <v>0</v>
      </c>
      <c r="K37">
        <f t="shared" si="1"/>
        <v>368.65832962242956</v>
      </c>
      <c r="L37">
        <f t="shared" si="1"/>
        <v>-81130.854899800033</v>
      </c>
      <c r="M37">
        <f t="shared" si="1"/>
        <v>26982.175244996273</v>
      </c>
      <c r="N37">
        <f t="shared" si="1"/>
        <v>184.32916481121478</v>
      </c>
      <c r="O37" s="26">
        <v>4</v>
      </c>
      <c r="P37" s="27" t="str">
        <f t="shared" si="2"/>
        <v>D4</v>
      </c>
    </row>
    <row r="38" spans="3:16">
      <c r="C38" s="26">
        <v>5</v>
      </c>
      <c r="D38">
        <f t="shared" si="0"/>
        <v>-63.245553203367592</v>
      </c>
      <c r="F38">
        <f t="shared" si="1"/>
        <v>-26982.175244996273</v>
      </c>
      <c r="G38">
        <f t="shared" si="1"/>
        <v>-9178.3875798099743</v>
      </c>
      <c r="H38">
        <f t="shared" si="1"/>
        <v>-552.98749443364431</v>
      </c>
      <c r="I38">
        <f t="shared" si="1"/>
        <v>0</v>
      </c>
      <c r="J38">
        <f t="shared" si="1"/>
        <v>18356.775159619949</v>
      </c>
      <c r="K38">
        <f t="shared" si="1"/>
        <v>0</v>
      </c>
      <c r="L38">
        <f t="shared" si="1"/>
        <v>26982.175244996277</v>
      </c>
      <c r="M38">
        <f t="shared" si="1"/>
        <v>-9178.3875798099743</v>
      </c>
      <c r="N38">
        <f t="shared" si="1"/>
        <v>552.98749443364431</v>
      </c>
      <c r="O38" s="26">
        <v>5</v>
      </c>
      <c r="P38" s="27" t="str">
        <f t="shared" si="2"/>
        <v>D5</v>
      </c>
    </row>
    <row r="39" spans="3:16">
      <c r="C39" s="26">
        <v>6</v>
      </c>
      <c r="D39">
        <f t="shared" si="0"/>
        <v>0</v>
      </c>
      <c r="F39">
        <f t="shared" si="1"/>
        <v>-184.32916481121478</v>
      </c>
      <c r="G39">
        <f t="shared" si="1"/>
        <v>552.98749443364431</v>
      </c>
      <c r="H39">
        <f t="shared" si="1"/>
        <v>1228.861098741432</v>
      </c>
      <c r="I39">
        <f t="shared" si="1"/>
        <v>368.65832962242956</v>
      </c>
      <c r="J39">
        <f t="shared" si="1"/>
        <v>0</v>
      </c>
      <c r="K39">
        <f t="shared" si="1"/>
        <v>4915.444394965728</v>
      </c>
      <c r="L39">
        <f t="shared" si="1"/>
        <v>-184.32916481121478</v>
      </c>
      <c r="M39">
        <f t="shared" si="1"/>
        <v>-552.98749443364431</v>
      </c>
      <c r="N39">
        <f t="shared" si="1"/>
        <v>1228.861098741432</v>
      </c>
      <c r="O39" s="26">
        <v>6</v>
      </c>
      <c r="P39" s="27" t="str">
        <f t="shared" si="2"/>
        <v>D6</v>
      </c>
    </row>
    <row r="40" spans="3:16">
      <c r="C40" s="26">
        <v>7</v>
      </c>
      <c r="D40">
        <f t="shared" si="0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-81130.854899800033</v>
      </c>
      <c r="J40">
        <f t="shared" si="1"/>
        <v>26982.175244996277</v>
      </c>
      <c r="K40">
        <f t="shared" si="1"/>
        <v>-184.32916481121478</v>
      </c>
      <c r="L40">
        <f t="shared" si="1"/>
        <v>81221.933024800033</v>
      </c>
      <c r="M40">
        <f t="shared" si="1"/>
        <v>-26982.175244996273</v>
      </c>
      <c r="N40">
        <f t="shared" si="1"/>
        <v>179.98333518878522</v>
      </c>
      <c r="O40" s="26">
        <v>7</v>
      </c>
      <c r="P40" s="27" t="str">
        <f t="shared" si="2"/>
        <v>D7</v>
      </c>
    </row>
    <row r="41" spans="3:16">
      <c r="C41" s="26">
        <v>8</v>
      </c>
      <c r="D41">
        <f t="shared" si="0"/>
        <v>-31.622776601683796</v>
      </c>
      <c r="F41">
        <f t="shared" si="1"/>
        <v>0</v>
      </c>
      <c r="G41">
        <f t="shared" si="1"/>
        <v>0</v>
      </c>
      <c r="H41">
        <f t="shared" si="1"/>
        <v>0</v>
      </c>
      <c r="I41">
        <f t="shared" si="1"/>
        <v>26982.175244996273</v>
      </c>
      <c r="J41">
        <f t="shared" si="1"/>
        <v>-9178.3875798099743</v>
      </c>
      <c r="K41">
        <f t="shared" si="1"/>
        <v>-552.98749443364431</v>
      </c>
      <c r="L41">
        <f t="shared" si="1"/>
        <v>-26982.175244996273</v>
      </c>
      <c r="M41">
        <f t="shared" si="1"/>
        <v>80428.387579809976</v>
      </c>
      <c r="N41">
        <f t="shared" si="1"/>
        <v>-552.98749443364431</v>
      </c>
      <c r="O41" s="26">
        <v>8</v>
      </c>
      <c r="P41" s="27" t="str">
        <f t="shared" si="2"/>
        <v>D8</v>
      </c>
    </row>
    <row r="42" spans="3:16">
      <c r="C42" s="26">
        <v>9</v>
      </c>
      <c r="D42">
        <f t="shared" si="0"/>
        <v>33.333333333333336</v>
      </c>
      <c r="F42">
        <f t="shared" si="1"/>
        <v>0</v>
      </c>
      <c r="G42">
        <f t="shared" si="1"/>
        <v>0</v>
      </c>
      <c r="H42">
        <f t="shared" si="1"/>
        <v>0</v>
      </c>
      <c r="I42">
        <f t="shared" si="1"/>
        <v>184.32916481121478</v>
      </c>
      <c r="J42">
        <f t="shared" si="1"/>
        <v>552.98749443364431</v>
      </c>
      <c r="K42">
        <f t="shared" si="1"/>
        <v>1228.861098741432</v>
      </c>
      <c r="L42">
        <f t="shared" si="1"/>
        <v>179.98333518878522</v>
      </c>
      <c r="M42">
        <f t="shared" si="1"/>
        <v>-552.98749443364431</v>
      </c>
      <c r="N42">
        <f t="shared" si="1"/>
        <v>4400.7221974828635</v>
      </c>
      <c r="O42" s="26">
        <v>9</v>
      </c>
      <c r="P42" s="27" t="str">
        <f t="shared" si="2"/>
        <v>D9</v>
      </c>
    </row>
    <row r="45" spans="3:16">
      <c r="F45" s="26">
        <v>1</v>
      </c>
      <c r="G45" s="26">
        <v>2</v>
      </c>
      <c r="H45" s="26">
        <v>3</v>
      </c>
      <c r="I45" s="26">
        <v>4</v>
      </c>
      <c r="J45" s="26">
        <v>5</v>
      </c>
      <c r="K45" s="26">
        <v>6</v>
      </c>
      <c r="L45" s="26">
        <v>7</v>
      </c>
      <c r="M45" s="26">
        <v>8</v>
      </c>
      <c r="N45" s="26">
        <v>9</v>
      </c>
    </row>
    <row r="46" spans="3:16">
      <c r="D46" s="27" t="s">
        <v>70</v>
      </c>
      <c r="F46">
        <f t="array" ref="F46:N54">MINVERSE(F34:N42)</f>
        <v>9.2782777933528501E-3</v>
      </c>
      <c r="G46">
        <v>3.7020343584095466E-6</v>
      </c>
      <c r="H46">
        <v>-7.429024293495013E-4</v>
      </c>
      <c r="I46">
        <v>8.9289989064488592E-3</v>
      </c>
      <c r="J46">
        <v>1.0402983897581366E-3</v>
      </c>
      <c r="K46">
        <v>4.2862593678946861E-4</v>
      </c>
      <c r="L46">
        <v>8.5753008532144688E-3</v>
      </c>
      <c r="M46">
        <v>-3.7020343584100146E-6</v>
      </c>
      <c r="N46">
        <v>-9.7559602368050093E-4</v>
      </c>
      <c r="O46" s="26">
        <v>1</v>
      </c>
      <c r="P46">
        <f>D34</f>
        <v>0</v>
      </c>
    </row>
    <row r="47" spans="3:16">
      <c r="D47" s="27" t="s">
        <v>71</v>
      </c>
      <c r="F47">
        <v>3.702034358409547E-6</v>
      </c>
      <c r="G47">
        <v>1.4034036103397896E-5</v>
      </c>
      <c r="H47">
        <v>-9.2550858960247473E-7</v>
      </c>
      <c r="I47">
        <v>6.0405879812034316E-6</v>
      </c>
      <c r="J47">
        <v>7.0175438596490416E-6</v>
      </c>
      <c r="K47">
        <v>-1.2913479817517808E-6</v>
      </c>
      <c r="L47">
        <v>3.7020343584095999E-6</v>
      </c>
      <c r="M47">
        <v>1.05161590034947E-9</v>
      </c>
      <c r="N47">
        <v>-9.2550858960245875E-7</v>
      </c>
      <c r="O47" s="26">
        <v>2</v>
      </c>
      <c r="P47">
        <f t="shared" ref="P47:P54" si="3">D35</f>
        <v>-31.622776601683796</v>
      </c>
    </row>
    <row r="48" spans="3:16">
      <c r="D48" s="27" t="s">
        <v>72</v>
      </c>
      <c r="F48">
        <v>-7.4290242934950119E-4</v>
      </c>
      <c r="G48">
        <v>-9.2550858960247505E-7</v>
      </c>
      <c r="H48">
        <v>3.6780890892010342E-4</v>
      </c>
      <c r="I48">
        <v>-8.5980162230631769E-4</v>
      </c>
      <c r="J48">
        <v>3.5124850089831157E-4</v>
      </c>
      <c r="K48">
        <v>-1.0715648419737476E-4</v>
      </c>
      <c r="L48">
        <v>-9.7559602368053324E-4</v>
      </c>
      <c r="M48">
        <v>9.2550858960251984E-7</v>
      </c>
      <c r="N48">
        <v>6.1815704337427524E-5</v>
      </c>
      <c r="O48" s="26">
        <v>3</v>
      </c>
      <c r="P48">
        <f t="shared" si="3"/>
        <v>-33.333333333333336</v>
      </c>
    </row>
    <row r="49" spans="1:16">
      <c r="D49" s="27" t="s">
        <v>73</v>
      </c>
      <c r="F49">
        <v>8.9289989064488592E-3</v>
      </c>
      <c r="G49">
        <v>6.0405879812034342E-6</v>
      </c>
      <c r="H49">
        <v>-8.5980162230631747E-4</v>
      </c>
      <c r="I49">
        <v>8.93815212602239E-3</v>
      </c>
      <c r="J49">
        <v>-1.1295700895336475E-16</v>
      </c>
      <c r="K49">
        <v>4.2785518738937007E-4</v>
      </c>
      <c r="L49">
        <v>8.9289989064489338E-3</v>
      </c>
      <c r="M49">
        <v>-6.0405879812039026E-6</v>
      </c>
      <c r="N49">
        <v>-8.5980162230629221E-4</v>
      </c>
      <c r="O49" s="26">
        <v>4</v>
      </c>
      <c r="P49">
        <f t="shared" si="3"/>
        <v>0</v>
      </c>
    </row>
    <row r="50" spans="1:16">
      <c r="D50" s="27" t="s">
        <v>74</v>
      </c>
      <c r="E50" s="25" t="s">
        <v>56</v>
      </c>
      <c r="F50">
        <v>1.0402983897581375E-3</v>
      </c>
      <c r="G50">
        <v>7.0175438596490416E-6</v>
      </c>
      <c r="H50">
        <v>3.5124850089831162E-4</v>
      </c>
      <c r="I50">
        <v>-1.1353820792785966E-16</v>
      </c>
      <c r="J50">
        <v>3.1408740342145016E-3</v>
      </c>
      <c r="K50">
        <v>-5.6045930665026265E-18</v>
      </c>
      <c r="L50">
        <v>-1.0402983897583626E-3</v>
      </c>
      <c r="M50">
        <v>7.0175438596492009E-6</v>
      </c>
      <c r="N50">
        <v>-3.5124850089829053E-4</v>
      </c>
      <c r="O50" s="26">
        <v>5</v>
      </c>
      <c r="P50">
        <f t="shared" si="3"/>
        <v>-63.245553203367592</v>
      </c>
    </row>
    <row r="51" spans="1:16">
      <c r="D51" s="27" t="s">
        <v>75</v>
      </c>
      <c r="F51">
        <v>4.2862593678946834E-4</v>
      </c>
      <c r="G51">
        <v>-1.2913479817517806E-6</v>
      </c>
      <c r="H51">
        <v>-1.071564841973747E-4</v>
      </c>
      <c r="I51">
        <v>4.278551873893698E-4</v>
      </c>
      <c r="J51">
        <v>-5.4010132775840516E-18</v>
      </c>
      <c r="K51">
        <v>2.5736700691150207E-4</v>
      </c>
      <c r="L51">
        <v>4.2862593678947192E-4</v>
      </c>
      <c r="M51">
        <v>1.2913479817517577E-6</v>
      </c>
      <c r="N51">
        <v>-1.0715648419737348E-4</v>
      </c>
      <c r="O51" s="26">
        <v>6</v>
      </c>
      <c r="P51">
        <f t="shared" si="3"/>
        <v>0</v>
      </c>
    </row>
    <row r="52" spans="1:16">
      <c r="D52" s="27" t="s">
        <v>76</v>
      </c>
      <c r="F52">
        <v>8.5753008532144688E-3</v>
      </c>
      <c r="G52">
        <v>3.7020343584095995E-6</v>
      </c>
      <c r="H52">
        <v>-9.7559602368053324E-4</v>
      </c>
      <c r="I52">
        <v>8.9289989064489355E-3</v>
      </c>
      <c r="J52">
        <v>-1.0402983897583624E-3</v>
      </c>
      <c r="K52">
        <v>4.2862593678947219E-4</v>
      </c>
      <c r="L52">
        <v>9.2782777933529976E-3</v>
      </c>
      <c r="M52">
        <v>-3.7020343584100683E-6</v>
      </c>
      <c r="N52">
        <v>-7.4290242934948309E-4</v>
      </c>
      <c r="O52" s="26">
        <v>7</v>
      </c>
      <c r="P52">
        <f t="shared" si="3"/>
        <v>0</v>
      </c>
    </row>
    <row r="53" spans="1:16">
      <c r="D53" s="27" t="s">
        <v>77</v>
      </c>
      <c r="F53">
        <v>-3.7020343584095453E-6</v>
      </c>
      <c r="G53">
        <v>1.0516159003498379E-9</v>
      </c>
      <c r="H53">
        <v>9.2550858960247833E-7</v>
      </c>
      <c r="I53">
        <v>-6.0405879812034401E-6</v>
      </c>
      <c r="J53">
        <v>7.017543859649228E-6</v>
      </c>
      <c r="K53">
        <v>1.2913479817517804E-6</v>
      </c>
      <c r="L53">
        <v>-3.702034358409616E-6</v>
      </c>
      <c r="M53">
        <v>1.4034036103397893E-5</v>
      </c>
      <c r="N53">
        <v>9.2550858960245366E-7</v>
      </c>
      <c r="O53" s="26">
        <v>8</v>
      </c>
      <c r="P53">
        <f t="shared" si="3"/>
        <v>-31.622776601683796</v>
      </c>
    </row>
    <row r="54" spans="1:16">
      <c r="D54" s="27" t="s">
        <v>78</v>
      </c>
      <c r="F54">
        <v>-9.7559602368050072E-4</v>
      </c>
      <c r="G54">
        <v>-9.2550858960245684E-7</v>
      </c>
      <c r="H54">
        <v>6.1815704337427605E-5</v>
      </c>
      <c r="I54">
        <v>-8.5980162230629232E-4</v>
      </c>
      <c r="J54">
        <v>-3.5124850089828988E-4</v>
      </c>
      <c r="K54">
        <v>-1.0715648419737351E-4</v>
      </c>
      <c r="L54">
        <v>-7.429024293494833E-4</v>
      </c>
      <c r="M54">
        <v>9.2550858960250194E-7</v>
      </c>
      <c r="N54">
        <v>3.678089089200986E-4</v>
      </c>
      <c r="O54" s="26">
        <v>9</v>
      </c>
      <c r="P54">
        <f t="shared" si="3"/>
        <v>33.333333333333336</v>
      </c>
    </row>
    <row r="56" spans="1:16" ht="14.25">
      <c r="A56" s="45" t="s">
        <v>119</v>
      </c>
      <c r="B56" s="46"/>
      <c r="C56" s="46"/>
      <c r="D56" s="46"/>
      <c r="E56" s="46"/>
    </row>
    <row r="57" spans="1:16">
      <c r="D57" s="27" t="s">
        <v>70</v>
      </c>
      <c r="F57">
        <f t="array" ref="F57:F65">MMULT(F46:N54,P46:P54)</f>
        <v>-7.3550700301192512E-2</v>
      </c>
      <c r="G57" t="s">
        <v>0</v>
      </c>
    </row>
    <row r="58" spans="1:16">
      <c r="D58" s="27" t="s">
        <v>71</v>
      </c>
      <c r="F58">
        <v>-8.8765688706480249E-4</v>
      </c>
      <c r="G58" t="s">
        <v>0</v>
      </c>
    </row>
    <row r="59" spans="1:16">
      <c r="D59" s="27" t="s">
        <v>72</v>
      </c>
      <c r="F59">
        <v>-3.2414679237256473E-2</v>
      </c>
      <c r="G59" t="s">
        <v>79</v>
      </c>
    </row>
    <row r="60" spans="1:16">
      <c r="D60" s="27" t="s">
        <v>73</v>
      </c>
      <c r="F60">
        <v>8.0005446712050343E-15</v>
      </c>
      <c r="G60" t="s">
        <v>0</v>
      </c>
    </row>
    <row r="61" spans="1:16">
      <c r="D61" s="27" t="s">
        <v>74</v>
      </c>
      <c r="E61" s="25" t="s">
        <v>56</v>
      </c>
      <c r="F61">
        <v>-0.22250671100607489</v>
      </c>
      <c r="G61" t="s">
        <v>0</v>
      </c>
    </row>
    <row r="62" spans="1:16">
      <c r="D62" s="27" t="s">
        <v>75</v>
      </c>
      <c r="F62">
        <v>3.8337388819087437E-16</v>
      </c>
      <c r="G62" t="s">
        <v>79</v>
      </c>
    </row>
    <row r="63" spans="1:16">
      <c r="D63" s="27" t="s">
        <v>76</v>
      </c>
      <c r="F63">
        <v>7.3550700301208485E-2</v>
      </c>
      <c r="G63" t="s">
        <v>0</v>
      </c>
    </row>
    <row r="64" spans="1:16">
      <c r="D64" s="27" t="s">
        <v>77</v>
      </c>
      <c r="F64">
        <v>-8.876568870648156E-4</v>
      </c>
      <c r="G64" t="s">
        <v>0</v>
      </c>
    </row>
    <row r="65" spans="1:18">
      <c r="D65" s="27" t="s">
        <v>78</v>
      </c>
      <c r="F65">
        <v>3.241467923725494E-2</v>
      </c>
      <c r="G65" t="s">
        <v>79</v>
      </c>
      <c r="Q65">
        <f>F57</f>
        <v>-7.3550700301192512E-2</v>
      </c>
      <c r="R65" s="26">
        <v>1</v>
      </c>
    </row>
    <row r="66" spans="1:18">
      <c r="Q66">
        <f t="shared" ref="Q66:Q73" si="4">F58</f>
        <v>-8.8765688706480249E-4</v>
      </c>
      <c r="R66" s="26">
        <v>2</v>
      </c>
    </row>
    <row r="67" spans="1:18" ht="14.25">
      <c r="A67" s="45" t="s">
        <v>120</v>
      </c>
      <c r="B67" s="46"/>
      <c r="C67" s="46"/>
      <c r="D67" s="46"/>
      <c r="E67" s="46"/>
      <c r="F67" s="26">
        <v>1</v>
      </c>
      <c r="G67" s="26">
        <v>2</v>
      </c>
      <c r="H67" s="26">
        <v>3</v>
      </c>
      <c r="I67" s="26">
        <v>4</v>
      </c>
      <c r="J67" s="26">
        <v>5</v>
      </c>
      <c r="K67" s="26">
        <v>6</v>
      </c>
      <c r="L67" s="26">
        <v>7</v>
      </c>
      <c r="M67" s="26">
        <v>8</v>
      </c>
      <c r="N67" s="26">
        <v>9</v>
      </c>
      <c r="Q67">
        <f t="shared" si="4"/>
        <v>-3.2414679237256473E-2</v>
      </c>
      <c r="R67" s="26">
        <v>3</v>
      </c>
    </row>
    <row r="68" spans="1:18">
      <c r="D68" s="27" t="s">
        <v>64</v>
      </c>
      <c r="F68">
        <f>F22</f>
        <v>-91.078125</v>
      </c>
      <c r="G68">
        <f t="shared" ref="G68:N68" si="5">G22</f>
        <v>0</v>
      </c>
      <c r="H68">
        <f t="shared" si="5"/>
        <v>-364.3125</v>
      </c>
      <c r="I68">
        <f t="shared" si="5"/>
        <v>0</v>
      </c>
      <c r="J68">
        <f t="shared" si="5"/>
        <v>0</v>
      </c>
      <c r="K68">
        <f t="shared" si="5"/>
        <v>0</v>
      </c>
      <c r="L68">
        <f t="shared" si="5"/>
        <v>0</v>
      </c>
      <c r="M68">
        <f t="shared" si="5"/>
        <v>0</v>
      </c>
      <c r="N68">
        <f t="shared" si="5"/>
        <v>0</v>
      </c>
      <c r="O68" s="26">
        <v>10</v>
      </c>
      <c r="Q68">
        <f t="shared" si="4"/>
        <v>8.0005446712050343E-15</v>
      </c>
      <c r="R68" s="26">
        <v>4</v>
      </c>
    </row>
    <row r="69" spans="1:18">
      <c r="D69" s="27" t="s">
        <v>65</v>
      </c>
      <c r="F69">
        <f t="shared" ref="F69:N73" si="6">F23</f>
        <v>0</v>
      </c>
      <c r="G69">
        <f t="shared" si="6"/>
        <v>-71250</v>
      </c>
      <c r="H69">
        <f t="shared" si="6"/>
        <v>0</v>
      </c>
      <c r="I69">
        <f t="shared" si="6"/>
        <v>0</v>
      </c>
      <c r="J69">
        <f t="shared" si="6"/>
        <v>0</v>
      </c>
      <c r="K69">
        <f t="shared" si="6"/>
        <v>0</v>
      </c>
      <c r="L69">
        <f t="shared" si="6"/>
        <v>0</v>
      </c>
      <c r="M69">
        <f t="shared" si="6"/>
        <v>0</v>
      </c>
      <c r="N69">
        <f t="shared" si="6"/>
        <v>0</v>
      </c>
      <c r="O69" s="26">
        <v>11</v>
      </c>
      <c r="Q69">
        <f t="shared" si="4"/>
        <v>-0.22250671100607489</v>
      </c>
      <c r="R69" s="26">
        <v>5</v>
      </c>
    </row>
    <row r="70" spans="1:18">
      <c r="D70" s="27" t="s">
        <v>66</v>
      </c>
      <c r="E70" s="25" t="s">
        <v>56</v>
      </c>
      <c r="F70">
        <f t="shared" si="6"/>
        <v>364.3125</v>
      </c>
      <c r="G70">
        <f t="shared" si="6"/>
        <v>0</v>
      </c>
      <c r="H70">
        <f t="shared" si="6"/>
        <v>971.49999999999989</v>
      </c>
      <c r="I70">
        <f t="shared" si="6"/>
        <v>0</v>
      </c>
      <c r="J70">
        <f t="shared" si="6"/>
        <v>0</v>
      </c>
      <c r="K70">
        <f t="shared" si="6"/>
        <v>0</v>
      </c>
      <c r="L70">
        <f t="shared" si="6"/>
        <v>0</v>
      </c>
      <c r="M70">
        <f t="shared" si="6"/>
        <v>0</v>
      </c>
      <c r="N70">
        <f t="shared" si="6"/>
        <v>0</v>
      </c>
      <c r="O70" s="26">
        <v>12</v>
      </c>
      <c r="Q70">
        <f t="shared" si="4"/>
        <v>3.8337388819087437E-16</v>
      </c>
      <c r="R70" s="26">
        <v>6</v>
      </c>
    </row>
    <row r="71" spans="1:18">
      <c r="D71" s="27" t="s">
        <v>67</v>
      </c>
      <c r="F71">
        <f t="shared" si="6"/>
        <v>0</v>
      </c>
      <c r="G71">
        <f t="shared" si="6"/>
        <v>0</v>
      </c>
      <c r="H71">
        <f t="shared" si="6"/>
        <v>0</v>
      </c>
      <c r="I71">
        <f t="shared" si="6"/>
        <v>0</v>
      </c>
      <c r="J71">
        <f t="shared" si="6"/>
        <v>0</v>
      </c>
      <c r="K71">
        <f t="shared" si="6"/>
        <v>0</v>
      </c>
      <c r="L71">
        <f t="shared" si="6"/>
        <v>-91.078125</v>
      </c>
      <c r="M71">
        <f t="shared" si="6"/>
        <v>0</v>
      </c>
      <c r="N71">
        <f t="shared" si="6"/>
        <v>-364.3125</v>
      </c>
      <c r="O71" s="26">
        <v>13</v>
      </c>
      <c r="Q71">
        <f t="shared" si="4"/>
        <v>7.3550700301208485E-2</v>
      </c>
      <c r="R71" s="26">
        <v>7</v>
      </c>
    </row>
    <row r="72" spans="1:18">
      <c r="D72" s="27" t="s">
        <v>68</v>
      </c>
      <c r="F72">
        <f t="shared" si="6"/>
        <v>0</v>
      </c>
      <c r="G72">
        <f t="shared" si="6"/>
        <v>0</v>
      </c>
      <c r="H72">
        <f t="shared" si="6"/>
        <v>0</v>
      </c>
      <c r="I72">
        <f t="shared" si="6"/>
        <v>0</v>
      </c>
      <c r="J72">
        <f t="shared" si="6"/>
        <v>0</v>
      </c>
      <c r="K72">
        <f t="shared" si="6"/>
        <v>0</v>
      </c>
      <c r="L72">
        <f t="shared" si="6"/>
        <v>0</v>
      </c>
      <c r="M72">
        <f t="shared" si="6"/>
        <v>-71250</v>
      </c>
      <c r="N72">
        <f t="shared" si="6"/>
        <v>0</v>
      </c>
      <c r="O72" s="26">
        <v>14</v>
      </c>
      <c r="Q72">
        <f t="shared" si="4"/>
        <v>-8.876568870648156E-4</v>
      </c>
      <c r="R72" s="26">
        <v>8</v>
      </c>
    </row>
    <row r="73" spans="1:18">
      <c r="D73" s="27" t="s">
        <v>69</v>
      </c>
      <c r="F73">
        <f t="shared" si="6"/>
        <v>0</v>
      </c>
      <c r="G73">
        <f t="shared" si="6"/>
        <v>0</v>
      </c>
      <c r="H73">
        <f t="shared" si="6"/>
        <v>0</v>
      </c>
      <c r="I73">
        <f t="shared" si="6"/>
        <v>0</v>
      </c>
      <c r="J73">
        <f t="shared" si="6"/>
        <v>0</v>
      </c>
      <c r="K73">
        <f t="shared" si="6"/>
        <v>0</v>
      </c>
      <c r="L73">
        <f t="shared" si="6"/>
        <v>364.3125</v>
      </c>
      <c r="M73">
        <f t="shared" si="6"/>
        <v>0</v>
      </c>
      <c r="N73">
        <f t="shared" si="6"/>
        <v>971.49999999999989</v>
      </c>
      <c r="O73" s="26">
        <v>15</v>
      </c>
      <c r="Q73">
        <f t="shared" si="4"/>
        <v>3.241467923725494E-2</v>
      </c>
      <c r="R73" s="26">
        <v>9</v>
      </c>
    </row>
    <row r="76" spans="1:18">
      <c r="D76" s="27" t="s">
        <v>64</v>
      </c>
      <c r="F76">
        <f t="array" ref="F76:F81">MMULT(F68:N73,Q65:Q73)</f>
        <v>18.507932705492546</v>
      </c>
      <c r="G76" t="s">
        <v>44</v>
      </c>
    </row>
    <row r="77" spans="1:18">
      <c r="D77" s="27" t="s">
        <v>65</v>
      </c>
      <c r="F77">
        <v>63.24555320336718</v>
      </c>
      <c r="G77" t="s">
        <v>44</v>
      </c>
    </row>
    <row r="78" spans="1:18">
      <c r="D78" s="27" t="s">
        <v>66</v>
      </c>
      <c r="E78" s="25" t="s">
        <v>56</v>
      </c>
      <c r="F78">
        <v>-58.286300382472859</v>
      </c>
      <c r="G78" t="s">
        <v>80</v>
      </c>
    </row>
    <row r="79" spans="1:18">
      <c r="D79" s="27" t="s">
        <v>67</v>
      </c>
      <c r="F79">
        <v>-18.507932705493445</v>
      </c>
      <c r="G79" t="s">
        <v>44</v>
      </c>
    </row>
    <row r="80" spans="1:18">
      <c r="D80" s="27" t="s">
        <v>68</v>
      </c>
      <c r="F80">
        <v>63.245553203368111</v>
      </c>
      <c r="G80" t="s">
        <v>44</v>
      </c>
    </row>
    <row r="81" spans="1:21">
      <c r="D81" s="27" t="s">
        <v>69</v>
      </c>
      <c r="F81">
        <v>58.286300382477187</v>
      </c>
      <c r="G81" t="s">
        <v>80</v>
      </c>
    </row>
    <row r="85" spans="1:21">
      <c r="D85" t="s">
        <v>81</v>
      </c>
    </row>
    <row r="87" spans="1:21" ht="12.75">
      <c r="A87" s="47" t="s">
        <v>82</v>
      </c>
      <c r="D87" t="s">
        <v>83</v>
      </c>
      <c r="F87" s="33">
        <f>HARF!CC28</f>
        <v>71250</v>
      </c>
      <c r="G87" s="33">
        <f>HARF!CD28</f>
        <v>0</v>
      </c>
      <c r="H87" s="33">
        <f>HARF!CE28</f>
        <v>0</v>
      </c>
      <c r="I87" s="33">
        <f>HARF!CF28</f>
        <v>-71250</v>
      </c>
      <c r="J87" s="33">
        <f>HARF!CG28</f>
        <v>0</v>
      </c>
      <c r="K87" s="33">
        <f>HARF!CH28</f>
        <v>0</v>
      </c>
      <c r="M87" s="28">
        <f>HARF!CJ28</f>
        <v>0</v>
      </c>
      <c r="N87" s="28">
        <f>HARF!CK28</f>
        <v>1</v>
      </c>
      <c r="O87" s="28">
        <f>HARF!CL28</f>
        <v>0</v>
      </c>
      <c r="P87" s="28">
        <f>HARF!CM28</f>
        <v>0</v>
      </c>
      <c r="Q87" s="28">
        <f>HARF!CN28</f>
        <v>0</v>
      </c>
      <c r="R87" s="28">
        <f>HARF!CO28</f>
        <v>0</v>
      </c>
      <c r="T87" s="28">
        <v>0</v>
      </c>
      <c r="U87" s="34">
        <f>HARF!BM29</f>
        <v>10</v>
      </c>
    </row>
    <row r="88" spans="1:21">
      <c r="D88" t="s">
        <v>84</v>
      </c>
      <c r="F88" s="33">
        <f>HARF!CC29</f>
        <v>0</v>
      </c>
      <c r="G88" s="33">
        <f>HARF!CD29</f>
        <v>91.078125</v>
      </c>
      <c r="H88" s="33">
        <f>HARF!CE29</f>
        <v>364.3125</v>
      </c>
      <c r="I88" s="33">
        <f>HARF!CF29</f>
        <v>0</v>
      </c>
      <c r="J88" s="33">
        <f>HARF!CG29</f>
        <v>-91.078125</v>
      </c>
      <c r="K88" s="33">
        <f>HARF!CH29</f>
        <v>364.3125</v>
      </c>
      <c r="M88" s="28">
        <f>HARF!CJ29</f>
        <v>-1</v>
      </c>
      <c r="N88" s="28">
        <f>HARF!CK29</f>
        <v>0</v>
      </c>
      <c r="O88" s="28">
        <f>HARF!CL29</f>
        <v>0</v>
      </c>
      <c r="P88" s="28">
        <f>HARF!CM29</f>
        <v>0</v>
      </c>
      <c r="Q88" s="28">
        <f>HARF!CN29</f>
        <v>0</v>
      </c>
      <c r="R88" s="28">
        <f>HARF!CO29</f>
        <v>0</v>
      </c>
      <c r="T88" s="28">
        <v>0</v>
      </c>
      <c r="U88" s="34">
        <f>HARF!BM30</f>
        <v>11</v>
      </c>
    </row>
    <row r="89" spans="1:21">
      <c r="D89" t="s">
        <v>85</v>
      </c>
      <c r="E89" t="s">
        <v>56</v>
      </c>
      <c r="F89" s="33">
        <f>HARF!CC30</f>
        <v>0</v>
      </c>
      <c r="G89" s="33">
        <f>HARF!CD30</f>
        <v>364.3125</v>
      </c>
      <c r="H89" s="33">
        <f>HARF!CE30</f>
        <v>1942.9999999999998</v>
      </c>
      <c r="I89" s="33">
        <f>HARF!CF30</f>
        <v>0</v>
      </c>
      <c r="J89" s="33">
        <f>HARF!CG30</f>
        <v>-364.3125</v>
      </c>
      <c r="K89" s="33">
        <f>HARF!CH30</f>
        <v>971.49999999999989</v>
      </c>
      <c r="M89" s="28">
        <f>HARF!CJ30</f>
        <v>0</v>
      </c>
      <c r="N89" s="28">
        <f>HARF!CK30</f>
        <v>0</v>
      </c>
      <c r="O89" s="28">
        <f>HARF!CL30</f>
        <v>1</v>
      </c>
      <c r="P89" s="28">
        <f>HARF!CM30</f>
        <v>0</v>
      </c>
      <c r="Q89" s="28">
        <f>HARF!CN30</f>
        <v>0</v>
      </c>
      <c r="R89" s="28">
        <f>HARF!CO30</f>
        <v>0</v>
      </c>
      <c r="T89" s="28">
        <v>0</v>
      </c>
      <c r="U89" s="34">
        <f>HARF!BM31</f>
        <v>12</v>
      </c>
    </row>
    <row r="90" spans="1:21">
      <c r="D90" t="s">
        <v>86</v>
      </c>
      <c r="F90" s="33">
        <f>HARF!CC31</f>
        <v>-71250</v>
      </c>
      <c r="G90" s="33">
        <f>HARF!CD31</f>
        <v>0</v>
      </c>
      <c r="H90" s="33">
        <f>HARF!CE31</f>
        <v>0</v>
      </c>
      <c r="I90" s="33">
        <f>HARF!CF31</f>
        <v>71250</v>
      </c>
      <c r="J90" s="33">
        <f>HARF!CG31</f>
        <v>0</v>
      </c>
      <c r="K90" s="33">
        <f>HARF!CH31</f>
        <v>0</v>
      </c>
      <c r="M90" s="28">
        <f>HARF!CJ31</f>
        <v>0</v>
      </c>
      <c r="N90" s="28">
        <f>HARF!CK31</f>
        <v>0</v>
      </c>
      <c r="O90" s="28">
        <f>HARF!CL31</f>
        <v>0</v>
      </c>
      <c r="P90" s="28">
        <f>HARF!CM31</f>
        <v>0</v>
      </c>
      <c r="Q90" s="28">
        <f>HARF!CN31</f>
        <v>1</v>
      </c>
      <c r="R90" s="28">
        <f>HARF!CO31</f>
        <v>0</v>
      </c>
      <c r="T90" s="28">
        <f>F57</f>
        <v>-7.3550700301192512E-2</v>
      </c>
      <c r="U90" s="34">
        <f>HARF!BM32</f>
        <v>1</v>
      </c>
    </row>
    <row r="91" spans="1:21">
      <c r="D91" t="s">
        <v>87</v>
      </c>
      <c r="F91" s="33">
        <f>HARF!CC32</f>
        <v>0</v>
      </c>
      <c r="G91" s="33">
        <f>HARF!CD32</f>
        <v>-91.078125</v>
      </c>
      <c r="H91" s="33">
        <f>HARF!CE32</f>
        <v>-364.3125</v>
      </c>
      <c r="I91" s="33">
        <f>HARF!CF32</f>
        <v>0</v>
      </c>
      <c r="J91" s="33">
        <f>HARF!CG32</f>
        <v>91.078125</v>
      </c>
      <c r="K91" s="33">
        <f>HARF!CH32</f>
        <v>-364.3125</v>
      </c>
      <c r="M91" s="28">
        <f>HARF!CJ32</f>
        <v>0</v>
      </c>
      <c r="N91" s="28">
        <f>HARF!CK32</f>
        <v>0</v>
      </c>
      <c r="O91" s="28">
        <f>HARF!CL32</f>
        <v>0</v>
      </c>
      <c r="P91" s="28">
        <f>HARF!CM32</f>
        <v>-1</v>
      </c>
      <c r="Q91" s="28">
        <f>HARF!CN32</f>
        <v>0</v>
      </c>
      <c r="R91" s="28">
        <f>HARF!CO32</f>
        <v>0</v>
      </c>
      <c r="T91" s="28">
        <f>F58</f>
        <v>-8.8765688706480249E-4</v>
      </c>
      <c r="U91" s="34">
        <f>HARF!BM33</f>
        <v>2</v>
      </c>
    </row>
    <row r="92" spans="1:21">
      <c r="D92" t="s">
        <v>88</v>
      </c>
      <c r="F92" s="33">
        <f>HARF!CC33</f>
        <v>0</v>
      </c>
      <c r="G92" s="33">
        <f>HARF!CD33</f>
        <v>364.3125</v>
      </c>
      <c r="H92" s="33">
        <f>HARF!CE33</f>
        <v>971.49999999999989</v>
      </c>
      <c r="I92" s="33">
        <f>HARF!CF33</f>
        <v>0</v>
      </c>
      <c r="J92" s="33">
        <f>HARF!CG33</f>
        <v>-364.3125</v>
      </c>
      <c r="K92" s="33">
        <f>HARF!CH33</f>
        <v>1942.9999999999998</v>
      </c>
      <c r="M92" s="28">
        <f>HARF!CJ33</f>
        <v>0</v>
      </c>
      <c r="N92" s="28">
        <f>HARF!CK33</f>
        <v>0</v>
      </c>
      <c r="O92" s="28">
        <f>HARF!CL33</f>
        <v>0</v>
      </c>
      <c r="P92" s="28">
        <f>HARF!CM33</f>
        <v>0</v>
      </c>
      <c r="Q92" s="28">
        <f>HARF!CN33</f>
        <v>0</v>
      </c>
      <c r="R92" s="28">
        <f>HARF!CO33</f>
        <v>1</v>
      </c>
      <c r="T92" s="28">
        <f>F59</f>
        <v>-3.2414679237256473E-2</v>
      </c>
      <c r="U92" s="34">
        <f>HARF!BM34</f>
        <v>3</v>
      </c>
    </row>
    <row r="94" spans="1:21" ht="12.75">
      <c r="N94" s="31" t="s">
        <v>82</v>
      </c>
    </row>
    <row r="95" spans="1:21">
      <c r="D95" t="s">
        <v>83</v>
      </c>
      <c r="F95" s="28">
        <f t="array" ref="F95:K100">MMULT(F87:K92,M87:R92)</f>
        <v>0</v>
      </c>
      <c r="G95" s="28">
        <v>71250</v>
      </c>
      <c r="H95" s="28">
        <v>0</v>
      </c>
      <c r="I95" s="28">
        <v>0</v>
      </c>
      <c r="J95" s="28">
        <v>-71250</v>
      </c>
      <c r="K95" s="28">
        <v>0</v>
      </c>
      <c r="M95" s="28">
        <f t="shared" ref="M95:M100" si="7">T87</f>
        <v>0</v>
      </c>
    </row>
    <row r="96" spans="1:21">
      <c r="D96" t="s">
        <v>84</v>
      </c>
      <c r="F96" s="28">
        <v>-91.078125</v>
      </c>
      <c r="G96" s="28">
        <v>0</v>
      </c>
      <c r="H96" s="28">
        <v>364.3125</v>
      </c>
      <c r="I96" s="28">
        <v>91.078125</v>
      </c>
      <c r="J96" s="28">
        <v>0</v>
      </c>
      <c r="K96" s="28">
        <v>364.3125</v>
      </c>
      <c r="M96" s="28">
        <f t="shared" si="7"/>
        <v>0</v>
      </c>
    </row>
    <row r="97" spans="4:13">
      <c r="D97" t="s">
        <v>85</v>
      </c>
      <c r="E97" t="s">
        <v>56</v>
      </c>
      <c r="F97" s="28">
        <v>-364.3125</v>
      </c>
      <c r="G97" s="28">
        <v>0</v>
      </c>
      <c r="H97" s="28">
        <v>1942.9999999999998</v>
      </c>
      <c r="I97" s="28">
        <v>364.3125</v>
      </c>
      <c r="J97" s="28">
        <v>0</v>
      </c>
      <c r="K97" s="28">
        <v>971.49999999999989</v>
      </c>
      <c r="M97" s="28">
        <f t="shared" si="7"/>
        <v>0</v>
      </c>
    </row>
    <row r="98" spans="4:13">
      <c r="D98" t="s">
        <v>86</v>
      </c>
      <c r="F98" s="28">
        <v>0</v>
      </c>
      <c r="G98" s="28">
        <v>-71250</v>
      </c>
      <c r="H98" s="28">
        <v>0</v>
      </c>
      <c r="I98" s="28">
        <v>0</v>
      </c>
      <c r="J98" s="28">
        <v>71250</v>
      </c>
      <c r="K98" s="28">
        <v>0</v>
      </c>
      <c r="M98" s="28">
        <f t="shared" si="7"/>
        <v>-7.3550700301192512E-2</v>
      </c>
    </row>
    <row r="99" spans="4:13">
      <c r="D99" t="s">
        <v>87</v>
      </c>
      <c r="F99" s="28">
        <v>91.078125</v>
      </c>
      <c r="G99" s="28">
        <v>0</v>
      </c>
      <c r="H99" s="28">
        <v>-364.3125</v>
      </c>
      <c r="I99" s="28">
        <v>-91.078125</v>
      </c>
      <c r="J99" s="28">
        <v>0</v>
      </c>
      <c r="K99" s="28">
        <v>-364.3125</v>
      </c>
      <c r="M99" s="28">
        <f t="shared" si="7"/>
        <v>-8.8765688706480249E-4</v>
      </c>
    </row>
    <row r="100" spans="4:13">
      <c r="D100" t="s">
        <v>88</v>
      </c>
      <c r="F100" s="28">
        <v>-364.3125</v>
      </c>
      <c r="G100" s="28">
        <v>0</v>
      </c>
      <c r="H100" s="28">
        <v>971.49999999999989</v>
      </c>
      <c r="I100" s="28">
        <v>364.3125</v>
      </c>
      <c r="J100" s="28">
        <v>0</v>
      </c>
      <c r="K100" s="28">
        <v>1942.9999999999998</v>
      </c>
      <c r="M100" s="28">
        <f t="shared" si="7"/>
        <v>-3.2414679237256473E-2</v>
      </c>
    </row>
    <row r="103" spans="4:13">
      <c r="D103" t="s">
        <v>83</v>
      </c>
      <c r="F103">
        <f t="array" ref="F103:F108">MMULT(F95:K100,M95:M100)</f>
        <v>63.24555320336718</v>
      </c>
      <c r="H103" s="27"/>
      <c r="I103" s="27" t="s">
        <v>90</v>
      </c>
      <c r="J103" s="27" t="s">
        <v>92</v>
      </c>
      <c r="K103" s="27" t="s">
        <v>94</v>
      </c>
    </row>
    <row r="104" spans="4:13">
      <c r="D104" t="s">
        <v>84</v>
      </c>
      <c r="F104">
        <v>-18.507932705492546</v>
      </c>
      <c r="H104" s="27" t="s">
        <v>91</v>
      </c>
      <c r="I104" s="27" t="s">
        <v>89</v>
      </c>
      <c r="J104" s="27" t="s">
        <v>93</v>
      </c>
      <c r="K104" s="27" t="s">
        <v>95</v>
      </c>
    </row>
    <row r="105" spans="4:13">
      <c r="D105" t="s">
        <v>85</v>
      </c>
      <c r="E105" t="s">
        <v>56</v>
      </c>
      <c r="F105">
        <v>-58.286300382472859</v>
      </c>
      <c r="H105" s="27">
        <v>0</v>
      </c>
      <c r="I105" s="40">
        <f>F106</f>
        <v>-63.24555320336718</v>
      </c>
      <c r="J105" s="40">
        <f>F104</f>
        <v>-18.507932705492546</v>
      </c>
      <c r="K105" s="40">
        <f>-F105</f>
        <v>58.286300382472859</v>
      </c>
    </row>
    <row r="106" spans="4:13">
      <c r="D106" t="s">
        <v>86</v>
      </c>
      <c r="F106">
        <v>-63.24555320336718</v>
      </c>
      <c r="H106" s="27">
        <f>HARF!BJ5</f>
        <v>8</v>
      </c>
      <c r="I106" s="40">
        <f>I105</f>
        <v>-63.24555320336718</v>
      </c>
      <c r="J106" s="40">
        <f>J105</f>
        <v>-18.507932705492546</v>
      </c>
      <c r="K106" s="40">
        <f>F108</f>
        <v>-89.777161261467512</v>
      </c>
    </row>
    <row r="107" spans="4:13">
      <c r="D107" t="s">
        <v>87</v>
      </c>
      <c r="F107">
        <v>18.507932705492546</v>
      </c>
    </row>
    <row r="108" spans="4:13">
      <c r="D108" t="s">
        <v>88</v>
      </c>
      <c r="F108">
        <v>-89.777161261467512</v>
      </c>
    </row>
    <row r="113" spans="1:21" ht="12.75">
      <c r="A113" s="47" t="s">
        <v>96</v>
      </c>
      <c r="D113" t="s">
        <v>83</v>
      </c>
      <c r="F113" s="33">
        <f>HARF!CC37</f>
        <v>90124.913314798803</v>
      </c>
      <c r="G113" s="33">
        <f>HARF!CD37</f>
        <v>0</v>
      </c>
      <c r="H113" s="33">
        <f>HARF!CE37</f>
        <v>0</v>
      </c>
      <c r="I113" s="33">
        <f>HARF!CF37</f>
        <v>-90124.913314798803</v>
      </c>
      <c r="J113" s="33">
        <f>HARF!CG37</f>
        <v>0</v>
      </c>
      <c r="K113" s="33">
        <f>HARF!CH37</f>
        <v>0</v>
      </c>
      <c r="M113" s="28">
        <f>HARF!CJ37</f>
        <v>0.94868329805051377</v>
      </c>
      <c r="N113" s="28">
        <f>HARF!CK37</f>
        <v>0.31622776601683794</v>
      </c>
      <c r="O113" s="28">
        <f>HARF!CL37</f>
        <v>0</v>
      </c>
      <c r="P113" s="28">
        <f>HARF!CM37</f>
        <v>0</v>
      </c>
      <c r="Q113" s="28">
        <f>HARF!CN37</f>
        <v>0</v>
      </c>
      <c r="R113" s="28">
        <f>HARF!CO37</f>
        <v>0</v>
      </c>
      <c r="T113" s="28">
        <f t="shared" ref="T113:T118" si="8">F57</f>
        <v>-7.3550700301192512E-2</v>
      </c>
      <c r="U113" s="34">
        <f>HARF!BM38</f>
        <v>1</v>
      </c>
    </row>
    <row r="114" spans="1:21">
      <c r="D114" t="s">
        <v>84</v>
      </c>
      <c r="F114" s="33">
        <f>HARF!CC38</f>
        <v>0</v>
      </c>
      <c r="G114" s="33">
        <f>HARF!CD38</f>
        <v>184.32916481121478</v>
      </c>
      <c r="H114" s="33">
        <f>HARF!CE38</f>
        <v>582.89999999999986</v>
      </c>
      <c r="I114" s="33">
        <f>HARF!CF38</f>
        <v>0</v>
      </c>
      <c r="J114" s="33">
        <f>HARF!CG38</f>
        <v>-184.32916481121478</v>
      </c>
      <c r="K114" s="33">
        <f>HARF!CH38</f>
        <v>582.89999999999986</v>
      </c>
      <c r="M114" s="28">
        <f>HARF!CJ38</f>
        <v>-0.31622776601683794</v>
      </c>
      <c r="N114" s="28">
        <f>HARF!CK38</f>
        <v>0.94868329805051377</v>
      </c>
      <c r="O114" s="28">
        <f>HARF!CL38</f>
        <v>0</v>
      </c>
      <c r="P114" s="28">
        <f>HARF!CM38</f>
        <v>0</v>
      </c>
      <c r="Q114" s="28">
        <f>HARF!CN38</f>
        <v>0</v>
      </c>
      <c r="R114" s="28">
        <f>HARF!CO38</f>
        <v>0</v>
      </c>
      <c r="T114" s="28">
        <f t="shared" si="8"/>
        <v>-8.8765688706480249E-4</v>
      </c>
      <c r="U114" s="34">
        <f>HARF!BM39</f>
        <v>2</v>
      </c>
    </row>
    <row r="115" spans="1:21">
      <c r="D115" t="s">
        <v>85</v>
      </c>
      <c r="E115" t="s">
        <v>56</v>
      </c>
      <c r="F115" s="33">
        <f>HARF!CC39</f>
        <v>0</v>
      </c>
      <c r="G115" s="33">
        <f>HARF!CD39</f>
        <v>582.89999999999986</v>
      </c>
      <c r="H115" s="33">
        <f>HARF!CE39</f>
        <v>2457.722197482864</v>
      </c>
      <c r="I115" s="33">
        <f>HARF!CF39</f>
        <v>0</v>
      </c>
      <c r="J115" s="33">
        <f>HARF!CG39</f>
        <v>-582.89999999999986</v>
      </c>
      <c r="K115" s="33">
        <f>HARF!CH39</f>
        <v>1228.861098741432</v>
      </c>
      <c r="M115" s="28">
        <f>HARF!CJ39</f>
        <v>0</v>
      </c>
      <c r="N115" s="28">
        <f>HARF!CK39</f>
        <v>0</v>
      </c>
      <c r="O115" s="28">
        <f>HARF!CL39</f>
        <v>1</v>
      </c>
      <c r="P115" s="28">
        <f>HARF!CM39</f>
        <v>0</v>
      </c>
      <c r="Q115" s="28">
        <f>HARF!CN39</f>
        <v>0</v>
      </c>
      <c r="R115" s="28">
        <f>HARF!CO39</f>
        <v>0</v>
      </c>
      <c r="T115" s="28">
        <f t="shared" si="8"/>
        <v>-3.2414679237256473E-2</v>
      </c>
      <c r="U115" s="34">
        <f>HARF!BM40</f>
        <v>3</v>
      </c>
    </row>
    <row r="116" spans="1:21">
      <c r="D116" t="s">
        <v>86</v>
      </c>
      <c r="F116" s="33">
        <f>HARF!CC40</f>
        <v>-90124.913314798803</v>
      </c>
      <c r="G116" s="33">
        <f>HARF!CD40</f>
        <v>0</v>
      </c>
      <c r="H116" s="33">
        <f>HARF!CE40</f>
        <v>0</v>
      </c>
      <c r="I116" s="33">
        <f>HARF!CF40</f>
        <v>90124.913314798803</v>
      </c>
      <c r="J116" s="33">
        <f>HARF!CG40</f>
        <v>0</v>
      </c>
      <c r="K116" s="33">
        <f>HARF!CH40</f>
        <v>0</v>
      </c>
      <c r="M116" s="28">
        <f>HARF!CJ40</f>
        <v>0</v>
      </c>
      <c r="N116" s="28">
        <f>HARF!CK40</f>
        <v>0</v>
      </c>
      <c r="O116" s="28">
        <f>HARF!CL40</f>
        <v>0</v>
      </c>
      <c r="P116" s="28">
        <f>HARF!CM40</f>
        <v>0.94868329805051377</v>
      </c>
      <c r="Q116" s="28">
        <f>HARF!CN40</f>
        <v>0.31622776601683794</v>
      </c>
      <c r="R116" s="28">
        <f>HARF!CO40</f>
        <v>0</v>
      </c>
      <c r="T116" s="28">
        <f t="shared" si="8"/>
        <v>8.0005446712050343E-15</v>
      </c>
      <c r="U116" s="34">
        <f>HARF!BM41</f>
        <v>4</v>
      </c>
    </row>
    <row r="117" spans="1:21">
      <c r="D117" t="s">
        <v>87</v>
      </c>
      <c r="F117" s="33">
        <f>HARF!CC41</f>
        <v>0</v>
      </c>
      <c r="G117" s="33">
        <f>HARF!CD41</f>
        <v>-184.32916481121478</v>
      </c>
      <c r="H117" s="33">
        <f>HARF!CE41</f>
        <v>-582.89999999999986</v>
      </c>
      <c r="I117" s="33">
        <f>HARF!CF41</f>
        <v>0</v>
      </c>
      <c r="J117" s="33">
        <f>HARF!CG41</f>
        <v>184.32916481121478</v>
      </c>
      <c r="K117" s="33">
        <f>HARF!CH41</f>
        <v>-582.89999999999986</v>
      </c>
      <c r="M117" s="28">
        <f>HARF!CJ41</f>
        <v>0</v>
      </c>
      <c r="N117" s="28">
        <f>HARF!CK41</f>
        <v>0</v>
      </c>
      <c r="O117" s="28">
        <f>HARF!CL41</f>
        <v>0</v>
      </c>
      <c r="P117" s="28">
        <f>HARF!CM41</f>
        <v>-0.31622776601683794</v>
      </c>
      <c r="Q117" s="28">
        <f>HARF!CN41</f>
        <v>0.94868329805051377</v>
      </c>
      <c r="R117" s="28">
        <f>HARF!CO41</f>
        <v>0</v>
      </c>
      <c r="T117" s="28">
        <f t="shared" si="8"/>
        <v>-0.22250671100607489</v>
      </c>
      <c r="U117" s="34">
        <f>HARF!BM42</f>
        <v>5</v>
      </c>
    </row>
    <row r="118" spans="1:21">
      <c r="D118" t="s">
        <v>88</v>
      </c>
      <c r="F118" s="33">
        <f>HARF!CC42</f>
        <v>0</v>
      </c>
      <c r="G118" s="33">
        <f>HARF!CD42</f>
        <v>582.89999999999986</v>
      </c>
      <c r="H118" s="33">
        <f>HARF!CE42</f>
        <v>1228.861098741432</v>
      </c>
      <c r="I118" s="33">
        <f>HARF!CF42</f>
        <v>0</v>
      </c>
      <c r="J118" s="33">
        <f>HARF!CG42</f>
        <v>-582.89999999999986</v>
      </c>
      <c r="K118" s="33">
        <f>HARF!CH42</f>
        <v>2457.722197482864</v>
      </c>
      <c r="M118" s="28">
        <f>HARF!CJ42</f>
        <v>0</v>
      </c>
      <c r="N118" s="28">
        <f>HARF!CK42</f>
        <v>0</v>
      </c>
      <c r="O118" s="28">
        <f>HARF!CL42</f>
        <v>0</v>
      </c>
      <c r="P118" s="28">
        <f>HARF!CM42</f>
        <v>0</v>
      </c>
      <c r="Q118" s="28">
        <f>HARF!CN42</f>
        <v>0</v>
      </c>
      <c r="R118" s="28">
        <f>HARF!CO42</f>
        <v>1</v>
      </c>
      <c r="T118" s="28">
        <f t="shared" si="8"/>
        <v>3.8337388819087437E-16</v>
      </c>
      <c r="U118" s="34">
        <f>HARF!BM43</f>
        <v>6</v>
      </c>
    </row>
    <row r="121" spans="1:21">
      <c r="D121" t="s">
        <v>83</v>
      </c>
      <c r="F121" s="28">
        <f t="array" ref="F121:K126">MMULT(F113:K118,M113:R118)</f>
        <v>85499.999999999985</v>
      </c>
      <c r="G121" s="28">
        <v>28500</v>
      </c>
      <c r="H121" s="28">
        <v>0</v>
      </c>
      <c r="I121" s="28">
        <v>-85499.999999999985</v>
      </c>
      <c r="J121" s="28">
        <v>-28500</v>
      </c>
      <c r="K121" s="28">
        <v>0</v>
      </c>
      <c r="M121" s="28">
        <f t="shared" ref="M121:M126" si="9">T113</f>
        <v>-7.3550700301192512E-2</v>
      </c>
    </row>
    <row r="122" spans="1:21">
      <c r="D122" t="s">
        <v>84</v>
      </c>
      <c r="F122" s="28">
        <v>-58.289999999999985</v>
      </c>
      <c r="G122" s="28">
        <v>174.86999999999995</v>
      </c>
      <c r="H122" s="28">
        <v>582.89999999999986</v>
      </c>
      <c r="I122" s="28">
        <v>58.289999999999985</v>
      </c>
      <c r="J122" s="28">
        <v>-174.86999999999995</v>
      </c>
      <c r="K122" s="28">
        <v>582.89999999999986</v>
      </c>
      <c r="M122" s="28">
        <f t="shared" si="9"/>
        <v>-8.8765688706480249E-4</v>
      </c>
    </row>
    <row r="123" spans="1:21">
      <c r="D123" t="s">
        <v>85</v>
      </c>
      <c r="E123" t="s">
        <v>56</v>
      </c>
      <c r="F123" s="28">
        <v>-184.32916481121478</v>
      </c>
      <c r="G123" s="28">
        <v>552.98749443364431</v>
      </c>
      <c r="H123" s="28">
        <v>2457.722197482864</v>
      </c>
      <c r="I123" s="28">
        <v>184.32916481121478</v>
      </c>
      <c r="J123" s="28">
        <v>-552.98749443364431</v>
      </c>
      <c r="K123" s="28">
        <v>1228.861098741432</v>
      </c>
      <c r="M123" s="28">
        <f t="shared" si="9"/>
        <v>-3.2414679237256473E-2</v>
      </c>
    </row>
    <row r="124" spans="1:21">
      <c r="D124" t="s">
        <v>86</v>
      </c>
      <c r="F124" s="28">
        <v>-85499.999999999985</v>
      </c>
      <c r="G124" s="28">
        <v>-28500</v>
      </c>
      <c r="H124" s="28">
        <v>0</v>
      </c>
      <c r="I124" s="28">
        <v>85499.999999999985</v>
      </c>
      <c r="J124" s="28">
        <v>28500</v>
      </c>
      <c r="K124" s="28">
        <v>0</v>
      </c>
      <c r="M124" s="28">
        <f t="shared" si="9"/>
        <v>8.0005446712050343E-15</v>
      </c>
    </row>
    <row r="125" spans="1:21">
      <c r="D125" t="s">
        <v>87</v>
      </c>
      <c r="F125" s="28">
        <v>58.289999999999985</v>
      </c>
      <c r="G125" s="28">
        <v>-174.86999999999995</v>
      </c>
      <c r="H125" s="28">
        <v>-582.89999999999986</v>
      </c>
      <c r="I125" s="28">
        <v>-58.289999999999985</v>
      </c>
      <c r="J125" s="28">
        <v>174.86999999999995</v>
      </c>
      <c r="K125" s="28">
        <v>-582.89999999999986</v>
      </c>
      <c r="M125" s="28">
        <f t="shared" si="9"/>
        <v>-0.22250671100607489</v>
      </c>
    </row>
    <row r="126" spans="1:21">
      <c r="D126" t="s">
        <v>88</v>
      </c>
      <c r="F126" s="28">
        <v>-184.32916481121478</v>
      </c>
      <c r="G126" s="28">
        <v>552.98749443364431</v>
      </c>
      <c r="H126" s="28">
        <v>1228.861098741432</v>
      </c>
      <c r="I126" s="28">
        <v>184.32916481121478</v>
      </c>
      <c r="J126" s="28">
        <v>-552.98749443364431</v>
      </c>
      <c r="K126" s="28">
        <v>2457.722197482864</v>
      </c>
      <c r="M126" s="28">
        <f t="shared" si="9"/>
        <v>3.8337388819087437E-16</v>
      </c>
    </row>
    <row r="129" spans="4:14">
      <c r="D129" t="s">
        <v>83</v>
      </c>
      <c r="F129">
        <f t="array" ref="F129:F134">MMULT(F121:K126,M121:M126)</f>
        <v>27.558166639144474</v>
      </c>
    </row>
    <row r="130" spans="4:14">
      <c r="D130" t="s">
        <v>84</v>
      </c>
      <c r="F130">
        <v>24.147277786951694</v>
      </c>
    </row>
    <row r="131" spans="4:14">
      <c r="D131" t="s">
        <v>85</v>
      </c>
      <c r="E131" t="s">
        <v>56</v>
      </c>
      <c r="F131">
        <v>56.443827928134198</v>
      </c>
    </row>
    <row r="132" spans="4:14">
      <c r="D132" t="s">
        <v>86</v>
      </c>
      <c r="F132">
        <v>-27.558166639144474</v>
      </c>
    </row>
    <row r="133" spans="4:14">
      <c r="D133" t="s">
        <v>87</v>
      </c>
      <c r="F133">
        <v>-24.147277786951694</v>
      </c>
    </row>
    <row r="134" spans="4:14">
      <c r="D134" t="s">
        <v>88</v>
      </c>
      <c r="F134">
        <v>96.276966270980722</v>
      </c>
    </row>
    <row r="136" spans="4:14">
      <c r="D136" t="s">
        <v>100</v>
      </c>
    </row>
    <row r="137" spans="4:14">
      <c r="D137" t="s">
        <v>101</v>
      </c>
    </row>
    <row r="138" spans="4:14">
      <c r="D138" t="s">
        <v>102</v>
      </c>
    </row>
    <row r="140" spans="4:14">
      <c r="E140" t="s">
        <v>83</v>
      </c>
      <c r="G140" s="28">
        <f>HARF!CJ37</f>
        <v>0.94868329805051377</v>
      </c>
      <c r="H140" s="28">
        <f>HARF!CK37</f>
        <v>0.31622776601683794</v>
      </c>
      <c r="I140" s="28">
        <f>HARF!CL37</f>
        <v>0</v>
      </c>
      <c r="J140" s="28">
        <f>HARF!CM37</f>
        <v>0</v>
      </c>
      <c r="K140" s="28">
        <f>HARF!CN37</f>
        <v>0</v>
      </c>
      <c r="L140" s="28">
        <f>HARF!CO37</f>
        <v>0</v>
      </c>
      <c r="N140" s="28">
        <v>0</v>
      </c>
    </row>
    <row r="141" spans="4:14">
      <c r="E141" t="s">
        <v>84</v>
      </c>
      <c r="G141" s="28">
        <f>HARF!CJ38</f>
        <v>-0.31622776601683794</v>
      </c>
      <c r="H141" s="28">
        <f>HARF!CK38</f>
        <v>0.94868329805051377</v>
      </c>
      <c r="I141" s="28">
        <f>HARF!CL38</f>
        <v>0</v>
      </c>
      <c r="J141" s="28">
        <f>HARF!CM38</f>
        <v>0</v>
      </c>
      <c r="K141" s="28">
        <f>HARF!CN38</f>
        <v>0</v>
      </c>
      <c r="L141" s="28">
        <f>HARF!CO38</f>
        <v>0</v>
      </c>
      <c r="N141" s="28">
        <f>-1*D14</f>
        <v>31.622776601683796</v>
      </c>
    </row>
    <row r="142" spans="4:14">
      <c r="D142" s="25" t="s">
        <v>103</v>
      </c>
      <c r="E142" t="s">
        <v>85</v>
      </c>
      <c r="F142" t="s">
        <v>56</v>
      </c>
      <c r="G142" s="28">
        <f>HARF!CJ39</f>
        <v>0</v>
      </c>
      <c r="H142" s="28">
        <f>HARF!CK39</f>
        <v>0</v>
      </c>
      <c r="I142" s="28">
        <f>HARF!CL39</f>
        <v>1</v>
      </c>
      <c r="J142" s="28">
        <f>HARF!CM39</f>
        <v>0</v>
      </c>
      <c r="K142" s="28">
        <f>HARF!CN39</f>
        <v>0</v>
      </c>
      <c r="L142" s="28">
        <f>HARF!CO39</f>
        <v>0</v>
      </c>
      <c r="N142" s="28">
        <f>-1*D15</f>
        <v>33.333333333333336</v>
      </c>
    </row>
    <row r="143" spans="4:14">
      <c r="E143" t="s">
        <v>86</v>
      </c>
      <c r="G143" s="28">
        <f>HARF!CJ40</f>
        <v>0</v>
      </c>
      <c r="H143" s="28">
        <f>HARF!CK40</f>
        <v>0</v>
      </c>
      <c r="I143" s="28">
        <f>HARF!CL40</f>
        <v>0</v>
      </c>
      <c r="J143" s="28">
        <f>HARF!CM40</f>
        <v>0.94868329805051377</v>
      </c>
      <c r="K143" s="28">
        <f>HARF!CN40</f>
        <v>0.31622776601683794</v>
      </c>
      <c r="L143" s="28">
        <f>HARF!CO40</f>
        <v>0</v>
      </c>
      <c r="N143" s="28">
        <v>0</v>
      </c>
    </row>
    <row r="144" spans="4:14">
      <c r="E144" t="s">
        <v>87</v>
      </c>
      <c r="G144" s="28">
        <f>HARF!CJ41</f>
        <v>0</v>
      </c>
      <c r="H144" s="28">
        <f>HARF!CK41</f>
        <v>0</v>
      </c>
      <c r="I144" s="28">
        <f>HARF!CL41</f>
        <v>0</v>
      </c>
      <c r="J144" s="28">
        <f>HARF!CM41</f>
        <v>-0.31622776601683794</v>
      </c>
      <c r="K144" s="28">
        <f>HARF!CN41</f>
        <v>0.94868329805051377</v>
      </c>
      <c r="L144" s="28">
        <f>HARF!CO41</f>
        <v>0</v>
      </c>
      <c r="N144" s="28">
        <f>N141</f>
        <v>31.622776601683796</v>
      </c>
    </row>
    <row r="145" spans="4:18">
      <c r="E145" t="s">
        <v>88</v>
      </c>
      <c r="G145" s="28">
        <f>HARF!CJ42</f>
        <v>0</v>
      </c>
      <c r="H145" s="28">
        <f>HARF!CK42</f>
        <v>0</v>
      </c>
      <c r="I145" s="28">
        <f>HARF!CL42</f>
        <v>0</v>
      </c>
      <c r="J145" s="28">
        <f>HARF!CM42</f>
        <v>0</v>
      </c>
      <c r="K145" s="28">
        <f>HARF!CN42</f>
        <v>0</v>
      </c>
      <c r="L145" s="28">
        <f>HARF!CO42</f>
        <v>1</v>
      </c>
      <c r="N145" s="28">
        <f>-1*N142</f>
        <v>-33.333333333333336</v>
      </c>
    </row>
    <row r="146" spans="4:18" ht="12.75">
      <c r="R146" s="31" t="s">
        <v>96</v>
      </c>
    </row>
    <row r="147" spans="4:18">
      <c r="E147" t="s">
        <v>83</v>
      </c>
      <c r="G147">
        <f t="array" ref="G147:G152">MMULT(G140:L145,N140:N145)</f>
        <v>10.000000000000002</v>
      </c>
    </row>
    <row r="148" spans="4:18">
      <c r="E148" t="s">
        <v>84</v>
      </c>
      <c r="G148">
        <v>30</v>
      </c>
    </row>
    <row r="149" spans="4:18">
      <c r="D149" s="25" t="s">
        <v>103</v>
      </c>
      <c r="E149" t="s">
        <v>85</v>
      </c>
      <c r="F149" t="s">
        <v>56</v>
      </c>
      <c r="G149">
        <v>33.333333333333336</v>
      </c>
    </row>
    <row r="150" spans="4:18">
      <c r="E150" t="s">
        <v>86</v>
      </c>
      <c r="G150">
        <v>10.000000000000002</v>
      </c>
    </row>
    <row r="151" spans="4:18">
      <c r="E151" t="s">
        <v>87</v>
      </c>
      <c r="G151">
        <v>30</v>
      </c>
    </row>
    <row r="152" spans="4:18">
      <c r="E152" t="s">
        <v>88</v>
      </c>
      <c r="G152">
        <v>-33.333333333333336</v>
      </c>
    </row>
    <row r="154" spans="4:18">
      <c r="F154" s="28">
        <f t="shared" ref="F154:F159" si="10">F129</f>
        <v>27.558166639144474</v>
      </c>
      <c r="H154" s="28">
        <f t="shared" ref="H154:H159" si="11">G147</f>
        <v>10.000000000000002</v>
      </c>
      <c r="J154">
        <f t="shared" ref="J154:J159" si="12">F154+H154</f>
        <v>37.558166639144474</v>
      </c>
      <c r="L154" s="27"/>
      <c r="M154" s="27" t="s">
        <v>90</v>
      </c>
      <c r="N154" s="27" t="s">
        <v>92</v>
      </c>
      <c r="O154" s="27" t="s">
        <v>94</v>
      </c>
    </row>
    <row r="155" spans="4:18">
      <c r="F155" s="28">
        <f t="shared" si="10"/>
        <v>24.147277786951694</v>
      </c>
      <c r="H155" s="28">
        <f t="shared" si="11"/>
        <v>30</v>
      </c>
      <c r="J155">
        <f t="shared" si="12"/>
        <v>54.14727778695169</v>
      </c>
      <c r="L155" s="27" t="s">
        <v>91</v>
      </c>
      <c r="M155" s="27" t="s">
        <v>89</v>
      </c>
      <c r="N155" s="27" t="s">
        <v>93</v>
      </c>
      <c r="O155" s="27" t="s">
        <v>95</v>
      </c>
    </row>
    <row r="156" spans="4:18">
      <c r="D156" t="s">
        <v>104</v>
      </c>
      <c r="F156" s="28">
        <f t="shared" si="10"/>
        <v>56.443827928134198</v>
      </c>
      <c r="G156" s="25" t="s">
        <v>105</v>
      </c>
      <c r="H156" s="28">
        <f t="shared" si="11"/>
        <v>33.333333333333336</v>
      </c>
      <c r="I156" s="25" t="s">
        <v>56</v>
      </c>
      <c r="J156">
        <f t="shared" si="12"/>
        <v>89.77716126146754</v>
      </c>
      <c r="L156" s="27">
        <v>0</v>
      </c>
      <c r="M156" s="40">
        <f>-1*J154</f>
        <v>-37.558166639144474</v>
      </c>
      <c r="N156" s="40">
        <f>J155</f>
        <v>54.14727778695169</v>
      </c>
      <c r="O156" s="40">
        <f>-J156</f>
        <v>-89.77716126146754</v>
      </c>
    </row>
    <row r="157" spans="4:18">
      <c r="F157" s="28">
        <f t="shared" si="10"/>
        <v>-27.558166639144474</v>
      </c>
      <c r="H157" s="28">
        <f t="shared" si="11"/>
        <v>10.000000000000002</v>
      </c>
      <c r="J157">
        <f t="shared" si="12"/>
        <v>-17.558166639144474</v>
      </c>
      <c r="L157" s="27">
        <f>HARF!BJ41</f>
        <v>6.324555320336759</v>
      </c>
      <c r="M157" s="40">
        <f>J157</f>
        <v>-17.558166639144474</v>
      </c>
      <c r="N157" s="40">
        <f>-J158</f>
        <v>-5.8527222130483061</v>
      </c>
      <c r="O157" s="40">
        <f>J159</f>
        <v>62.943632937647386</v>
      </c>
    </row>
    <row r="158" spans="4:18">
      <c r="F158" s="28">
        <f t="shared" si="10"/>
        <v>-24.147277786951694</v>
      </c>
      <c r="H158" s="28">
        <f t="shared" si="11"/>
        <v>30</v>
      </c>
      <c r="J158">
        <f t="shared" si="12"/>
        <v>5.8527222130483061</v>
      </c>
    </row>
    <row r="159" spans="4:18">
      <c r="F159" s="28">
        <f t="shared" si="10"/>
        <v>96.276966270980722</v>
      </c>
      <c r="H159" s="28">
        <f t="shared" si="11"/>
        <v>-33.333333333333336</v>
      </c>
      <c r="J159">
        <f t="shared" si="12"/>
        <v>62.943632937647386</v>
      </c>
    </row>
    <row r="163" spans="1:21" ht="12.75">
      <c r="A163" s="47" t="s">
        <v>97</v>
      </c>
      <c r="D163" t="s">
        <v>83</v>
      </c>
      <c r="F163" s="33">
        <f>HARF!CC46</f>
        <v>90124.913314798803</v>
      </c>
      <c r="G163" s="33">
        <f>HARF!CD46</f>
        <v>0</v>
      </c>
      <c r="H163" s="33">
        <f>HARF!CE46</f>
        <v>0</v>
      </c>
      <c r="I163" s="33">
        <f>HARF!CF46</f>
        <v>-90124.913314798803</v>
      </c>
      <c r="J163" s="33">
        <f>HARF!CG46</f>
        <v>0</v>
      </c>
      <c r="K163" s="33">
        <f>HARF!CH46</f>
        <v>0</v>
      </c>
      <c r="M163" s="28">
        <f>HARF!CJ46</f>
        <v>0.94868329805051377</v>
      </c>
      <c r="N163" s="28">
        <f>HARF!CK46</f>
        <v>-0.31622776601683794</v>
      </c>
      <c r="O163" s="28">
        <f>HARF!CL46</f>
        <v>0</v>
      </c>
      <c r="P163" s="28">
        <f>HARF!CM46</f>
        <v>0</v>
      </c>
      <c r="Q163" s="28">
        <f>HARF!CN46</f>
        <v>0</v>
      </c>
      <c r="R163" s="28">
        <f>HARF!CO46</f>
        <v>0</v>
      </c>
      <c r="T163" s="28">
        <f t="shared" ref="T163:T168" si="13">F60</f>
        <v>8.0005446712050343E-15</v>
      </c>
      <c r="U163" s="34">
        <f>HARF!BM47</f>
        <v>4</v>
      </c>
    </row>
    <row r="164" spans="1:21">
      <c r="D164" t="s">
        <v>84</v>
      </c>
      <c r="F164" s="33">
        <f>HARF!CC47</f>
        <v>0</v>
      </c>
      <c r="G164" s="33">
        <f>HARF!CD47</f>
        <v>184.32916481121478</v>
      </c>
      <c r="H164" s="33">
        <f>HARF!CE47</f>
        <v>582.89999999999986</v>
      </c>
      <c r="I164" s="33">
        <f>HARF!CF47</f>
        <v>0</v>
      </c>
      <c r="J164" s="33">
        <f>HARF!CG47</f>
        <v>-184.32916481121478</v>
      </c>
      <c r="K164" s="33">
        <f>HARF!CH47</f>
        <v>582.89999999999986</v>
      </c>
      <c r="M164" s="28">
        <f>HARF!CJ47</f>
        <v>0.31622776601683794</v>
      </c>
      <c r="N164" s="28">
        <f>HARF!CK47</f>
        <v>0.94868329805051377</v>
      </c>
      <c r="O164" s="28">
        <f>HARF!CL47</f>
        <v>0</v>
      </c>
      <c r="P164" s="28">
        <f>HARF!CM47</f>
        <v>0</v>
      </c>
      <c r="Q164" s="28">
        <f>HARF!CN47</f>
        <v>0</v>
      </c>
      <c r="R164" s="28">
        <f>HARF!CO47</f>
        <v>0</v>
      </c>
      <c r="T164" s="28">
        <f t="shared" si="13"/>
        <v>-0.22250671100607489</v>
      </c>
      <c r="U164" s="34">
        <f>HARF!BM48</f>
        <v>5</v>
      </c>
    </row>
    <row r="165" spans="1:21">
      <c r="D165" t="s">
        <v>85</v>
      </c>
      <c r="E165" t="s">
        <v>56</v>
      </c>
      <c r="F165" s="33">
        <f>HARF!CC48</f>
        <v>0</v>
      </c>
      <c r="G165" s="33">
        <f>HARF!CD48</f>
        <v>582.89999999999986</v>
      </c>
      <c r="H165" s="33">
        <f>HARF!CE48</f>
        <v>2457.722197482864</v>
      </c>
      <c r="I165" s="33">
        <f>HARF!CF48</f>
        <v>0</v>
      </c>
      <c r="J165" s="33">
        <f>HARF!CG48</f>
        <v>-582.89999999999986</v>
      </c>
      <c r="K165" s="33">
        <f>HARF!CH48</f>
        <v>1228.861098741432</v>
      </c>
      <c r="M165" s="28">
        <f>HARF!CJ48</f>
        <v>0</v>
      </c>
      <c r="N165" s="28">
        <f>HARF!CK48</f>
        <v>0</v>
      </c>
      <c r="O165" s="28">
        <f>HARF!CL48</f>
        <v>1</v>
      </c>
      <c r="P165" s="28">
        <f>HARF!CM48</f>
        <v>0</v>
      </c>
      <c r="Q165" s="28">
        <f>HARF!CN48</f>
        <v>0</v>
      </c>
      <c r="R165" s="28">
        <f>HARF!CO48</f>
        <v>0</v>
      </c>
      <c r="T165" s="28">
        <f t="shared" si="13"/>
        <v>3.8337388819087437E-16</v>
      </c>
      <c r="U165" s="34">
        <f>HARF!BM49</f>
        <v>6</v>
      </c>
    </row>
    <row r="166" spans="1:21">
      <c r="D166" t="s">
        <v>86</v>
      </c>
      <c r="F166" s="33">
        <f>HARF!CC49</f>
        <v>-90124.913314798803</v>
      </c>
      <c r="G166" s="33">
        <f>HARF!CD49</f>
        <v>0</v>
      </c>
      <c r="H166" s="33">
        <f>HARF!CE49</f>
        <v>0</v>
      </c>
      <c r="I166" s="33">
        <f>HARF!CF49</f>
        <v>90124.913314798803</v>
      </c>
      <c r="J166" s="33">
        <f>HARF!CG49</f>
        <v>0</v>
      </c>
      <c r="K166" s="33">
        <f>HARF!CH49</f>
        <v>0</v>
      </c>
      <c r="M166" s="28">
        <f>HARF!CJ49</f>
        <v>0</v>
      </c>
      <c r="N166" s="28">
        <f>HARF!CK49</f>
        <v>0</v>
      </c>
      <c r="O166" s="28">
        <f>HARF!CL49</f>
        <v>0</v>
      </c>
      <c r="P166" s="28">
        <f>HARF!CM49</f>
        <v>0.94868329805051377</v>
      </c>
      <c r="Q166" s="28">
        <f>HARF!CN49</f>
        <v>-0.31622776601683794</v>
      </c>
      <c r="R166" s="28">
        <f>HARF!CO49</f>
        <v>0</v>
      </c>
      <c r="T166" s="28">
        <f t="shared" si="13"/>
        <v>7.3550700301208485E-2</v>
      </c>
      <c r="U166" s="34">
        <f>HARF!BM50</f>
        <v>7</v>
      </c>
    </row>
    <row r="167" spans="1:21">
      <c r="D167" t="s">
        <v>87</v>
      </c>
      <c r="F167" s="33">
        <f>HARF!CC50</f>
        <v>0</v>
      </c>
      <c r="G167" s="33">
        <f>HARF!CD50</f>
        <v>-184.32916481121478</v>
      </c>
      <c r="H167" s="33">
        <f>HARF!CE50</f>
        <v>-582.89999999999986</v>
      </c>
      <c r="I167" s="33">
        <f>HARF!CF50</f>
        <v>0</v>
      </c>
      <c r="J167" s="33">
        <f>HARF!CG50</f>
        <v>184.32916481121478</v>
      </c>
      <c r="K167" s="33">
        <f>HARF!CH50</f>
        <v>-582.89999999999986</v>
      </c>
      <c r="M167" s="28">
        <f>HARF!CJ50</f>
        <v>0</v>
      </c>
      <c r="N167" s="28">
        <f>HARF!CK50</f>
        <v>0</v>
      </c>
      <c r="O167" s="28">
        <f>HARF!CL50</f>
        <v>0</v>
      </c>
      <c r="P167" s="28">
        <f>HARF!CM50</f>
        <v>0.31622776601683794</v>
      </c>
      <c r="Q167" s="28">
        <f>HARF!CN50</f>
        <v>0.94868329805051377</v>
      </c>
      <c r="R167" s="28">
        <f>HARF!CO50</f>
        <v>0</v>
      </c>
      <c r="T167" s="28">
        <f t="shared" si="13"/>
        <v>-8.876568870648156E-4</v>
      </c>
      <c r="U167" s="34">
        <f>HARF!BM51</f>
        <v>8</v>
      </c>
    </row>
    <row r="168" spans="1:21">
      <c r="D168" t="s">
        <v>88</v>
      </c>
      <c r="F168" s="33">
        <f>HARF!CC51</f>
        <v>0</v>
      </c>
      <c r="G168" s="33">
        <f>HARF!CD51</f>
        <v>582.89999999999986</v>
      </c>
      <c r="H168" s="33">
        <f>HARF!CE51</f>
        <v>1228.861098741432</v>
      </c>
      <c r="I168" s="33">
        <f>HARF!CF51</f>
        <v>0</v>
      </c>
      <c r="J168" s="33">
        <f>HARF!CG51</f>
        <v>-582.89999999999986</v>
      </c>
      <c r="K168" s="33">
        <f>HARF!CH51</f>
        <v>2457.722197482864</v>
      </c>
      <c r="M168" s="28">
        <f>HARF!CJ51</f>
        <v>0</v>
      </c>
      <c r="N168" s="28">
        <f>HARF!CK51</f>
        <v>0</v>
      </c>
      <c r="O168" s="28">
        <f>HARF!CL51</f>
        <v>0</v>
      </c>
      <c r="P168" s="28">
        <f>HARF!CM51</f>
        <v>0</v>
      </c>
      <c r="Q168" s="28">
        <f>HARF!CN51</f>
        <v>0</v>
      </c>
      <c r="R168" s="28">
        <f>HARF!CO51</f>
        <v>1</v>
      </c>
      <c r="T168" s="28">
        <f t="shared" si="13"/>
        <v>3.241467923725494E-2</v>
      </c>
      <c r="U168" s="34">
        <f>HARF!BM52</f>
        <v>9</v>
      </c>
    </row>
    <row r="171" spans="1:21">
      <c r="D171" t="s">
        <v>83</v>
      </c>
      <c r="F171" s="28">
        <f t="array" ref="F171:K176">MMULT(F163:K168,M163:R168)</f>
        <v>85499.999999999985</v>
      </c>
      <c r="G171" s="28">
        <v>-28500</v>
      </c>
      <c r="H171" s="28">
        <v>0</v>
      </c>
      <c r="I171" s="28">
        <v>-85499.999999999985</v>
      </c>
      <c r="J171" s="28">
        <v>28500</v>
      </c>
      <c r="K171" s="28">
        <v>0</v>
      </c>
      <c r="M171" s="28">
        <f t="shared" ref="M171:M176" si="14">T163</f>
        <v>8.0005446712050343E-15</v>
      </c>
    </row>
    <row r="172" spans="1:21">
      <c r="D172" t="s">
        <v>84</v>
      </c>
      <c r="F172" s="28">
        <v>58.289999999999985</v>
      </c>
      <c r="G172" s="28">
        <v>174.86999999999995</v>
      </c>
      <c r="H172" s="28">
        <v>582.89999999999986</v>
      </c>
      <c r="I172" s="28">
        <v>-58.289999999999985</v>
      </c>
      <c r="J172" s="28">
        <v>-174.86999999999995</v>
      </c>
      <c r="K172" s="28">
        <v>582.89999999999986</v>
      </c>
      <c r="M172" s="28">
        <f t="shared" si="14"/>
        <v>-0.22250671100607489</v>
      </c>
    </row>
    <row r="173" spans="1:21">
      <c r="D173" t="s">
        <v>85</v>
      </c>
      <c r="E173" t="s">
        <v>56</v>
      </c>
      <c r="F173" s="28">
        <v>184.32916481121478</v>
      </c>
      <c r="G173" s="28">
        <v>552.98749443364431</v>
      </c>
      <c r="H173" s="28">
        <v>2457.722197482864</v>
      </c>
      <c r="I173" s="28">
        <v>-184.32916481121478</v>
      </c>
      <c r="J173" s="28">
        <v>-552.98749443364431</v>
      </c>
      <c r="K173" s="28">
        <v>1228.861098741432</v>
      </c>
      <c r="M173" s="28">
        <f t="shared" si="14"/>
        <v>3.8337388819087437E-16</v>
      </c>
    </row>
    <row r="174" spans="1:21">
      <c r="D174" t="s">
        <v>86</v>
      </c>
      <c r="F174" s="28">
        <v>-85499.999999999985</v>
      </c>
      <c r="G174" s="28">
        <v>28500</v>
      </c>
      <c r="H174" s="28">
        <v>0</v>
      </c>
      <c r="I174" s="28">
        <v>85499.999999999985</v>
      </c>
      <c r="J174" s="28">
        <v>-28500</v>
      </c>
      <c r="K174" s="28">
        <v>0</v>
      </c>
      <c r="M174" s="28">
        <f t="shared" si="14"/>
        <v>7.3550700301208485E-2</v>
      </c>
    </row>
    <row r="175" spans="1:21">
      <c r="D175" t="s">
        <v>87</v>
      </c>
      <c r="F175" s="28">
        <v>-58.289999999999985</v>
      </c>
      <c r="G175" s="28">
        <v>-174.86999999999995</v>
      </c>
      <c r="H175" s="28">
        <v>-582.89999999999986</v>
      </c>
      <c r="I175" s="28">
        <v>58.289999999999985</v>
      </c>
      <c r="J175" s="28">
        <v>174.86999999999995</v>
      </c>
      <c r="K175" s="28">
        <v>-582.89999999999986</v>
      </c>
      <c r="M175" s="28">
        <f t="shared" si="14"/>
        <v>-8.876568870648156E-4</v>
      </c>
    </row>
    <row r="176" spans="1:21">
      <c r="D176" t="s">
        <v>88</v>
      </c>
      <c r="F176" s="28">
        <v>184.32916481121478</v>
      </c>
      <c r="G176" s="28">
        <v>552.98749443364431</v>
      </c>
      <c r="H176" s="28">
        <v>1228.861098741432</v>
      </c>
      <c r="I176" s="28">
        <v>-184.32916481121478</v>
      </c>
      <c r="J176" s="28">
        <v>-552.98749443364431</v>
      </c>
      <c r="K176" s="28">
        <v>2457.722197482864</v>
      </c>
      <c r="M176" s="28">
        <f t="shared" si="14"/>
        <v>3.241467923725494E-2</v>
      </c>
    </row>
    <row r="179" spans="4:16">
      <c r="D179" t="s">
        <v>83</v>
      </c>
      <c r="F179">
        <f t="array" ref="F179:F184">MMULT(F171:K176,M171:M176)</f>
        <v>27.558166639146698</v>
      </c>
      <c r="H179" s="27"/>
      <c r="I179" s="27"/>
      <c r="J179" s="27"/>
      <c r="K179" s="27"/>
    </row>
    <row r="180" spans="4:16">
      <c r="D180" t="s">
        <v>84</v>
      </c>
      <c r="F180">
        <v>-24.147277786952131</v>
      </c>
      <c r="H180" s="27"/>
      <c r="I180" s="27"/>
      <c r="J180" s="27"/>
      <c r="K180" s="27"/>
    </row>
    <row r="181" spans="4:16">
      <c r="D181" t="s">
        <v>85</v>
      </c>
      <c r="E181" t="s">
        <v>56</v>
      </c>
      <c r="F181">
        <v>-96.276966270980694</v>
      </c>
      <c r="H181" s="27"/>
      <c r="I181" s="40"/>
      <c r="J181" s="40"/>
      <c r="K181" s="40"/>
    </row>
    <row r="182" spans="4:16">
      <c r="D182" t="s">
        <v>86</v>
      </c>
      <c r="F182">
        <v>-27.558166639146698</v>
      </c>
      <c r="H182" s="27"/>
      <c r="I182" s="40"/>
      <c r="J182" s="40"/>
      <c r="K182" s="40"/>
    </row>
    <row r="183" spans="4:16">
      <c r="D183" t="s">
        <v>87</v>
      </c>
      <c r="F183">
        <v>24.147277786952131</v>
      </c>
    </row>
    <row r="184" spans="4:16">
      <c r="D184" t="s">
        <v>88</v>
      </c>
      <c r="F184">
        <v>-56.443827928136997</v>
      </c>
    </row>
    <row r="186" spans="4:16">
      <c r="D186" t="s">
        <v>100</v>
      </c>
    </row>
    <row r="187" spans="4:16">
      <c r="D187" t="s">
        <v>101</v>
      </c>
    </row>
    <row r="188" spans="4:16">
      <c r="D188" t="s">
        <v>102</v>
      </c>
    </row>
    <row r="190" spans="4:16">
      <c r="E190" t="s">
        <v>83</v>
      </c>
      <c r="G190" s="28">
        <f>HARF!CJ46</f>
        <v>0.94868329805051377</v>
      </c>
      <c r="H190" s="28">
        <f>HARF!CK46</f>
        <v>-0.31622776601683794</v>
      </c>
      <c r="I190" s="28">
        <f>HARF!CL46</f>
        <v>0</v>
      </c>
      <c r="J190" s="28">
        <f>HARF!CM46</f>
        <v>0</v>
      </c>
      <c r="K190" s="28">
        <f>HARF!CN46</f>
        <v>0</v>
      </c>
      <c r="L190" s="28">
        <f>HARF!CO46</f>
        <v>0</v>
      </c>
      <c r="N190" s="28">
        <f t="shared" ref="N190:N195" si="15">N140</f>
        <v>0</v>
      </c>
    </row>
    <row r="191" spans="4:16">
      <c r="E191" t="s">
        <v>84</v>
      </c>
      <c r="G191" s="28">
        <f>HARF!CJ47</f>
        <v>0.31622776601683794</v>
      </c>
      <c r="H191" s="28">
        <f>HARF!CK47</f>
        <v>0.94868329805051377</v>
      </c>
      <c r="I191" s="28">
        <f>HARF!CL47</f>
        <v>0</v>
      </c>
      <c r="J191" s="28">
        <f>HARF!CM47</f>
        <v>0</v>
      </c>
      <c r="K191" s="28">
        <f>HARF!CN47</f>
        <v>0</v>
      </c>
      <c r="L191" s="28">
        <f>HARF!CO47</f>
        <v>0</v>
      </c>
      <c r="N191" s="28">
        <f t="shared" si="15"/>
        <v>31.622776601683796</v>
      </c>
    </row>
    <row r="192" spans="4:16" ht="12.75">
      <c r="D192" s="25" t="s">
        <v>103</v>
      </c>
      <c r="E192" t="s">
        <v>85</v>
      </c>
      <c r="F192" t="s">
        <v>56</v>
      </c>
      <c r="G192" s="28">
        <f>HARF!CJ48</f>
        <v>0</v>
      </c>
      <c r="H192" s="28">
        <f>HARF!CK48</f>
        <v>0</v>
      </c>
      <c r="I192" s="28">
        <f>HARF!CL48</f>
        <v>1</v>
      </c>
      <c r="J192" s="28">
        <f>HARF!CM48</f>
        <v>0</v>
      </c>
      <c r="K192" s="28">
        <f>HARF!CN48</f>
        <v>0</v>
      </c>
      <c r="L192" s="28">
        <f>HARF!CO48</f>
        <v>0</v>
      </c>
      <c r="N192" s="28">
        <f t="shared" si="15"/>
        <v>33.333333333333336</v>
      </c>
      <c r="P192" s="31" t="s">
        <v>97</v>
      </c>
    </row>
    <row r="193" spans="4:15">
      <c r="E193" t="s">
        <v>86</v>
      </c>
      <c r="G193" s="28">
        <f>HARF!CJ49</f>
        <v>0</v>
      </c>
      <c r="H193" s="28">
        <f>HARF!CK49</f>
        <v>0</v>
      </c>
      <c r="I193" s="28">
        <f>HARF!CL49</f>
        <v>0</v>
      </c>
      <c r="J193" s="28">
        <f>HARF!CM49</f>
        <v>0.94868329805051377</v>
      </c>
      <c r="K193" s="28">
        <f>HARF!CN49</f>
        <v>-0.31622776601683794</v>
      </c>
      <c r="L193" s="28">
        <f>HARF!CO49</f>
        <v>0</v>
      </c>
      <c r="N193" s="28">
        <f t="shared" si="15"/>
        <v>0</v>
      </c>
    </row>
    <row r="194" spans="4:15">
      <c r="E194" t="s">
        <v>87</v>
      </c>
      <c r="G194" s="28">
        <f>HARF!CJ50</f>
        <v>0</v>
      </c>
      <c r="H194" s="28">
        <f>HARF!CK50</f>
        <v>0</v>
      </c>
      <c r="I194" s="28">
        <f>HARF!CL50</f>
        <v>0</v>
      </c>
      <c r="J194" s="28">
        <f>HARF!CM50</f>
        <v>0.31622776601683794</v>
      </c>
      <c r="K194" s="28">
        <f>HARF!CN50</f>
        <v>0.94868329805051377</v>
      </c>
      <c r="L194" s="28">
        <f>HARF!CO50</f>
        <v>0</v>
      </c>
      <c r="N194" s="28">
        <f t="shared" si="15"/>
        <v>31.622776601683796</v>
      </c>
    </row>
    <row r="195" spans="4:15">
      <c r="E195" t="s">
        <v>88</v>
      </c>
      <c r="G195" s="28">
        <f>HARF!CJ51</f>
        <v>0</v>
      </c>
      <c r="H195" s="28">
        <f>HARF!CK51</f>
        <v>0</v>
      </c>
      <c r="I195" s="28">
        <f>HARF!CL51</f>
        <v>0</v>
      </c>
      <c r="J195" s="28">
        <f>HARF!CM51</f>
        <v>0</v>
      </c>
      <c r="K195" s="28">
        <f>HARF!CN51</f>
        <v>0</v>
      </c>
      <c r="L195" s="28">
        <f>HARF!CO51</f>
        <v>1</v>
      </c>
      <c r="N195" s="28">
        <f t="shared" si="15"/>
        <v>-33.333333333333336</v>
      </c>
    </row>
    <row r="197" spans="4:15">
      <c r="E197" t="s">
        <v>83</v>
      </c>
      <c r="G197">
        <f t="array" ref="G197:G202">MMULT(G190:L195,N190:N195)</f>
        <v>-10.000000000000002</v>
      </c>
    </row>
    <row r="198" spans="4:15">
      <c r="E198" t="s">
        <v>84</v>
      </c>
      <c r="G198">
        <v>30</v>
      </c>
    </row>
    <row r="199" spans="4:15">
      <c r="D199" s="25" t="s">
        <v>103</v>
      </c>
      <c r="E199" t="s">
        <v>85</v>
      </c>
      <c r="F199" t="s">
        <v>56</v>
      </c>
      <c r="G199">
        <v>33.333333333333336</v>
      </c>
    </row>
    <row r="200" spans="4:15">
      <c r="E200" t="s">
        <v>86</v>
      </c>
      <c r="G200">
        <v>-10.000000000000002</v>
      </c>
    </row>
    <row r="201" spans="4:15">
      <c r="E201" t="s">
        <v>87</v>
      </c>
      <c r="G201">
        <v>30</v>
      </c>
    </row>
    <row r="202" spans="4:15">
      <c r="E202" t="s">
        <v>88</v>
      </c>
      <c r="G202">
        <v>-33.333333333333336</v>
      </c>
    </row>
    <row r="204" spans="4:15">
      <c r="F204" s="28">
        <f t="shared" ref="F204:F209" si="16">F179</f>
        <v>27.558166639146698</v>
      </c>
      <c r="H204" s="28">
        <f t="shared" ref="H204:H209" si="17">G197</f>
        <v>-10.000000000000002</v>
      </c>
      <c r="J204">
        <f t="shared" ref="J204:J209" si="18">F204+H204</f>
        <v>17.558166639146698</v>
      </c>
      <c r="L204" s="27"/>
      <c r="M204" s="27" t="s">
        <v>90</v>
      </c>
      <c r="N204" s="27" t="s">
        <v>92</v>
      </c>
      <c r="O204" s="27" t="s">
        <v>94</v>
      </c>
    </row>
    <row r="205" spans="4:15">
      <c r="F205" s="28">
        <f t="shared" si="16"/>
        <v>-24.147277786952131</v>
      </c>
      <c r="H205" s="28">
        <f t="shared" si="17"/>
        <v>30</v>
      </c>
      <c r="J205">
        <f t="shared" si="18"/>
        <v>5.8527222130478691</v>
      </c>
      <c r="L205" s="27" t="s">
        <v>91</v>
      </c>
      <c r="M205" s="27" t="s">
        <v>89</v>
      </c>
      <c r="N205" s="27" t="s">
        <v>93</v>
      </c>
      <c r="O205" s="27" t="s">
        <v>95</v>
      </c>
    </row>
    <row r="206" spans="4:15">
      <c r="D206" t="s">
        <v>104</v>
      </c>
      <c r="F206" s="28">
        <f t="shared" si="16"/>
        <v>-96.276966270980694</v>
      </c>
      <c r="G206" s="25" t="s">
        <v>105</v>
      </c>
      <c r="H206" s="28">
        <f t="shared" si="17"/>
        <v>33.333333333333336</v>
      </c>
      <c r="I206" s="25" t="s">
        <v>56</v>
      </c>
      <c r="J206">
        <f t="shared" si="18"/>
        <v>-62.943632937647358</v>
      </c>
      <c r="L206" s="27">
        <v>0</v>
      </c>
      <c r="M206" s="40">
        <f>-1*J204</f>
        <v>-17.558166639146698</v>
      </c>
      <c r="N206" s="40">
        <f>J205</f>
        <v>5.8527222130478691</v>
      </c>
      <c r="O206" s="40">
        <f>-J206</f>
        <v>62.943632937647358</v>
      </c>
    </row>
    <row r="207" spans="4:15">
      <c r="F207" s="28">
        <f t="shared" si="16"/>
        <v>-27.558166639146698</v>
      </c>
      <c r="H207" s="28">
        <f t="shared" si="17"/>
        <v>-10.000000000000002</v>
      </c>
      <c r="J207">
        <f t="shared" si="18"/>
        <v>-37.558166639146698</v>
      </c>
      <c r="L207" s="27">
        <f>L157</f>
        <v>6.324555320336759</v>
      </c>
      <c r="M207" s="40">
        <f>J207</f>
        <v>-37.558166639146698</v>
      </c>
      <c r="N207" s="40">
        <f>-J208</f>
        <v>-54.147277786952131</v>
      </c>
      <c r="O207" s="40">
        <f>J209</f>
        <v>-89.777161261470326</v>
      </c>
    </row>
    <row r="208" spans="4:15">
      <c r="F208" s="28">
        <f t="shared" si="16"/>
        <v>24.147277786952131</v>
      </c>
      <c r="H208" s="28">
        <f t="shared" si="17"/>
        <v>30</v>
      </c>
      <c r="J208">
        <f t="shared" si="18"/>
        <v>54.147277786952131</v>
      </c>
    </row>
    <row r="209" spans="1:21">
      <c r="F209" s="28">
        <f t="shared" si="16"/>
        <v>-56.443827928136997</v>
      </c>
      <c r="H209" s="28">
        <f t="shared" si="17"/>
        <v>-33.333333333333336</v>
      </c>
      <c r="J209">
        <f t="shared" si="18"/>
        <v>-89.777161261470326</v>
      </c>
    </row>
    <row r="214" spans="1:21" ht="12.75">
      <c r="A214" s="47" t="s">
        <v>98</v>
      </c>
      <c r="D214" t="s">
        <v>83</v>
      </c>
      <c r="F214" s="33">
        <f>HARF!CC55</f>
        <v>71250</v>
      </c>
      <c r="G214" s="33">
        <f>HARF!CD55</f>
        <v>0</v>
      </c>
      <c r="H214" s="33">
        <f>HARF!CE55</f>
        <v>0</v>
      </c>
      <c r="I214" s="33">
        <f>HARF!CF55</f>
        <v>-71250</v>
      </c>
      <c r="J214" s="33">
        <f>HARF!CG55</f>
        <v>0</v>
      </c>
      <c r="K214" s="33">
        <f>HARF!CH55</f>
        <v>0</v>
      </c>
      <c r="M214" s="28">
        <f>HARF!CJ55</f>
        <v>0</v>
      </c>
      <c r="N214" s="28">
        <f>HARF!CK55</f>
        <v>-1</v>
      </c>
      <c r="O214" s="28">
        <f>HARF!CL55</f>
        <v>0</v>
      </c>
      <c r="P214" s="28">
        <f>HARF!CM55</f>
        <v>0</v>
      </c>
      <c r="Q214" s="28">
        <f>HARF!CN55</f>
        <v>0</v>
      </c>
      <c r="R214" s="28">
        <f>HARF!CO55</f>
        <v>0</v>
      </c>
      <c r="T214" s="28">
        <f>F63</f>
        <v>7.3550700301208485E-2</v>
      </c>
      <c r="U214" s="34">
        <f>HARF!BM56</f>
        <v>7</v>
      </c>
    </row>
    <row r="215" spans="1:21">
      <c r="D215" t="s">
        <v>84</v>
      </c>
      <c r="F215" s="33">
        <f>HARF!CC56</f>
        <v>0</v>
      </c>
      <c r="G215" s="33">
        <f>HARF!CD56</f>
        <v>91.078125</v>
      </c>
      <c r="H215" s="33">
        <f>HARF!CE56</f>
        <v>364.3125</v>
      </c>
      <c r="I215" s="33">
        <f>HARF!CF56</f>
        <v>0</v>
      </c>
      <c r="J215" s="33">
        <f>HARF!CG56</f>
        <v>-91.078125</v>
      </c>
      <c r="K215" s="33">
        <f>HARF!CH56</f>
        <v>364.3125</v>
      </c>
      <c r="M215" s="28">
        <f>HARF!CJ56</f>
        <v>1</v>
      </c>
      <c r="N215" s="28">
        <f>HARF!CK56</f>
        <v>0</v>
      </c>
      <c r="O215" s="28">
        <f>HARF!CL56</f>
        <v>0</v>
      </c>
      <c r="P215" s="28">
        <f>HARF!CM56</f>
        <v>0</v>
      </c>
      <c r="Q215" s="28">
        <f>HARF!CN56</f>
        <v>0</v>
      </c>
      <c r="R215" s="28">
        <f>HARF!CO56</f>
        <v>0</v>
      </c>
      <c r="T215" s="28">
        <f>F64</f>
        <v>-8.876568870648156E-4</v>
      </c>
      <c r="U215" s="34">
        <f>HARF!BM57</f>
        <v>8</v>
      </c>
    </row>
    <row r="216" spans="1:21">
      <c r="D216" t="s">
        <v>85</v>
      </c>
      <c r="E216" t="s">
        <v>56</v>
      </c>
      <c r="F216" s="33">
        <f>HARF!CC57</f>
        <v>0</v>
      </c>
      <c r="G216" s="33">
        <f>HARF!CD57</f>
        <v>364.3125</v>
      </c>
      <c r="H216" s="33">
        <f>HARF!CE57</f>
        <v>1942.9999999999998</v>
      </c>
      <c r="I216" s="33">
        <f>HARF!CF57</f>
        <v>0</v>
      </c>
      <c r="J216" s="33">
        <f>HARF!CG57</f>
        <v>-364.3125</v>
      </c>
      <c r="K216" s="33">
        <f>HARF!CH57</f>
        <v>971.49999999999989</v>
      </c>
      <c r="M216" s="28">
        <f>HARF!CJ57</f>
        <v>0</v>
      </c>
      <c r="N216" s="28">
        <f>HARF!CK57</f>
        <v>0</v>
      </c>
      <c r="O216" s="28">
        <f>HARF!CL57</f>
        <v>1</v>
      </c>
      <c r="P216" s="28">
        <f>HARF!CM57</f>
        <v>0</v>
      </c>
      <c r="Q216" s="28">
        <f>HARF!CN57</f>
        <v>0</v>
      </c>
      <c r="R216" s="28">
        <f>HARF!CO57</f>
        <v>0</v>
      </c>
      <c r="T216" s="28">
        <f>F65</f>
        <v>3.241467923725494E-2</v>
      </c>
      <c r="U216" s="34">
        <f>HARF!BM58</f>
        <v>9</v>
      </c>
    </row>
    <row r="217" spans="1:21">
      <c r="D217" t="s">
        <v>86</v>
      </c>
      <c r="F217" s="33">
        <f>HARF!CC58</f>
        <v>-71250</v>
      </c>
      <c r="G217" s="33">
        <f>HARF!CD58</f>
        <v>0</v>
      </c>
      <c r="H217" s="33">
        <f>HARF!CE58</f>
        <v>0</v>
      </c>
      <c r="I217" s="33">
        <f>HARF!CF58</f>
        <v>71250</v>
      </c>
      <c r="J217" s="33">
        <f>HARF!CG58</f>
        <v>0</v>
      </c>
      <c r="K217" s="33">
        <f>HARF!CH58</f>
        <v>0</v>
      </c>
      <c r="M217" s="28">
        <f>HARF!CJ58</f>
        <v>0</v>
      </c>
      <c r="N217" s="28">
        <f>HARF!CK58</f>
        <v>0</v>
      </c>
      <c r="O217" s="28">
        <f>HARF!CL58</f>
        <v>0</v>
      </c>
      <c r="P217" s="28">
        <f>HARF!CM58</f>
        <v>0</v>
      </c>
      <c r="Q217" s="28">
        <f>HARF!CN58</f>
        <v>-1</v>
      </c>
      <c r="R217" s="28">
        <f>HARF!CO58</f>
        <v>0</v>
      </c>
      <c r="T217" s="28">
        <v>0</v>
      </c>
      <c r="U217" s="34">
        <f>HARF!BM59</f>
        <v>13</v>
      </c>
    </row>
    <row r="218" spans="1:21">
      <c r="D218" t="s">
        <v>87</v>
      </c>
      <c r="F218" s="33">
        <f>HARF!CC59</f>
        <v>0</v>
      </c>
      <c r="G218" s="33">
        <f>HARF!CD59</f>
        <v>-91.078125</v>
      </c>
      <c r="H218" s="33">
        <f>HARF!CE59</f>
        <v>-364.3125</v>
      </c>
      <c r="I218" s="33">
        <f>HARF!CF59</f>
        <v>0</v>
      </c>
      <c r="J218" s="33">
        <f>HARF!CG59</f>
        <v>91.078125</v>
      </c>
      <c r="K218" s="33">
        <f>HARF!CH59</f>
        <v>-364.3125</v>
      </c>
      <c r="M218" s="28">
        <f>HARF!CJ59</f>
        <v>0</v>
      </c>
      <c r="N218" s="28">
        <f>HARF!CK59</f>
        <v>0</v>
      </c>
      <c r="O218" s="28">
        <f>HARF!CL59</f>
        <v>0</v>
      </c>
      <c r="P218" s="28">
        <f>HARF!CM59</f>
        <v>1</v>
      </c>
      <c r="Q218" s="28">
        <f>HARF!CN59</f>
        <v>0</v>
      </c>
      <c r="R218" s="28">
        <f>HARF!CO59</f>
        <v>0</v>
      </c>
      <c r="T218" s="28">
        <v>0</v>
      </c>
      <c r="U218" s="34">
        <f>HARF!BM60</f>
        <v>14</v>
      </c>
    </row>
    <row r="219" spans="1:21">
      <c r="D219" t="s">
        <v>88</v>
      </c>
      <c r="F219" s="33">
        <f>HARF!CC60</f>
        <v>0</v>
      </c>
      <c r="G219" s="33">
        <f>HARF!CD60</f>
        <v>364.3125</v>
      </c>
      <c r="H219" s="33">
        <f>HARF!CE60</f>
        <v>971.49999999999989</v>
      </c>
      <c r="I219" s="33">
        <f>HARF!CF60</f>
        <v>0</v>
      </c>
      <c r="J219" s="33">
        <f>HARF!CG60</f>
        <v>-364.3125</v>
      </c>
      <c r="K219" s="33">
        <f>HARF!CH60</f>
        <v>1942.9999999999998</v>
      </c>
      <c r="M219" s="28">
        <f>HARF!CJ60</f>
        <v>0</v>
      </c>
      <c r="N219" s="28">
        <f>HARF!CK60</f>
        <v>0</v>
      </c>
      <c r="O219" s="28">
        <f>HARF!CL60</f>
        <v>0</v>
      </c>
      <c r="P219" s="28">
        <f>HARF!CM60</f>
        <v>0</v>
      </c>
      <c r="Q219" s="28">
        <f>HARF!CN60</f>
        <v>0</v>
      </c>
      <c r="R219" s="28">
        <f>HARF!CO60</f>
        <v>1</v>
      </c>
      <c r="T219" s="28">
        <v>0</v>
      </c>
      <c r="U219" s="34">
        <f>HARF!BM61</f>
        <v>15</v>
      </c>
    </row>
    <row r="221" spans="1:21" ht="12.75">
      <c r="N221" s="31" t="s">
        <v>98</v>
      </c>
    </row>
    <row r="222" spans="1:21">
      <c r="D222" t="s">
        <v>83</v>
      </c>
      <c r="F222" s="28">
        <f t="array" ref="F222:K227">MMULT(F214:K219,M214:R219)</f>
        <v>0</v>
      </c>
      <c r="G222" s="28">
        <v>-71250</v>
      </c>
      <c r="H222" s="28">
        <v>0</v>
      </c>
      <c r="I222" s="28">
        <v>0</v>
      </c>
      <c r="J222" s="28">
        <v>71250</v>
      </c>
      <c r="K222" s="28">
        <v>0</v>
      </c>
      <c r="M222" s="28">
        <f t="shared" ref="M222:M227" si="19">T214</f>
        <v>7.3550700301208485E-2</v>
      </c>
    </row>
    <row r="223" spans="1:21">
      <c r="D223" t="s">
        <v>84</v>
      </c>
      <c r="F223" s="28">
        <v>91.078125</v>
      </c>
      <c r="G223" s="28">
        <v>0</v>
      </c>
      <c r="H223" s="28">
        <v>364.3125</v>
      </c>
      <c r="I223" s="28">
        <v>-91.078125</v>
      </c>
      <c r="J223" s="28">
        <v>0</v>
      </c>
      <c r="K223" s="28">
        <v>364.3125</v>
      </c>
      <c r="M223" s="28">
        <f t="shared" si="19"/>
        <v>-8.876568870648156E-4</v>
      </c>
    </row>
    <row r="224" spans="1:21">
      <c r="D224" t="s">
        <v>85</v>
      </c>
      <c r="E224" t="s">
        <v>56</v>
      </c>
      <c r="F224" s="28">
        <v>364.3125</v>
      </c>
      <c r="G224" s="28">
        <v>0</v>
      </c>
      <c r="H224" s="28">
        <v>1942.9999999999998</v>
      </c>
      <c r="I224" s="28">
        <v>-364.3125</v>
      </c>
      <c r="J224" s="28">
        <v>0</v>
      </c>
      <c r="K224" s="28">
        <v>971.49999999999989</v>
      </c>
      <c r="M224" s="28">
        <f t="shared" si="19"/>
        <v>3.241467923725494E-2</v>
      </c>
    </row>
    <row r="225" spans="4:13">
      <c r="D225" t="s">
        <v>86</v>
      </c>
      <c r="F225" s="28">
        <v>0</v>
      </c>
      <c r="G225" s="28">
        <v>71250</v>
      </c>
      <c r="H225" s="28">
        <v>0</v>
      </c>
      <c r="I225" s="28">
        <v>0</v>
      </c>
      <c r="J225" s="28">
        <v>-71250</v>
      </c>
      <c r="K225" s="28">
        <v>0</v>
      </c>
      <c r="M225" s="28">
        <f t="shared" si="19"/>
        <v>0</v>
      </c>
    </row>
    <row r="226" spans="4:13">
      <c r="D226" t="s">
        <v>87</v>
      </c>
      <c r="F226" s="28">
        <v>-91.078125</v>
      </c>
      <c r="G226" s="28">
        <v>0</v>
      </c>
      <c r="H226" s="28">
        <v>-364.3125</v>
      </c>
      <c r="I226" s="28">
        <v>91.078125</v>
      </c>
      <c r="J226" s="28">
        <v>0</v>
      </c>
      <c r="K226" s="28">
        <v>-364.3125</v>
      </c>
      <c r="M226" s="28">
        <f t="shared" si="19"/>
        <v>0</v>
      </c>
    </row>
    <row r="227" spans="4:13">
      <c r="D227" t="s">
        <v>88</v>
      </c>
      <c r="F227" s="28">
        <v>364.3125</v>
      </c>
      <c r="G227" s="28">
        <v>0</v>
      </c>
      <c r="H227" s="28">
        <v>971.49999999999989</v>
      </c>
      <c r="I227" s="28">
        <v>-364.3125</v>
      </c>
      <c r="J227" s="28">
        <v>0</v>
      </c>
      <c r="K227" s="28">
        <v>1942.9999999999998</v>
      </c>
      <c r="M227" s="28">
        <f t="shared" si="19"/>
        <v>0</v>
      </c>
    </row>
    <row r="230" spans="4:13">
      <c r="D230" t="s">
        <v>83</v>
      </c>
      <c r="F230">
        <f t="array" ref="F230:F235">MMULT(F222:K227,M222:M227)</f>
        <v>63.245553203368111</v>
      </c>
      <c r="H230" s="27"/>
      <c r="I230" s="27" t="s">
        <v>90</v>
      </c>
      <c r="J230" s="27" t="s">
        <v>92</v>
      </c>
      <c r="K230" s="27" t="s">
        <v>94</v>
      </c>
    </row>
    <row r="231" spans="4:13">
      <c r="D231" t="s">
        <v>84</v>
      </c>
      <c r="F231">
        <v>18.507932705493445</v>
      </c>
      <c r="H231" s="27" t="s">
        <v>91</v>
      </c>
      <c r="I231" s="27" t="s">
        <v>89</v>
      </c>
      <c r="J231" s="27" t="s">
        <v>93</v>
      </c>
      <c r="K231" s="27" t="s">
        <v>95</v>
      </c>
    </row>
    <row r="232" spans="4:13">
      <c r="D232" t="s">
        <v>85</v>
      </c>
      <c r="E232" t="s">
        <v>56</v>
      </c>
      <c r="F232">
        <v>89.777161261470354</v>
      </c>
      <c r="H232" s="27">
        <v>0</v>
      </c>
      <c r="I232" s="40">
        <f>F233</f>
        <v>-63.245553203368111</v>
      </c>
      <c r="J232" s="40">
        <f>F231</f>
        <v>18.507932705493445</v>
      </c>
      <c r="K232" s="40">
        <f>-F232</f>
        <v>-89.777161261470354</v>
      </c>
    </row>
    <row r="233" spans="4:13">
      <c r="D233" t="s">
        <v>86</v>
      </c>
      <c r="F233">
        <v>-63.245553203368111</v>
      </c>
      <c r="H233" s="27">
        <f>HARF!BJ59</f>
        <v>8</v>
      </c>
      <c r="I233" s="40">
        <f>I232</f>
        <v>-63.245553203368111</v>
      </c>
      <c r="J233" s="40">
        <f>J232</f>
        <v>18.507932705493445</v>
      </c>
      <c r="K233" s="40">
        <f>F235</f>
        <v>58.286300382477187</v>
      </c>
    </row>
    <row r="234" spans="4:13">
      <c r="D234" t="s">
        <v>87</v>
      </c>
      <c r="F234">
        <v>-18.507932705493445</v>
      </c>
    </row>
    <row r="235" spans="4:13">
      <c r="D235" t="s">
        <v>88</v>
      </c>
      <c r="F235">
        <v>58.286300382477187</v>
      </c>
    </row>
  </sheetData>
  <mergeCells count="1">
    <mergeCell ref="B4:H6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59"/>
  <sheetViews>
    <sheetView topLeftCell="J220" zoomScale="90" zoomScaleNormal="90" workbookViewId="0">
      <selection activeCell="N264" sqref="N264"/>
    </sheetView>
  </sheetViews>
  <sheetFormatPr defaultRowHeight="11.25"/>
  <cols>
    <col min="4" max="4" width="14.1640625" bestFit="1" customWidth="1"/>
    <col min="6" max="6" width="10.1640625" bestFit="1" customWidth="1"/>
    <col min="7" max="7" width="13.33203125" bestFit="1" customWidth="1"/>
    <col min="8" max="8" width="12.5" bestFit="1" customWidth="1"/>
    <col min="9" max="11" width="16.1640625" customWidth="1"/>
    <col min="12" max="14" width="13.1640625" bestFit="1" customWidth="1"/>
  </cols>
  <sheetData>
    <row r="1" spans="2:22">
      <c r="G1" s="1" t="s">
        <v>109</v>
      </c>
      <c r="H1" s="38">
        <f>HARF!CC5</f>
        <v>14</v>
      </c>
    </row>
    <row r="2" spans="2:22">
      <c r="G2" s="1" t="s">
        <v>110</v>
      </c>
      <c r="H2" s="38">
        <f>HARF!CC6</f>
        <v>18.666666666666668</v>
      </c>
    </row>
    <row r="3" spans="2:22">
      <c r="G3" s="1"/>
      <c r="H3" s="38"/>
    </row>
    <row r="4" spans="2:22">
      <c r="G4" s="1" t="s">
        <v>111</v>
      </c>
      <c r="H4" s="38">
        <f>HARF!CC8</f>
        <v>12.649110640673518</v>
      </c>
    </row>
    <row r="5" spans="2:22">
      <c r="G5" s="1" t="s">
        <v>112</v>
      </c>
      <c r="H5" s="38">
        <f>HARF!CC9</f>
        <v>13.333333333333336</v>
      </c>
    </row>
    <row r="6" spans="2:22">
      <c r="G6" s="1"/>
      <c r="H6" s="38"/>
    </row>
    <row r="7" spans="2:22" ht="9" customHeight="1">
      <c r="C7" s="43"/>
      <c r="D7" s="43"/>
      <c r="E7" s="43"/>
      <c r="F7" s="43"/>
      <c r="G7" s="1" t="s">
        <v>113</v>
      </c>
      <c r="H7" s="38">
        <f>HARF!CC11</f>
        <v>15.811388300841898</v>
      </c>
    </row>
    <row r="8" spans="2:22" ht="11.25" customHeight="1">
      <c r="B8" s="43"/>
      <c r="C8" s="43"/>
      <c r="D8" s="43"/>
      <c r="E8" s="43"/>
      <c r="F8" s="43"/>
      <c r="G8" s="1" t="s">
        <v>114</v>
      </c>
      <c r="H8" s="38">
        <f>HARF!CC12</f>
        <v>16.666666666666668</v>
      </c>
    </row>
    <row r="9" spans="2:22" ht="11.25" customHeight="1">
      <c r="B9" s="43"/>
      <c r="C9" s="43"/>
      <c r="D9" s="43"/>
      <c r="E9" s="43"/>
      <c r="F9" s="43"/>
      <c r="G9" s="1"/>
      <c r="H9" s="38"/>
    </row>
    <row r="10" spans="2:22">
      <c r="G10" s="1" t="s">
        <v>115</v>
      </c>
      <c r="H10" s="38">
        <f>HARF!CC14</f>
        <v>10</v>
      </c>
    </row>
    <row r="11" spans="2:22">
      <c r="G11" s="1" t="s">
        <v>116</v>
      </c>
      <c r="H11" s="38">
        <f>HARF!CC15</f>
        <v>13.333333333333334</v>
      </c>
    </row>
    <row r="14" spans="2:22" ht="25.5">
      <c r="C14" s="43" t="s">
        <v>63</v>
      </c>
    </row>
    <row r="15" spans="2:22">
      <c r="F15" s="26">
        <f>HARF!DS36</f>
        <v>1</v>
      </c>
      <c r="G15" s="26">
        <f>HARF!DT36</f>
        <v>2</v>
      </c>
      <c r="H15" s="26">
        <f>HARF!DU36</f>
        <v>3</v>
      </c>
      <c r="I15" s="26">
        <f>HARF!DV36</f>
        <v>4</v>
      </c>
      <c r="J15" s="26">
        <f>HARF!DW36</f>
        <v>5</v>
      </c>
      <c r="K15" s="26">
        <f>HARF!DX36</f>
        <v>6</v>
      </c>
      <c r="L15" s="26">
        <f>HARF!DY36</f>
        <v>7</v>
      </c>
      <c r="M15" s="26">
        <f>HARF!DZ36</f>
        <v>8</v>
      </c>
      <c r="N15" s="26">
        <f>HARF!EA36</f>
        <v>9</v>
      </c>
      <c r="O15" s="26">
        <f>HARF!EB36</f>
        <v>10</v>
      </c>
      <c r="P15" s="26">
        <f>HARF!EC36</f>
        <v>11</v>
      </c>
      <c r="Q15" s="26">
        <f>HARF!ED36</f>
        <v>12</v>
      </c>
      <c r="R15" s="26">
        <f>HARF!EE36</f>
        <v>13</v>
      </c>
      <c r="S15" s="26">
        <f>HARF!EF36</f>
        <v>14</v>
      </c>
      <c r="T15" s="26">
        <f>HARF!EG36</f>
        <v>15</v>
      </c>
    </row>
    <row r="16" spans="2:22">
      <c r="C16" s="26">
        <v>1</v>
      </c>
      <c r="D16">
        <f>-1*(-1*HARF!BJ14*HARF!BJ5/2+HARF!BJ15*HARF!BJ41/2*HARF!BJ43)</f>
        <v>10</v>
      </c>
      <c r="F16" s="32">
        <f>HARF!DS37</f>
        <v>81221.933024800033</v>
      </c>
      <c r="G16" s="32">
        <f>HARF!DT37</f>
        <v>26982.175244996273</v>
      </c>
      <c r="H16" s="32">
        <f>HARF!DU37</f>
        <v>179.98333518878522</v>
      </c>
      <c r="I16" s="32">
        <f>HARF!DV37</f>
        <v>-81130.854899800033</v>
      </c>
      <c r="J16" s="32">
        <f>HARF!DW37</f>
        <v>-26982.175244996273</v>
      </c>
      <c r="K16" s="32">
        <f>HARF!DX37</f>
        <v>-184.32916481121478</v>
      </c>
      <c r="L16" s="32">
        <f>HARF!DY37</f>
        <v>0</v>
      </c>
      <c r="M16" s="32">
        <f>HARF!DZ37</f>
        <v>0</v>
      </c>
      <c r="N16" s="35">
        <f>HARF!EA37</f>
        <v>0</v>
      </c>
      <c r="O16" s="32">
        <f>HARF!EB37</f>
        <v>-91.078125</v>
      </c>
      <c r="P16" s="32">
        <f>HARF!EC37</f>
        <v>0</v>
      </c>
      <c r="Q16" s="32">
        <f>HARF!ED37</f>
        <v>364.3125</v>
      </c>
      <c r="R16" s="32">
        <f>HARF!EE37</f>
        <v>0</v>
      </c>
      <c r="S16" s="32">
        <f>HARF!EF37</f>
        <v>0</v>
      </c>
      <c r="T16" s="32">
        <f>HARF!EG37</f>
        <v>0</v>
      </c>
      <c r="U16" s="26">
        <f>HARF!EH37</f>
        <v>1</v>
      </c>
      <c r="V16" s="27" t="s">
        <v>70</v>
      </c>
    </row>
    <row r="17" spans="3:22">
      <c r="C17" s="26">
        <v>2</v>
      </c>
      <c r="D17">
        <f>-1*(-1*HARF!BJ15*HARF!BJ41/2*HARF!BJ42)</f>
        <v>12</v>
      </c>
      <c r="F17" s="32">
        <f>HARF!DS38</f>
        <v>26982.175244996273</v>
      </c>
      <c r="G17" s="32">
        <f>HARF!DT38</f>
        <v>80428.387579809976</v>
      </c>
      <c r="H17" s="32">
        <f>HARF!DU38</f>
        <v>552.98749443364431</v>
      </c>
      <c r="I17" s="32">
        <f>HARF!DV38</f>
        <v>-26982.175244996277</v>
      </c>
      <c r="J17" s="32">
        <f>HARF!DW38</f>
        <v>-9178.3875798099743</v>
      </c>
      <c r="K17" s="32">
        <f>HARF!DX38</f>
        <v>552.98749443364431</v>
      </c>
      <c r="L17" s="32">
        <f>HARF!DY38</f>
        <v>0</v>
      </c>
      <c r="M17" s="32">
        <f>HARF!DZ38</f>
        <v>0</v>
      </c>
      <c r="N17" s="35">
        <f>HARF!EA38</f>
        <v>0</v>
      </c>
      <c r="O17" s="32">
        <f>HARF!EB38</f>
        <v>0</v>
      </c>
      <c r="P17" s="32">
        <f>HARF!EC38</f>
        <v>-71250</v>
      </c>
      <c r="Q17" s="32">
        <f>HARF!ED38</f>
        <v>0</v>
      </c>
      <c r="R17" s="32">
        <f>HARF!EE38</f>
        <v>0</v>
      </c>
      <c r="S17" s="32">
        <f>HARF!EF38</f>
        <v>0</v>
      </c>
      <c r="T17" s="32">
        <f>HARF!EG38</f>
        <v>0</v>
      </c>
      <c r="U17" s="26">
        <f>HARF!EH38</f>
        <v>2</v>
      </c>
      <c r="V17" s="27" t="s">
        <v>71</v>
      </c>
    </row>
    <row r="18" spans="3:22">
      <c r="C18" s="26">
        <v>3</v>
      </c>
      <c r="D18">
        <f>-1*(-1*HARF!BJ14*HARF!BJ32^2/12-HARF!BJ15*HARF!BJ41^2/12)</f>
        <v>32</v>
      </c>
      <c r="F18" s="32">
        <f>HARF!DS39</f>
        <v>179.98333518878522</v>
      </c>
      <c r="G18" s="32">
        <f>HARF!DT39</f>
        <v>552.98749443364431</v>
      </c>
      <c r="H18" s="32">
        <f>HARF!DU39</f>
        <v>4400.7221974828635</v>
      </c>
      <c r="I18" s="32">
        <f>HARF!DV39</f>
        <v>184.32916481121478</v>
      </c>
      <c r="J18" s="32">
        <f>HARF!DW39</f>
        <v>-552.98749443364431</v>
      </c>
      <c r="K18" s="32">
        <f>HARF!DX39</f>
        <v>1228.861098741432</v>
      </c>
      <c r="L18" s="32">
        <f>HARF!DY39</f>
        <v>0</v>
      </c>
      <c r="M18" s="32">
        <f>HARF!DZ39</f>
        <v>0</v>
      </c>
      <c r="N18" s="35">
        <f>HARF!EA39</f>
        <v>0</v>
      </c>
      <c r="O18" s="32">
        <f>HARF!EB39</f>
        <v>-364.3125</v>
      </c>
      <c r="P18" s="32">
        <f>HARF!EC39</f>
        <v>0</v>
      </c>
      <c r="Q18" s="32">
        <f>HARF!ED39</f>
        <v>971.49999999999989</v>
      </c>
      <c r="R18" s="32">
        <f>HARF!EE39</f>
        <v>0</v>
      </c>
      <c r="S18" s="32">
        <f>HARF!EF39</f>
        <v>0</v>
      </c>
      <c r="T18" s="32">
        <f>HARF!EG39</f>
        <v>0</v>
      </c>
      <c r="U18" s="26">
        <f>HARF!EH39</f>
        <v>3</v>
      </c>
      <c r="V18" s="27" t="s">
        <v>72</v>
      </c>
    </row>
    <row r="19" spans="3:22">
      <c r="C19" s="26">
        <v>4</v>
      </c>
      <c r="D19">
        <f>-1*(HARF!BJ15*HARF!BJ41/2*HARF!BJ43-HARF!BJ16*HARF!BJ50/2*-HARF!BJ52)</f>
        <v>1.0000000000000009</v>
      </c>
      <c r="F19" s="32">
        <f>HARF!DS40</f>
        <v>-81130.854899800033</v>
      </c>
      <c r="G19" s="32">
        <f>HARF!DT40</f>
        <v>-26982.175244996277</v>
      </c>
      <c r="H19" s="32">
        <f>HARF!DU40</f>
        <v>184.32916481121478</v>
      </c>
      <c r="I19" s="32">
        <f>HARF!DV40</f>
        <v>162261.70979960007</v>
      </c>
      <c r="J19" s="32">
        <f>HARF!DW40</f>
        <v>0</v>
      </c>
      <c r="K19" s="32">
        <f>HARF!DX40</f>
        <v>368.65832962242956</v>
      </c>
      <c r="L19" s="32">
        <f>HARF!DY40</f>
        <v>-81130.854899800033</v>
      </c>
      <c r="M19" s="32">
        <f>HARF!DZ40</f>
        <v>26982.175244996273</v>
      </c>
      <c r="N19" s="35">
        <f>HARF!EA40</f>
        <v>184.32916481121478</v>
      </c>
      <c r="O19" s="32">
        <f>HARF!EB40</f>
        <v>0</v>
      </c>
      <c r="P19" s="32">
        <f>HARF!EC40</f>
        <v>0</v>
      </c>
      <c r="Q19" s="32">
        <f>HARF!ED40</f>
        <v>0</v>
      </c>
      <c r="R19" s="32">
        <f>HARF!EE40</f>
        <v>0</v>
      </c>
      <c r="S19" s="32">
        <f>HARF!EF40</f>
        <v>0</v>
      </c>
      <c r="T19" s="32">
        <f>HARF!EG40</f>
        <v>0</v>
      </c>
      <c r="U19" s="26">
        <f>HARF!EH40</f>
        <v>4</v>
      </c>
      <c r="V19" s="27" t="s">
        <v>73</v>
      </c>
    </row>
    <row r="20" spans="3:22">
      <c r="C20" s="26">
        <v>5</v>
      </c>
      <c r="D20">
        <f>-1*(-1*HARF!BJ15*HARF!BJ41/2*HARF!BJ42-HARF!BJ16*HARF!BJ50/2*HARF!BJ51)</f>
        <v>27</v>
      </c>
      <c r="F20" s="32">
        <f>HARF!DS41</f>
        <v>-26982.175244996273</v>
      </c>
      <c r="G20" s="32">
        <f>HARF!DT41</f>
        <v>-9178.3875798099743</v>
      </c>
      <c r="H20" s="32">
        <f>HARF!DU41</f>
        <v>-552.98749443364431</v>
      </c>
      <c r="I20" s="32">
        <f>HARF!DV41</f>
        <v>0</v>
      </c>
      <c r="J20" s="32">
        <f>HARF!DW41</f>
        <v>18356.775159619949</v>
      </c>
      <c r="K20" s="32">
        <f>HARF!DX41</f>
        <v>0</v>
      </c>
      <c r="L20" s="32">
        <f>HARF!DY41</f>
        <v>26982.175244996277</v>
      </c>
      <c r="M20" s="32">
        <f>HARF!DZ41</f>
        <v>-9178.3875798099743</v>
      </c>
      <c r="N20" s="35">
        <f>HARF!EA41</f>
        <v>552.98749443364431</v>
      </c>
      <c r="O20" s="32">
        <f>HARF!EB41</f>
        <v>0</v>
      </c>
      <c r="P20" s="32">
        <f>HARF!EC41</f>
        <v>0</v>
      </c>
      <c r="Q20" s="32">
        <f>HARF!ED41</f>
        <v>0</v>
      </c>
      <c r="R20" s="32">
        <f>HARF!EE41</f>
        <v>0</v>
      </c>
      <c r="S20" s="32">
        <f>HARF!EF41</f>
        <v>0</v>
      </c>
      <c r="T20" s="32">
        <f>HARF!EG41</f>
        <v>0</v>
      </c>
      <c r="U20" s="26">
        <f>HARF!EH41</f>
        <v>5</v>
      </c>
      <c r="V20" s="27" t="s">
        <v>74</v>
      </c>
    </row>
    <row r="21" spans="3:22">
      <c r="C21" s="26">
        <v>6</v>
      </c>
      <c r="D21">
        <f>-1*(HARF!BJ15*HARF!BJ41^2/12-HARF!BJ16*HARF!BJ50^2/12)</f>
        <v>3.3333333333333321</v>
      </c>
      <c r="F21" s="32">
        <f>HARF!DS42</f>
        <v>-184.32916481121478</v>
      </c>
      <c r="G21" s="32">
        <f>HARF!DT42</f>
        <v>552.98749443364431</v>
      </c>
      <c r="H21" s="32">
        <f>HARF!DU42</f>
        <v>1228.861098741432</v>
      </c>
      <c r="I21" s="32">
        <f>HARF!DV42</f>
        <v>368.65832962242956</v>
      </c>
      <c r="J21" s="32">
        <f>HARF!DW42</f>
        <v>0</v>
      </c>
      <c r="K21" s="32">
        <f>HARF!DX42</f>
        <v>4915.444394965728</v>
      </c>
      <c r="L21" s="32">
        <f>HARF!DY42</f>
        <v>-184.32916481121478</v>
      </c>
      <c r="M21" s="32">
        <f>HARF!DZ42</f>
        <v>-552.98749443364431</v>
      </c>
      <c r="N21" s="35">
        <f>HARF!EA42</f>
        <v>1228.861098741432</v>
      </c>
      <c r="O21" s="32">
        <f>HARF!EB42</f>
        <v>0</v>
      </c>
      <c r="P21" s="32">
        <f>HARF!EC42</f>
        <v>0</v>
      </c>
      <c r="Q21" s="32">
        <f>HARF!ED42</f>
        <v>0</v>
      </c>
      <c r="R21" s="32">
        <f>HARF!EE42</f>
        <v>0</v>
      </c>
      <c r="S21" s="32">
        <f>HARF!EF42</f>
        <v>0</v>
      </c>
      <c r="T21" s="32">
        <f>HARF!EG42</f>
        <v>0</v>
      </c>
      <c r="U21" s="26">
        <f>HARF!EH42</f>
        <v>6</v>
      </c>
      <c r="V21" s="27" t="s">
        <v>75</v>
      </c>
    </row>
    <row r="22" spans="3:22">
      <c r="C22" s="26">
        <v>7</v>
      </c>
      <c r="D22">
        <f>-1*(HARF!BJ16*HARF!BJ50/2*HARF!BJ52-HARF!BJ17*HARF!BJ59/2)</f>
        <v>15</v>
      </c>
      <c r="F22" s="32">
        <f>HARF!DS43</f>
        <v>0</v>
      </c>
      <c r="G22" s="32">
        <f>HARF!DT43</f>
        <v>0</v>
      </c>
      <c r="H22" s="32">
        <f>HARF!DU43</f>
        <v>0</v>
      </c>
      <c r="I22" s="32">
        <f>HARF!DV43</f>
        <v>-81130.854899800033</v>
      </c>
      <c r="J22" s="32">
        <f>HARF!DW43</f>
        <v>26982.175244996277</v>
      </c>
      <c r="K22" s="32">
        <f>HARF!DX43</f>
        <v>-184.32916481121478</v>
      </c>
      <c r="L22" s="32">
        <f>HARF!DY43</f>
        <v>81221.933024800033</v>
      </c>
      <c r="M22" s="32">
        <f>HARF!DZ43</f>
        <v>-26982.175244996273</v>
      </c>
      <c r="N22" s="35">
        <f>HARF!EA43</f>
        <v>179.98333518878522</v>
      </c>
      <c r="O22" s="32">
        <f>HARF!EB43</f>
        <v>0</v>
      </c>
      <c r="P22" s="32">
        <f>HARF!EC43</f>
        <v>0</v>
      </c>
      <c r="Q22" s="32">
        <f>HARF!ED43</f>
        <v>0</v>
      </c>
      <c r="R22" s="32">
        <f>HARF!EE43</f>
        <v>-91.078125</v>
      </c>
      <c r="S22" s="32">
        <f>HARF!EF43</f>
        <v>0</v>
      </c>
      <c r="T22" s="32">
        <f>HARF!EG43</f>
        <v>364.3125</v>
      </c>
      <c r="U22" s="26">
        <f>HARF!EH43</f>
        <v>7</v>
      </c>
      <c r="V22" s="27" t="s">
        <v>76</v>
      </c>
    </row>
    <row r="23" spans="3:22">
      <c r="C23" s="26">
        <v>8</v>
      </c>
      <c r="D23">
        <f>-1*(HARF!BJ16*HARF!BJ50/2*-HARF!BJ51)</f>
        <v>15</v>
      </c>
      <c r="E23" s="25" t="s">
        <v>56</v>
      </c>
      <c r="F23" s="32">
        <f>HARF!DS44</f>
        <v>0</v>
      </c>
      <c r="G23" s="32">
        <f>HARF!DT44</f>
        <v>0</v>
      </c>
      <c r="H23" s="32">
        <f>HARF!DU44</f>
        <v>0</v>
      </c>
      <c r="I23" s="32">
        <f>HARF!DV44</f>
        <v>26982.175244996273</v>
      </c>
      <c r="J23" s="32">
        <f>HARF!DW44</f>
        <v>-9178.3875798099743</v>
      </c>
      <c r="K23" s="32">
        <f>HARF!DX44</f>
        <v>-552.98749443364431</v>
      </c>
      <c r="L23" s="32">
        <f>HARF!DY44</f>
        <v>-26982.175244996273</v>
      </c>
      <c r="M23" s="32">
        <f>HARF!DZ44</f>
        <v>80428.387579809976</v>
      </c>
      <c r="N23" s="35">
        <f>HARF!EA44</f>
        <v>-552.98749443364431</v>
      </c>
      <c r="O23" s="32">
        <f>HARF!EB44</f>
        <v>0</v>
      </c>
      <c r="P23" s="32">
        <f>HARF!EC44</f>
        <v>0</v>
      </c>
      <c r="Q23" s="32">
        <f>HARF!ED44</f>
        <v>0</v>
      </c>
      <c r="R23" s="32">
        <f>HARF!EE44</f>
        <v>0</v>
      </c>
      <c r="S23" s="32">
        <f>HARF!EF44</f>
        <v>-71250</v>
      </c>
      <c r="T23" s="32">
        <f>HARF!EG44</f>
        <v>0</v>
      </c>
      <c r="U23" s="26">
        <f>HARF!EH44</f>
        <v>8</v>
      </c>
      <c r="V23" s="27" t="s">
        <v>77</v>
      </c>
    </row>
    <row r="24" spans="3:22" ht="12" thickBot="1">
      <c r="C24" s="26">
        <v>9</v>
      </c>
      <c r="D24" s="29">
        <f>-1*(HARF!BJ16*HARF!BJ50^2/12-HARF!BJ17*HARF!BJ59^2/12)</f>
        <v>-3.3333333333333339</v>
      </c>
      <c r="F24" s="36">
        <f>HARF!DS45</f>
        <v>0</v>
      </c>
      <c r="G24" s="36">
        <f>HARF!DT45</f>
        <v>0</v>
      </c>
      <c r="H24" s="36">
        <f>HARF!DU45</f>
        <v>0</v>
      </c>
      <c r="I24" s="36">
        <f>HARF!DV45</f>
        <v>184.32916481121478</v>
      </c>
      <c r="J24" s="36">
        <f>HARF!DW45</f>
        <v>552.98749443364431</v>
      </c>
      <c r="K24" s="36">
        <f>HARF!DX45</f>
        <v>1228.861098741432</v>
      </c>
      <c r="L24" s="36">
        <f>HARF!DY45</f>
        <v>179.98333518878522</v>
      </c>
      <c r="M24" s="36">
        <f>HARF!DZ45</f>
        <v>-552.98749443364431</v>
      </c>
      <c r="N24" s="37">
        <f>HARF!EA45</f>
        <v>4400.7221974828635</v>
      </c>
      <c r="O24" s="36">
        <f>HARF!EB45</f>
        <v>0</v>
      </c>
      <c r="P24" s="36">
        <f>HARF!EC45</f>
        <v>0</v>
      </c>
      <c r="Q24" s="36">
        <f>HARF!ED45</f>
        <v>0</v>
      </c>
      <c r="R24" s="36">
        <f>HARF!EE45</f>
        <v>-364.3125</v>
      </c>
      <c r="S24" s="36">
        <f>HARF!EF45</f>
        <v>0</v>
      </c>
      <c r="T24" s="36">
        <f>HARF!EG45</f>
        <v>971.49999999999989</v>
      </c>
      <c r="U24" s="26">
        <f>HARF!EH45</f>
        <v>9</v>
      </c>
      <c r="V24" s="30" t="s">
        <v>78</v>
      </c>
    </row>
    <row r="25" spans="3:22">
      <c r="C25" s="26">
        <v>10</v>
      </c>
      <c r="D25" s="27" t="s">
        <v>64</v>
      </c>
      <c r="F25" s="32">
        <f>HARF!DS46</f>
        <v>-91.078125</v>
      </c>
      <c r="G25" s="32">
        <f>HARF!DT46</f>
        <v>0</v>
      </c>
      <c r="H25" s="32">
        <f>HARF!DU46</f>
        <v>-364.3125</v>
      </c>
      <c r="I25" s="32">
        <f>HARF!DV46</f>
        <v>0</v>
      </c>
      <c r="J25" s="32">
        <f>HARF!DW46</f>
        <v>0</v>
      </c>
      <c r="K25" s="32">
        <f>HARF!DX46</f>
        <v>0</v>
      </c>
      <c r="L25" s="32">
        <f>HARF!DY46</f>
        <v>0</v>
      </c>
      <c r="M25" s="32">
        <f>HARF!DZ46</f>
        <v>0</v>
      </c>
      <c r="N25" s="35">
        <f>HARF!EA46</f>
        <v>0</v>
      </c>
      <c r="O25" s="32">
        <f>HARF!EB46</f>
        <v>91.078125</v>
      </c>
      <c r="P25" s="32">
        <f>HARF!EC46</f>
        <v>0</v>
      </c>
      <c r="Q25" s="32">
        <f>HARF!ED46</f>
        <v>-364.3125</v>
      </c>
      <c r="R25" s="32">
        <f>HARF!EE46</f>
        <v>0</v>
      </c>
      <c r="S25" s="32">
        <f>HARF!EF46</f>
        <v>0</v>
      </c>
      <c r="T25" s="32">
        <f>HARF!EG46</f>
        <v>0</v>
      </c>
      <c r="U25" s="26">
        <f>HARF!EH46</f>
        <v>10</v>
      </c>
      <c r="V25" s="27">
        <v>0</v>
      </c>
    </row>
    <row r="26" spans="3:22">
      <c r="C26" s="26">
        <v>11</v>
      </c>
      <c r="D26" s="27" t="s">
        <v>65</v>
      </c>
      <c r="F26" s="32">
        <f>HARF!DS47</f>
        <v>0</v>
      </c>
      <c r="G26" s="32">
        <f>HARF!DT47</f>
        <v>-71250</v>
      </c>
      <c r="H26" s="32">
        <f>HARF!DU47</f>
        <v>0</v>
      </c>
      <c r="I26" s="32">
        <f>HARF!DV47</f>
        <v>0</v>
      </c>
      <c r="J26" s="32">
        <f>HARF!DW47</f>
        <v>0</v>
      </c>
      <c r="K26" s="32">
        <f>HARF!DX47</f>
        <v>0</v>
      </c>
      <c r="L26" s="32">
        <f>HARF!DY47</f>
        <v>0</v>
      </c>
      <c r="M26" s="32">
        <f>HARF!DZ47</f>
        <v>0</v>
      </c>
      <c r="N26" s="35">
        <f>HARF!EA47</f>
        <v>0</v>
      </c>
      <c r="O26" s="32">
        <f>HARF!EB47</f>
        <v>0</v>
      </c>
      <c r="P26" s="32">
        <f>HARF!EC47</f>
        <v>71250</v>
      </c>
      <c r="Q26" s="32">
        <f>HARF!ED47</f>
        <v>0</v>
      </c>
      <c r="R26" s="32">
        <f>HARF!EE47</f>
        <v>0</v>
      </c>
      <c r="S26" s="32">
        <f>HARF!EF47</f>
        <v>0</v>
      </c>
      <c r="T26" s="32">
        <f>HARF!EG47</f>
        <v>0</v>
      </c>
      <c r="U26" s="26">
        <f>HARF!EH47</f>
        <v>11</v>
      </c>
      <c r="V26" s="27">
        <v>0</v>
      </c>
    </row>
    <row r="27" spans="3:22">
      <c r="C27" s="26">
        <v>12</v>
      </c>
      <c r="D27" s="27" t="s">
        <v>66</v>
      </c>
      <c r="F27" s="32">
        <f>HARF!DS48</f>
        <v>364.3125</v>
      </c>
      <c r="G27" s="32">
        <f>HARF!DT48</f>
        <v>0</v>
      </c>
      <c r="H27" s="32">
        <f>HARF!DU48</f>
        <v>971.49999999999989</v>
      </c>
      <c r="I27" s="32">
        <f>HARF!DV48</f>
        <v>0</v>
      </c>
      <c r="J27" s="32">
        <f>HARF!DW48</f>
        <v>0</v>
      </c>
      <c r="K27" s="32">
        <f>HARF!DX48</f>
        <v>0</v>
      </c>
      <c r="L27" s="32">
        <f>HARF!DY48</f>
        <v>0</v>
      </c>
      <c r="M27" s="32">
        <f>HARF!DZ48</f>
        <v>0</v>
      </c>
      <c r="N27" s="35">
        <f>HARF!EA48</f>
        <v>0</v>
      </c>
      <c r="O27" s="32">
        <f>HARF!EB48</f>
        <v>-364.3125</v>
      </c>
      <c r="P27" s="32">
        <f>HARF!EC48</f>
        <v>0</v>
      </c>
      <c r="Q27" s="32">
        <f>HARF!ED48</f>
        <v>1942.9999999999998</v>
      </c>
      <c r="R27" s="32">
        <f>HARF!EE48</f>
        <v>0</v>
      </c>
      <c r="S27" s="32">
        <f>HARF!EF48</f>
        <v>0</v>
      </c>
      <c r="T27" s="32">
        <f>HARF!EG48</f>
        <v>0</v>
      </c>
      <c r="U27" s="26">
        <f>HARF!EH48</f>
        <v>12</v>
      </c>
      <c r="V27" s="27">
        <v>0</v>
      </c>
    </row>
    <row r="28" spans="3:22">
      <c r="C28" s="26">
        <v>13</v>
      </c>
      <c r="D28" s="27" t="s">
        <v>67</v>
      </c>
      <c r="F28" s="32">
        <f>HARF!DS49</f>
        <v>0</v>
      </c>
      <c r="G28" s="32">
        <f>HARF!DT49</f>
        <v>0</v>
      </c>
      <c r="H28" s="32">
        <f>HARF!DU49</f>
        <v>0</v>
      </c>
      <c r="I28" s="32">
        <f>HARF!DV49</f>
        <v>0</v>
      </c>
      <c r="J28" s="32">
        <f>HARF!DW49</f>
        <v>0</v>
      </c>
      <c r="K28" s="32">
        <f>HARF!DX49</f>
        <v>0</v>
      </c>
      <c r="L28" s="32">
        <f>HARF!DY49</f>
        <v>-91.078125</v>
      </c>
      <c r="M28" s="32">
        <f>HARF!DZ49</f>
        <v>0</v>
      </c>
      <c r="N28" s="35">
        <f>HARF!EA49</f>
        <v>-364.3125</v>
      </c>
      <c r="O28" s="32">
        <f>HARF!EB49</f>
        <v>0</v>
      </c>
      <c r="P28" s="32">
        <f>HARF!EC49</f>
        <v>0</v>
      </c>
      <c r="Q28" s="32">
        <f>HARF!ED49</f>
        <v>0</v>
      </c>
      <c r="R28" s="32">
        <f>HARF!EE49</f>
        <v>91.078125</v>
      </c>
      <c r="S28" s="32">
        <f>HARF!EF49</f>
        <v>0</v>
      </c>
      <c r="T28" s="32">
        <f>HARF!EG49</f>
        <v>-364.3125</v>
      </c>
      <c r="U28" s="26">
        <f>HARF!EH49</f>
        <v>13</v>
      </c>
      <c r="V28" s="27">
        <v>0</v>
      </c>
    </row>
    <row r="29" spans="3:22">
      <c r="C29" s="26">
        <v>14</v>
      </c>
      <c r="D29" s="27" t="s">
        <v>68</v>
      </c>
      <c r="F29" s="32">
        <f>HARF!DS50</f>
        <v>0</v>
      </c>
      <c r="G29" s="32">
        <f>HARF!DT50</f>
        <v>0</v>
      </c>
      <c r="H29" s="32">
        <f>HARF!DU50</f>
        <v>0</v>
      </c>
      <c r="I29" s="32">
        <f>HARF!DV50</f>
        <v>0</v>
      </c>
      <c r="J29" s="32">
        <f>HARF!DW50</f>
        <v>0</v>
      </c>
      <c r="K29" s="32">
        <f>HARF!DX50</f>
        <v>0</v>
      </c>
      <c r="L29" s="32">
        <f>HARF!DY50</f>
        <v>0</v>
      </c>
      <c r="M29" s="32">
        <f>HARF!DZ50</f>
        <v>-71250</v>
      </c>
      <c r="N29" s="35">
        <f>HARF!EA50</f>
        <v>0</v>
      </c>
      <c r="O29" s="32">
        <f>HARF!EB50</f>
        <v>0</v>
      </c>
      <c r="P29" s="32">
        <f>HARF!EC50</f>
        <v>0</v>
      </c>
      <c r="Q29" s="32">
        <f>HARF!ED50</f>
        <v>0</v>
      </c>
      <c r="R29" s="32">
        <f>HARF!EE50</f>
        <v>0</v>
      </c>
      <c r="S29" s="32">
        <f>HARF!EF50</f>
        <v>71250</v>
      </c>
      <c r="T29" s="32">
        <f>HARF!EG50</f>
        <v>0</v>
      </c>
      <c r="U29" s="26">
        <f>HARF!EH50</f>
        <v>14</v>
      </c>
      <c r="V29" s="27">
        <v>0</v>
      </c>
    </row>
    <row r="30" spans="3:22">
      <c r="C30" s="26">
        <v>15</v>
      </c>
      <c r="D30" s="27" t="s">
        <v>69</v>
      </c>
      <c r="F30" s="32">
        <f>HARF!DS51</f>
        <v>0</v>
      </c>
      <c r="G30" s="32">
        <f>HARF!DT51</f>
        <v>0</v>
      </c>
      <c r="H30" s="32">
        <f>HARF!DU51</f>
        <v>0</v>
      </c>
      <c r="I30" s="32">
        <f>HARF!DV51</f>
        <v>0</v>
      </c>
      <c r="J30" s="32">
        <f>HARF!DW51</f>
        <v>0</v>
      </c>
      <c r="K30" s="32">
        <f>HARF!DX51</f>
        <v>0</v>
      </c>
      <c r="L30" s="32">
        <f>HARF!DY51</f>
        <v>364.3125</v>
      </c>
      <c r="M30" s="32">
        <f>HARF!DZ51</f>
        <v>0</v>
      </c>
      <c r="N30" s="35">
        <f>HARF!EA51</f>
        <v>971.49999999999989</v>
      </c>
      <c r="O30" s="32">
        <f>HARF!EB51</f>
        <v>0</v>
      </c>
      <c r="P30" s="32">
        <f>HARF!EC51</f>
        <v>0</v>
      </c>
      <c r="Q30" s="32">
        <f>HARF!ED51</f>
        <v>0</v>
      </c>
      <c r="R30" s="32">
        <f>HARF!EE51</f>
        <v>-364.3125</v>
      </c>
      <c r="S30" s="32">
        <f>HARF!EF51</f>
        <v>0</v>
      </c>
      <c r="T30" s="32">
        <f>HARF!EG51</f>
        <v>1942.9999999999998</v>
      </c>
      <c r="U30" s="26">
        <f>HARF!EH51</f>
        <v>15</v>
      </c>
      <c r="V30" s="27">
        <v>0</v>
      </c>
    </row>
    <row r="36" spans="3:16">
      <c r="F36" s="26">
        <v>1</v>
      </c>
      <c r="G36" s="26">
        <v>2</v>
      </c>
      <c r="H36" s="26">
        <v>3</v>
      </c>
      <c r="I36" s="26">
        <v>4</v>
      </c>
      <c r="J36" s="26">
        <v>5</v>
      </c>
      <c r="K36" s="26">
        <v>6</v>
      </c>
      <c r="L36" s="26">
        <v>7</v>
      </c>
      <c r="M36" s="26">
        <v>8</v>
      </c>
      <c r="N36" s="26">
        <v>9</v>
      </c>
    </row>
    <row r="37" spans="3:16">
      <c r="C37" s="26">
        <v>1</v>
      </c>
      <c r="D37">
        <f t="shared" ref="D37:D45" si="0">D16</f>
        <v>10</v>
      </c>
      <c r="F37">
        <f t="shared" ref="F37:N45" si="1">F16</f>
        <v>81221.933024800033</v>
      </c>
      <c r="G37">
        <f t="shared" si="1"/>
        <v>26982.175244996273</v>
      </c>
      <c r="H37">
        <f t="shared" si="1"/>
        <v>179.98333518878522</v>
      </c>
      <c r="I37">
        <f t="shared" si="1"/>
        <v>-81130.854899800033</v>
      </c>
      <c r="J37">
        <f t="shared" si="1"/>
        <v>-26982.175244996273</v>
      </c>
      <c r="K37">
        <f t="shared" si="1"/>
        <v>-184.32916481121478</v>
      </c>
      <c r="L37">
        <f t="shared" si="1"/>
        <v>0</v>
      </c>
      <c r="M37">
        <f t="shared" si="1"/>
        <v>0</v>
      </c>
      <c r="N37">
        <f t="shared" si="1"/>
        <v>0</v>
      </c>
      <c r="O37" s="26">
        <v>1</v>
      </c>
      <c r="P37" s="27" t="str">
        <f t="shared" ref="P37:P45" si="2">V16</f>
        <v>D1</v>
      </c>
    </row>
    <row r="38" spans="3:16">
      <c r="C38" s="26">
        <v>2</v>
      </c>
      <c r="D38">
        <f t="shared" si="0"/>
        <v>12</v>
      </c>
      <c r="F38">
        <f t="shared" si="1"/>
        <v>26982.175244996273</v>
      </c>
      <c r="G38">
        <f t="shared" si="1"/>
        <v>80428.387579809976</v>
      </c>
      <c r="H38">
        <f t="shared" si="1"/>
        <v>552.98749443364431</v>
      </c>
      <c r="I38">
        <f t="shared" si="1"/>
        <v>-26982.175244996277</v>
      </c>
      <c r="J38">
        <f t="shared" si="1"/>
        <v>-9178.3875798099743</v>
      </c>
      <c r="K38">
        <f t="shared" si="1"/>
        <v>552.98749443364431</v>
      </c>
      <c r="L38">
        <f t="shared" si="1"/>
        <v>0</v>
      </c>
      <c r="M38">
        <f t="shared" si="1"/>
        <v>0</v>
      </c>
      <c r="N38">
        <f t="shared" si="1"/>
        <v>0</v>
      </c>
      <c r="O38" s="26">
        <v>2</v>
      </c>
      <c r="P38" s="27" t="str">
        <f t="shared" si="2"/>
        <v>D2</v>
      </c>
    </row>
    <row r="39" spans="3:16">
      <c r="C39" s="26">
        <v>3</v>
      </c>
      <c r="D39">
        <f t="shared" si="0"/>
        <v>32</v>
      </c>
      <c r="F39">
        <f t="shared" si="1"/>
        <v>179.98333518878522</v>
      </c>
      <c r="G39">
        <f t="shared" si="1"/>
        <v>552.98749443364431</v>
      </c>
      <c r="H39">
        <f t="shared" si="1"/>
        <v>4400.7221974828635</v>
      </c>
      <c r="I39">
        <f t="shared" si="1"/>
        <v>184.32916481121478</v>
      </c>
      <c r="J39">
        <f t="shared" si="1"/>
        <v>-552.98749443364431</v>
      </c>
      <c r="K39">
        <f t="shared" si="1"/>
        <v>1228.861098741432</v>
      </c>
      <c r="L39">
        <f t="shared" si="1"/>
        <v>0</v>
      </c>
      <c r="M39">
        <f t="shared" si="1"/>
        <v>0</v>
      </c>
      <c r="N39">
        <f t="shared" si="1"/>
        <v>0</v>
      </c>
      <c r="O39" s="26">
        <v>3</v>
      </c>
      <c r="P39" s="27" t="str">
        <f t="shared" si="2"/>
        <v>D3</v>
      </c>
    </row>
    <row r="40" spans="3:16">
      <c r="C40" s="26">
        <v>4</v>
      </c>
      <c r="D40">
        <f t="shared" si="0"/>
        <v>1.0000000000000009</v>
      </c>
      <c r="E40" s="25" t="s">
        <v>56</v>
      </c>
      <c r="F40">
        <f t="shared" si="1"/>
        <v>-81130.854899800033</v>
      </c>
      <c r="G40">
        <f t="shared" si="1"/>
        <v>-26982.175244996277</v>
      </c>
      <c r="H40">
        <f t="shared" si="1"/>
        <v>184.32916481121478</v>
      </c>
      <c r="I40">
        <f t="shared" si="1"/>
        <v>162261.70979960007</v>
      </c>
      <c r="J40">
        <f t="shared" si="1"/>
        <v>0</v>
      </c>
      <c r="K40">
        <f t="shared" si="1"/>
        <v>368.65832962242956</v>
      </c>
      <c r="L40">
        <f t="shared" si="1"/>
        <v>-81130.854899800033</v>
      </c>
      <c r="M40">
        <f t="shared" si="1"/>
        <v>26982.175244996273</v>
      </c>
      <c r="N40">
        <f t="shared" si="1"/>
        <v>184.32916481121478</v>
      </c>
      <c r="O40" s="26">
        <v>4</v>
      </c>
      <c r="P40" s="27" t="str">
        <f t="shared" si="2"/>
        <v>D4</v>
      </c>
    </row>
    <row r="41" spans="3:16">
      <c r="C41" s="26">
        <v>5</v>
      </c>
      <c r="D41">
        <f t="shared" si="0"/>
        <v>27</v>
      </c>
      <c r="F41">
        <f t="shared" si="1"/>
        <v>-26982.175244996273</v>
      </c>
      <c r="G41">
        <f t="shared" si="1"/>
        <v>-9178.3875798099743</v>
      </c>
      <c r="H41">
        <f t="shared" si="1"/>
        <v>-552.98749443364431</v>
      </c>
      <c r="I41">
        <f t="shared" si="1"/>
        <v>0</v>
      </c>
      <c r="J41">
        <f t="shared" si="1"/>
        <v>18356.775159619949</v>
      </c>
      <c r="K41">
        <f t="shared" si="1"/>
        <v>0</v>
      </c>
      <c r="L41">
        <f t="shared" si="1"/>
        <v>26982.175244996277</v>
      </c>
      <c r="M41">
        <f t="shared" si="1"/>
        <v>-9178.3875798099743</v>
      </c>
      <c r="N41">
        <f t="shared" si="1"/>
        <v>552.98749443364431</v>
      </c>
      <c r="O41" s="26">
        <v>5</v>
      </c>
      <c r="P41" s="27" t="str">
        <f t="shared" si="2"/>
        <v>D5</v>
      </c>
    </row>
    <row r="42" spans="3:16">
      <c r="C42" s="26">
        <v>6</v>
      </c>
      <c r="D42">
        <f t="shared" si="0"/>
        <v>3.3333333333333321</v>
      </c>
      <c r="F42">
        <f t="shared" si="1"/>
        <v>-184.32916481121478</v>
      </c>
      <c r="G42">
        <f t="shared" si="1"/>
        <v>552.98749443364431</v>
      </c>
      <c r="H42">
        <f t="shared" si="1"/>
        <v>1228.861098741432</v>
      </c>
      <c r="I42">
        <f t="shared" si="1"/>
        <v>368.65832962242956</v>
      </c>
      <c r="J42">
        <f t="shared" si="1"/>
        <v>0</v>
      </c>
      <c r="K42">
        <f t="shared" si="1"/>
        <v>4915.444394965728</v>
      </c>
      <c r="L42">
        <f t="shared" si="1"/>
        <v>-184.32916481121478</v>
      </c>
      <c r="M42">
        <f t="shared" si="1"/>
        <v>-552.98749443364431</v>
      </c>
      <c r="N42">
        <f t="shared" si="1"/>
        <v>1228.861098741432</v>
      </c>
      <c r="O42" s="26">
        <v>6</v>
      </c>
      <c r="P42" s="27" t="str">
        <f t="shared" si="2"/>
        <v>D6</v>
      </c>
    </row>
    <row r="43" spans="3:16">
      <c r="C43" s="26">
        <v>7</v>
      </c>
      <c r="D43">
        <f t="shared" si="0"/>
        <v>15</v>
      </c>
      <c r="F43">
        <f t="shared" si="1"/>
        <v>0</v>
      </c>
      <c r="G43">
        <f t="shared" si="1"/>
        <v>0</v>
      </c>
      <c r="H43">
        <f t="shared" si="1"/>
        <v>0</v>
      </c>
      <c r="I43">
        <f t="shared" si="1"/>
        <v>-81130.854899800033</v>
      </c>
      <c r="J43">
        <f t="shared" si="1"/>
        <v>26982.175244996277</v>
      </c>
      <c r="K43">
        <f t="shared" si="1"/>
        <v>-184.32916481121478</v>
      </c>
      <c r="L43">
        <f t="shared" si="1"/>
        <v>81221.933024800033</v>
      </c>
      <c r="M43">
        <f t="shared" si="1"/>
        <v>-26982.175244996273</v>
      </c>
      <c r="N43">
        <f t="shared" si="1"/>
        <v>179.98333518878522</v>
      </c>
      <c r="O43" s="26">
        <v>7</v>
      </c>
      <c r="P43" s="27" t="str">
        <f t="shared" si="2"/>
        <v>D7</v>
      </c>
    </row>
    <row r="44" spans="3:16">
      <c r="C44" s="26">
        <v>8</v>
      </c>
      <c r="D44">
        <f t="shared" si="0"/>
        <v>15</v>
      </c>
      <c r="F44">
        <f t="shared" si="1"/>
        <v>0</v>
      </c>
      <c r="G44">
        <f t="shared" si="1"/>
        <v>0</v>
      </c>
      <c r="H44">
        <f t="shared" si="1"/>
        <v>0</v>
      </c>
      <c r="I44">
        <f t="shared" si="1"/>
        <v>26982.175244996273</v>
      </c>
      <c r="J44">
        <f t="shared" si="1"/>
        <v>-9178.3875798099743</v>
      </c>
      <c r="K44">
        <f t="shared" si="1"/>
        <v>-552.98749443364431</v>
      </c>
      <c r="L44">
        <f t="shared" si="1"/>
        <v>-26982.175244996273</v>
      </c>
      <c r="M44">
        <f t="shared" si="1"/>
        <v>80428.387579809976</v>
      </c>
      <c r="N44">
        <f t="shared" si="1"/>
        <v>-552.98749443364431</v>
      </c>
      <c r="O44" s="26">
        <v>8</v>
      </c>
      <c r="P44" s="27" t="str">
        <f t="shared" si="2"/>
        <v>D8</v>
      </c>
    </row>
    <row r="45" spans="3:16">
      <c r="C45" s="26">
        <v>9</v>
      </c>
      <c r="D45">
        <f t="shared" si="0"/>
        <v>-3.3333333333333339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184.32916481121478</v>
      </c>
      <c r="J45">
        <f t="shared" si="1"/>
        <v>552.98749443364431</v>
      </c>
      <c r="K45">
        <f t="shared" si="1"/>
        <v>1228.861098741432</v>
      </c>
      <c r="L45">
        <f t="shared" si="1"/>
        <v>179.98333518878522</v>
      </c>
      <c r="M45">
        <f t="shared" si="1"/>
        <v>-552.98749443364431</v>
      </c>
      <c r="N45">
        <f t="shared" si="1"/>
        <v>4400.7221974828635</v>
      </c>
      <c r="O45" s="26">
        <v>9</v>
      </c>
      <c r="P45" s="27" t="str">
        <f t="shared" si="2"/>
        <v>D9</v>
      </c>
    </row>
    <row r="48" spans="3:16">
      <c r="F48" s="26">
        <v>1</v>
      </c>
      <c r="G48" s="26">
        <v>2</v>
      </c>
      <c r="H48" s="26">
        <v>3</v>
      </c>
      <c r="I48" s="26">
        <v>4</v>
      </c>
      <c r="J48" s="26">
        <v>5</v>
      </c>
      <c r="K48" s="26">
        <v>6</v>
      </c>
      <c r="L48" s="26">
        <v>7</v>
      </c>
      <c r="M48" s="26">
        <v>8</v>
      </c>
      <c r="N48" s="26">
        <v>9</v>
      </c>
    </row>
    <row r="49" spans="1:16">
      <c r="D49" s="27" t="s">
        <v>70</v>
      </c>
      <c r="F49">
        <f t="array" ref="F49:N57">MINVERSE(F37:N45)</f>
        <v>9.2782777933528501E-3</v>
      </c>
      <c r="G49">
        <v>3.7020343584095466E-6</v>
      </c>
      <c r="H49">
        <v>-7.429024293495013E-4</v>
      </c>
      <c r="I49">
        <v>8.9289989064488592E-3</v>
      </c>
      <c r="J49">
        <v>1.0402983897581366E-3</v>
      </c>
      <c r="K49">
        <v>4.2862593678946861E-4</v>
      </c>
      <c r="L49">
        <v>8.5753008532144688E-3</v>
      </c>
      <c r="M49">
        <v>-3.7020343584100146E-6</v>
      </c>
      <c r="N49">
        <v>-9.7559602368050093E-4</v>
      </c>
      <c r="O49" s="26">
        <v>1</v>
      </c>
      <c r="P49">
        <f>D37</f>
        <v>10</v>
      </c>
    </row>
    <row r="50" spans="1:16">
      <c r="D50" s="27" t="s">
        <v>71</v>
      </c>
      <c r="F50">
        <v>3.702034358409547E-6</v>
      </c>
      <c r="G50">
        <v>1.4034036103397896E-5</v>
      </c>
      <c r="H50">
        <v>-9.2550858960247473E-7</v>
      </c>
      <c r="I50">
        <v>6.0405879812034316E-6</v>
      </c>
      <c r="J50">
        <v>7.0175438596490416E-6</v>
      </c>
      <c r="K50">
        <v>-1.2913479817517808E-6</v>
      </c>
      <c r="L50">
        <v>3.7020343584095999E-6</v>
      </c>
      <c r="M50">
        <v>1.05161590034947E-9</v>
      </c>
      <c r="N50">
        <v>-9.2550858960245875E-7</v>
      </c>
      <c r="O50" s="26">
        <v>2</v>
      </c>
      <c r="P50">
        <f t="shared" ref="P50:P57" si="3">D38</f>
        <v>12</v>
      </c>
    </row>
    <row r="51" spans="1:16">
      <c r="D51" s="27" t="s">
        <v>72</v>
      </c>
      <c r="F51">
        <v>-7.4290242934950119E-4</v>
      </c>
      <c r="G51">
        <v>-9.2550858960247505E-7</v>
      </c>
      <c r="H51">
        <v>3.6780890892010342E-4</v>
      </c>
      <c r="I51">
        <v>-8.5980162230631769E-4</v>
      </c>
      <c r="J51">
        <v>3.5124850089831157E-4</v>
      </c>
      <c r="K51">
        <v>-1.0715648419737476E-4</v>
      </c>
      <c r="L51">
        <v>-9.7559602368053324E-4</v>
      </c>
      <c r="M51">
        <v>9.2550858960251984E-7</v>
      </c>
      <c r="N51">
        <v>6.1815704337427524E-5</v>
      </c>
      <c r="O51" s="26">
        <v>3</v>
      </c>
      <c r="P51">
        <f t="shared" si="3"/>
        <v>32</v>
      </c>
    </row>
    <row r="52" spans="1:16">
      <c r="D52" s="27" t="s">
        <v>73</v>
      </c>
      <c r="F52">
        <v>8.9289989064488592E-3</v>
      </c>
      <c r="G52">
        <v>6.0405879812034342E-6</v>
      </c>
      <c r="H52">
        <v>-8.5980162230631747E-4</v>
      </c>
      <c r="I52">
        <v>8.93815212602239E-3</v>
      </c>
      <c r="J52">
        <v>-1.1295700895336475E-16</v>
      </c>
      <c r="K52">
        <v>4.2785518738937007E-4</v>
      </c>
      <c r="L52">
        <v>8.9289989064489338E-3</v>
      </c>
      <c r="M52">
        <v>-6.0405879812039026E-6</v>
      </c>
      <c r="N52">
        <v>-8.5980162230629221E-4</v>
      </c>
      <c r="O52" s="26">
        <v>4</v>
      </c>
      <c r="P52">
        <f t="shared" si="3"/>
        <v>1.0000000000000009</v>
      </c>
    </row>
    <row r="53" spans="1:16">
      <c r="D53" s="27" t="s">
        <v>74</v>
      </c>
      <c r="E53" s="25" t="s">
        <v>56</v>
      </c>
      <c r="F53">
        <v>1.0402983897581375E-3</v>
      </c>
      <c r="G53">
        <v>7.0175438596490416E-6</v>
      </c>
      <c r="H53">
        <v>3.5124850089831162E-4</v>
      </c>
      <c r="I53">
        <v>-1.1353820792785966E-16</v>
      </c>
      <c r="J53">
        <v>3.1408740342145016E-3</v>
      </c>
      <c r="K53">
        <v>-5.6045930665026265E-18</v>
      </c>
      <c r="L53">
        <v>-1.0402983897583626E-3</v>
      </c>
      <c r="M53">
        <v>7.0175438596492009E-6</v>
      </c>
      <c r="N53">
        <v>-3.5124850089829053E-4</v>
      </c>
      <c r="O53" s="26">
        <v>5</v>
      </c>
      <c r="P53">
        <f t="shared" si="3"/>
        <v>27</v>
      </c>
    </row>
    <row r="54" spans="1:16">
      <c r="D54" s="27" t="s">
        <v>75</v>
      </c>
      <c r="F54">
        <v>4.2862593678946834E-4</v>
      </c>
      <c r="G54">
        <v>-1.2913479817517806E-6</v>
      </c>
      <c r="H54">
        <v>-1.071564841973747E-4</v>
      </c>
      <c r="I54">
        <v>4.278551873893698E-4</v>
      </c>
      <c r="J54">
        <v>-5.4010132775840516E-18</v>
      </c>
      <c r="K54">
        <v>2.5736700691150207E-4</v>
      </c>
      <c r="L54">
        <v>4.2862593678947192E-4</v>
      </c>
      <c r="M54">
        <v>1.2913479817517577E-6</v>
      </c>
      <c r="N54">
        <v>-1.0715648419737348E-4</v>
      </c>
      <c r="O54" s="26">
        <v>6</v>
      </c>
      <c r="P54">
        <f t="shared" si="3"/>
        <v>3.3333333333333321</v>
      </c>
    </row>
    <row r="55" spans="1:16">
      <c r="D55" s="27" t="s">
        <v>76</v>
      </c>
      <c r="F55">
        <v>8.5753008532144688E-3</v>
      </c>
      <c r="G55">
        <v>3.7020343584095995E-6</v>
      </c>
      <c r="H55">
        <v>-9.7559602368053324E-4</v>
      </c>
      <c r="I55">
        <v>8.9289989064489355E-3</v>
      </c>
      <c r="J55">
        <v>-1.0402983897583624E-3</v>
      </c>
      <c r="K55">
        <v>4.2862593678947219E-4</v>
      </c>
      <c r="L55">
        <v>9.2782777933529976E-3</v>
      </c>
      <c r="M55">
        <v>-3.7020343584100683E-6</v>
      </c>
      <c r="N55">
        <v>-7.4290242934948309E-4</v>
      </c>
      <c r="O55" s="26">
        <v>7</v>
      </c>
      <c r="P55">
        <f t="shared" si="3"/>
        <v>15</v>
      </c>
    </row>
    <row r="56" spans="1:16">
      <c r="D56" s="27" t="s">
        <v>77</v>
      </c>
      <c r="F56">
        <v>-3.7020343584095453E-6</v>
      </c>
      <c r="G56">
        <v>1.0516159003498379E-9</v>
      </c>
      <c r="H56">
        <v>9.2550858960247833E-7</v>
      </c>
      <c r="I56">
        <v>-6.0405879812034401E-6</v>
      </c>
      <c r="J56">
        <v>7.017543859649228E-6</v>
      </c>
      <c r="K56">
        <v>1.2913479817517804E-6</v>
      </c>
      <c r="L56">
        <v>-3.702034358409616E-6</v>
      </c>
      <c r="M56">
        <v>1.4034036103397893E-5</v>
      </c>
      <c r="N56">
        <v>9.2550858960245366E-7</v>
      </c>
      <c r="O56" s="26">
        <v>8</v>
      </c>
      <c r="P56">
        <f t="shared" si="3"/>
        <v>15</v>
      </c>
    </row>
    <row r="57" spans="1:16">
      <c r="D57" s="27" t="s">
        <v>78</v>
      </c>
      <c r="F57">
        <v>-9.7559602368050072E-4</v>
      </c>
      <c r="G57">
        <v>-9.2550858960245684E-7</v>
      </c>
      <c r="H57">
        <v>6.1815704337427605E-5</v>
      </c>
      <c r="I57">
        <v>-8.5980162230629232E-4</v>
      </c>
      <c r="J57">
        <v>-3.5124850089828988E-4</v>
      </c>
      <c r="K57">
        <v>-1.0715648419737351E-4</v>
      </c>
      <c r="L57">
        <v>-7.429024293494833E-4</v>
      </c>
      <c r="M57">
        <v>9.2550858960250194E-7</v>
      </c>
      <c r="N57">
        <v>3.678089089200986E-4</v>
      </c>
      <c r="O57" s="26">
        <v>9</v>
      </c>
      <c r="P57">
        <f t="shared" si="3"/>
        <v>-3.3333333333333339</v>
      </c>
    </row>
    <row r="59" spans="1:16" ht="14.25">
      <c r="A59" s="45" t="s">
        <v>119</v>
      </c>
      <c r="B59" s="46"/>
      <c r="C59" s="46"/>
      <c r="D59" s="46"/>
    </row>
    <row r="60" spans="1:16">
      <c r="D60" s="27" t="s">
        <v>70</v>
      </c>
      <c r="F60">
        <f t="array" ref="F60:F68">MMULT(F49:N57,P49:P57)</f>
        <v>0.23932610218763803</v>
      </c>
      <c r="G60" t="s">
        <v>0</v>
      </c>
    </row>
    <row r="61" spans="1:16">
      <c r="D61" s="27" t="s">
        <v>71</v>
      </c>
      <c r="F61">
        <v>4.2565359912347009E-4</v>
      </c>
      <c r="G61" t="s">
        <v>0</v>
      </c>
    </row>
    <row r="62" spans="1:16">
      <c r="D62" s="27" t="s">
        <v>72</v>
      </c>
      <c r="F62">
        <v>-2.2296357639921397E-3</v>
      </c>
      <c r="G62" t="s">
        <v>79</v>
      </c>
    </row>
    <row r="63" spans="1:16">
      <c r="D63" s="27" t="s">
        <v>73</v>
      </c>
      <c r="F63">
        <v>0.20892354047514836</v>
      </c>
      <c r="G63" t="s">
        <v>0</v>
      </c>
    </row>
    <row r="64" spans="1:16">
      <c r="D64" s="27" t="s">
        <v>74</v>
      </c>
      <c r="E64" s="25" t="s">
        <v>56</v>
      </c>
      <c r="F64">
        <v>9.2202361024281476E-2</v>
      </c>
      <c r="G64" t="s">
        <v>0</v>
      </c>
    </row>
    <row r="65" spans="1:18">
      <c r="D65" s="27" t="s">
        <v>75</v>
      </c>
      <c r="F65">
        <v>8.9334484604515034E-3</v>
      </c>
      <c r="G65" t="s">
        <v>79</v>
      </c>
    </row>
    <row r="66" spans="1:18">
      <c r="D66" s="27" t="s">
        <v>76</v>
      </c>
      <c r="F66">
        <v>0.178443033508357</v>
      </c>
      <c r="G66" t="s">
        <v>0</v>
      </c>
    </row>
    <row r="67" spans="1:18">
      <c r="D67" s="27" t="s">
        <v>77</v>
      </c>
      <c r="F67">
        <v>3.322411377186357E-4</v>
      </c>
      <c r="G67" t="s">
        <v>0</v>
      </c>
    </row>
    <row r="68" spans="1:18">
      <c r="D68" s="27" t="s">
        <v>78</v>
      </c>
      <c r="F68">
        <v>-3.0845346736099122E-2</v>
      </c>
      <c r="G68" t="s">
        <v>79</v>
      </c>
      <c r="Q68">
        <f>F60</f>
        <v>0.23932610218763803</v>
      </c>
      <c r="R68" s="26">
        <v>1</v>
      </c>
    </row>
    <row r="69" spans="1:18">
      <c r="Q69">
        <f t="shared" ref="Q69:Q76" si="4">F61</f>
        <v>4.2565359912347009E-4</v>
      </c>
      <c r="R69" s="26">
        <v>2</v>
      </c>
    </row>
    <row r="70" spans="1:18" ht="14.25">
      <c r="A70" s="45" t="s">
        <v>120</v>
      </c>
      <c r="B70" s="46"/>
      <c r="C70" s="46"/>
      <c r="D70" s="46"/>
      <c r="F70" s="26">
        <v>1</v>
      </c>
      <c r="G70" s="26">
        <v>2</v>
      </c>
      <c r="H70" s="26">
        <v>3</v>
      </c>
      <c r="I70" s="26">
        <v>4</v>
      </c>
      <c r="J70" s="26">
        <v>5</v>
      </c>
      <c r="K70" s="26">
        <v>6</v>
      </c>
      <c r="L70" s="26">
        <v>7</v>
      </c>
      <c r="M70" s="26">
        <v>8</v>
      </c>
      <c r="N70" s="26">
        <v>9</v>
      </c>
      <c r="Q70">
        <f t="shared" si="4"/>
        <v>-2.2296357639921397E-3</v>
      </c>
      <c r="R70" s="26">
        <v>3</v>
      </c>
    </row>
    <row r="71" spans="1:18">
      <c r="D71" s="27" t="s">
        <v>64</v>
      </c>
      <c r="F71">
        <f>F25</f>
        <v>-91.078125</v>
      </c>
      <c r="G71">
        <f t="shared" ref="G71:N71" si="5">G25</f>
        <v>0</v>
      </c>
      <c r="H71">
        <f t="shared" si="5"/>
        <v>-364.3125</v>
      </c>
      <c r="I71">
        <f t="shared" si="5"/>
        <v>0</v>
      </c>
      <c r="J71">
        <f t="shared" si="5"/>
        <v>0</v>
      </c>
      <c r="K71">
        <f t="shared" si="5"/>
        <v>0</v>
      </c>
      <c r="L71">
        <f t="shared" si="5"/>
        <v>0</v>
      </c>
      <c r="M71">
        <f t="shared" si="5"/>
        <v>0</v>
      </c>
      <c r="N71">
        <f t="shared" si="5"/>
        <v>0</v>
      </c>
      <c r="O71" s="26">
        <v>10</v>
      </c>
      <c r="Q71">
        <f t="shared" si="4"/>
        <v>0.20892354047514836</v>
      </c>
      <c r="R71" s="26">
        <v>4</v>
      </c>
    </row>
    <row r="72" spans="1:18">
      <c r="D72" s="27" t="s">
        <v>65</v>
      </c>
      <c r="F72">
        <f t="shared" ref="F72:N76" si="6">F26</f>
        <v>0</v>
      </c>
      <c r="G72">
        <f t="shared" si="6"/>
        <v>-71250</v>
      </c>
      <c r="H72">
        <f t="shared" si="6"/>
        <v>0</v>
      </c>
      <c r="I72">
        <f t="shared" si="6"/>
        <v>0</v>
      </c>
      <c r="J72">
        <f t="shared" si="6"/>
        <v>0</v>
      </c>
      <c r="K72">
        <f t="shared" si="6"/>
        <v>0</v>
      </c>
      <c r="L72">
        <f t="shared" si="6"/>
        <v>0</v>
      </c>
      <c r="M72">
        <f t="shared" si="6"/>
        <v>0</v>
      </c>
      <c r="N72">
        <f t="shared" si="6"/>
        <v>0</v>
      </c>
      <c r="O72" s="26">
        <v>11</v>
      </c>
      <c r="Q72">
        <f t="shared" si="4"/>
        <v>9.2202361024281476E-2</v>
      </c>
      <c r="R72" s="26">
        <v>5</v>
      </c>
    </row>
    <row r="73" spans="1:18">
      <c r="D73" s="27" t="s">
        <v>66</v>
      </c>
      <c r="E73" s="25" t="s">
        <v>56</v>
      </c>
      <c r="F73">
        <f t="shared" si="6"/>
        <v>364.3125</v>
      </c>
      <c r="G73">
        <f t="shared" si="6"/>
        <v>0</v>
      </c>
      <c r="H73">
        <f t="shared" si="6"/>
        <v>971.49999999999989</v>
      </c>
      <c r="I73">
        <f t="shared" si="6"/>
        <v>0</v>
      </c>
      <c r="J73">
        <f t="shared" si="6"/>
        <v>0</v>
      </c>
      <c r="K73">
        <f t="shared" si="6"/>
        <v>0</v>
      </c>
      <c r="L73">
        <f t="shared" si="6"/>
        <v>0</v>
      </c>
      <c r="M73">
        <f t="shared" si="6"/>
        <v>0</v>
      </c>
      <c r="N73">
        <f t="shared" si="6"/>
        <v>0</v>
      </c>
      <c r="O73" s="26">
        <v>12</v>
      </c>
      <c r="Q73">
        <f t="shared" si="4"/>
        <v>8.9334484604515034E-3</v>
      </c>
      <c r="R73" s="26">
        <v>6</v>
      </c>
    </row>
    <row r="74" spans="1:18">
      <c r="D74" s="27" t="s">
        <v>67</v>
      </c>
      <c r="F74">
        <f t="shared" si="6"/>
        <v>0</v>
      </c>
      <c r="G74">
        <f t="shared" si="6"/>
        <v>0</v>
      </c>
      <c r="H74">
        <f t="shared" si="6"/>
        <v>0</v>
      </c>
      <c r="I74">
        <f t="shared" si="6"/>
        <v>0</v>
      </c>
      <c r="J74">
        <f t="shared" si="6"/>
        <v>0</v>
      </c>
      <c r="K74">
        <f t="shared" si="6"/>
        <v>0</v>
      </c>
      <c r="L74">
        <f t="shared" si="6"/>
        <v>-91.078125</v>
      </c>
      <c r="M74">
        <f t="shared" si="6"/>
        <v>0</v>
      </c>
      <c r="N74">
        <f t="shared" si="6"/>
        <v>-364.3125</v>
      </c>
      <c r="O74" s="26">
        <v>13</v>
      </c>
      <c r="Q74">
        <f t="shared" si="4"/>
        <v>0.178443033508357</v>
      </c>
      <c r="R74" s="26">
        <v>7</v>
      </c>
    </row>
    <row r="75" spans="1:18">
      <c r="D75" s="27" t="s">
        <v>68</v>
      </c>
      <c r="F75">
        <f t="shared" si="6"/>
        <v>0</v>
      </c>
      <c r="G75">
        <f t="shared" si="6"/>
        <v>0</v>
      </c>
      <c r="H75">
        <f t="shared" si="6"/>
        <v>0</v>
      </c>
      <c r="I75">
        <f t="shared" si="6"/>
        <v>0</v>
      </c>
      <c r="J75">
        <f t="shared" si="6"/>
        <v>0</v>
      </c>
      <c r="K75">
        <f t="shared" si="6"/>
        <v>0</v>
      </c>
      <c r="L75">
        <f t="shared" si="6"/>
        <v>0</v>
      </c>
      <c r="M75">
        <f t="shared" si="6"/>
        <v>-71250</v>
      </c>
      <c r="N75">
        <f t="shared" si="6"/>
        <v>0</v>
      </c>
      <c r="O75" s="26">
        <v>14</v>
      </c>
      <c r="Q75">
        <f t="shared" si="4"/>
        <v>3.322411377186357E-4</v>
      </c>
      <c r="R75" s="26">
        <v>8</v>
      </c>
    </row>
    <row r="76" spans="1:18">
      <c r="D76" s="27" t="s">
        <v>69</v>
      </c>
      <c r="F76">
        <f t="shared" si="6"/>
        <v>0</v>
      </c>
      <c r="G76">
        <f t="shared" si="6"/>
        <v>0</v>
      </c>
      <c r="H76">
        <f t="shared" si="6"/>
        <v>0</v>
      </c>
      <c r="I76">
        <f t="shared" si="6"/>
        <v>0</v>
      </c>
      <c r="J76">
        <f t="shared" si="6"/>
        <v>0</v>
      </c>
      <c r="K76">
        <f t="shared" si="6"/>
        <v>0</v>
      </c>
      <c r="L76">
        <f t="shared" si="6"/>
        <v>364.3125</v>
      </c>
      <c r="M76">
        <f t="shared" si="6"/>
        <v>0</v>
      </c>
      <c r="N76">
        <f t="shared" si="6"/>
        <v>971.49999999999989</v>
      </c>
      <c r="O76" s="26">
        <v>15</v>
      </c>
      <c r="Q76">
        <f t="shared" si="4"/>
        <v>-3.0845346736099122E-2</v>
      </c>
      <c r="R76" s="26">
        <v>9</v>
      </c>
    </row>
    <row r="79" spans="1:18">
      <c r="H79" s="42" t="s">
        <v>106</v>
      </c>
      <c r="I79" s="42"/>
      <c r="J79" s="42"/>
      <c r="K79" t="s">
        <v>107</v>
      </c>
    </row>
    <row r="80" spans="1:18">
      <c r="D80" s="27" t="s">
        <v>64</v>
      </c>
      <c r="F80">
        <f t="array" ref="F80:F85">MMULT(F71:N76,Q68:Q76)</f>
        <v>-20.985088471539083</v>
      </c>
      <c r="G80" t="s">
        <v>44</v>
      </c>
      <c r="I80">
        <f>-1*(HARF!BJ14*HARF!BJ32/2)</f>
        <v>-14</v>
      </c>
      <c r="K80" s="41">
        <f t="shared" ref="K80:K85" si="7">F80+I80</f>
        <v>-34.985088471539086</v>
      </c>
    </row>
    <row r="81" spans="1:21">
      <c r="D81" s="27" t="s">
        <v>65</v>
      </c>
      <c r="F81">
        <v>-30.327818937547242</v>
      </c>
      <c r="G81" t="s">
        <v>44</v>
      </c>
      <c r="I81">
        <v>0</v>
      </c>
      <c r="K81" s="41">
        <f t="shared" si="7"/>
        <v>-30.327818937547242</v>
      </c>
    </row>
    <row r="82" spans="1:21">
      <c r="D82" s="27" t="s">
        <v>66</v>
      </c>
      <c r="E82" s="25" t="s">
        <v>56</v>
      </c>
      <c r="F82">
        <v>85.023399458515513</v>
      </c>
      <c r="G82" t="s">
        <v>80</v>
      </c>
      <c r="H82" t="s">
        <v>105</v>
      </c>
      <c r="I82">
        <f>HARF!BJ14*HARF!BJ32^2/12</f>
        <v>18.666666666666668</v>
      </c>
      <c r="J82" s="25" t="s">
        <v>56</v>
      </c>
      <c r="K82" s="41">
        <f t="shared" si="7"/>
        <v>103.69006612518218</v>
      </c>
    </row>
    <row r="83" spans="1:21">
      <c r="D83" s="27" t="s">
        <v>67</v>
      </c>
      <c r="F83">
        <v>-5.0149115284582155</v>
      </c>
      <c r="G83" t="s">
        <v>44</v>
      </c>
      <c r="I83">
        <f>-1*HARF!BJ17*HARF!BJ59/2</f>
        <v>-10</v>
      </c>
      <c r="K83" s="41">
        <f t="shared" si="7"/>
        <v>-15.014911528458216</v>
      </c>
    </row>
    <row r="84" spans="1:21">
      <c r="D84" s="27" t="s">
        <v>68</v>
      </c>
      <c r="F84">
        <v>-23.672181062452793</v>
      </c>
      <c r="G84" t="s">
        <v>44</v>
      </c>
      <c r="I84">
        <v>0</v>
      </c>
      <c r="K84" s="41">
        <f t="shared" si="7"/>
        <v>-23.672181062452793</v>
      </c>
    </row>
    <row r="85" spans="1:21">
      <c r="D85" s="27" t="s">
        <v>69</v>
      </c>
      <c r="F85">
        <v>35.04277329089301</v>
      </c>
      <c r="G85" t="s">
        <v>80</v>
      </c>
      <c r="I85">
        <f>HARF!BJ17*HARF!BJ59^2/12</f>
        <v>13.333333333333334</v>
      </c>
      <c r="K85" s="41">
        <f t="shared" si="7"/>
        <v>48.376106624226345</v>
      </c>
    </row>
    <row r="89" spans="1:21">
      <c r="D89" t="s">
        <v>81</v>
      </c>
    </row>
    <row r="91" spans="1:21" ht="12.75">
      <c r="A91" s="47" t="s">
        <v>82</v>
      </c>
      <c r="D91" t="s">
        <v>83</v>
      </c>
      <c r="F91" s="33">
        <f>HARF!CC28</f>
        <v>71250</v>
      </c>
      <c r="G91" s="33">
        <f>HARF!CD28</f>
        <v>0</v>
      </c>
      <c r="H91" s="33">
        <f>HARF!CE28</f>
        <v>0</v>
      </c>
      <c r="I91" s="33">
        <f>HARF!CF28</f>
        <v>-71250</v>
      </c>
      <c r="J91" s="33">
        <f>HARF!CG28</f>
        <v>0</v>
      </c>
      <c r="K91" s="33">
        <f>HARF!CH28</f>
        <v>0</v>
      </c>
      <c r="M91" s="28">
        <f>HARF!CJ28</f>
        <v>0</v>
      </c>
      <c r="N91" s="28">
        <f>HARF!CK28</f>
        <v>1</v>
      </c>
      <c r="O91" s="28">
        <f>HARF!CL28</f>
        <v>0</v>
      </c>
      <c r="P91" s="28">
        <f>HARF!CM28</f>
        <v>0</v>
      </c>
      <c r="Q91" s="28">
        <f>HARF!CN28</f>
        <v>0</v>
      </c>
      <c r="R91" s="28">
        <f>HARF!CO28</f>
        <v>0</v>
      </c>
      <c r="T91" s="28">
        <v>0</v>
      </c>
      <c r="U91" s="34">
        <f>HARF!BM29</f>
        <v>10</v>
      </c>
    </row>
    <row r="92" spans="1:21">
      <c r="D92" t="s">
        <v>84</v>
      </c>
      <c r="F92" s="33">
        <f>HARF!CC29</f>
        <v>0</v>
      </c>
      <c r="G92" s="33">
        <f>HARF!CD29</f>
        <v>91.078125</v>
      </c>
      <c r="H92" s="33">
        <f>HARF!CE29</f>
        <v>364.3125</v>
      </c>
      <c r="I92" s="33">
        <f>HARF!CF29</f>
        <v>0</v>
      </c>
      <c r="J92" s="33">
        <f>HARF!CG29</f>
        <v>-91.078125</v>
      </c>
      <c r="K92" s="33">
        <f>HARF!CH29</f>
        <v>364.3125</v>
      </c>
      <c r="M92" s="28">
        <f>HARF!CJ29</f>
        <v>-1</v>
      </c>
      <c r="N92" s="28">
        <f>HARF!CK29</f>
        <v>0</v>
      </c>
      <c r="O92" s="28">
        <f>HARF!CL29</f>
        <v>0</v>
      </c>
      <c r="P92" s="28">
        <f>HARF!CM29</f>
        <v>0</v>
      </c>
      <c r="Q92" s="28">
        <f>HARF!CN29</f>
        <v>0</v>
      </c>
      <c r="R92" s="28">
        <f>HARF!CO29</f>
        <v>0</v>
      </c>
      <c r="T92" s="28">
        <v>0</v>
      </c>
      <c r="U92" s="34">
        <f>HARF!BM30</f>
        <v>11</v>
      </c>
    </row>
    <row r="93" spans="1:21">
      <c r="D93" t="s">
        <v>85</v>
      </c>
      <c r="E93" t="s">
        <v>56</v>
      </c>
      <c r="F93" s="33">
        <f>HARF!CC30</f>
        <v>0</v>
      </c>
      <c r="G93" s="33">
        <f>HARF!CD30</f>
        <v>364.3125</v>
      </c>
      <c r="H93" s="33">
        <f>HARF!CE30</f>
        <v>1942.9999999999998</v>
      </c>
      <c r="I93" s="33">
        <f>HARF!CF30</f>
        <v>0</v>
      </c>
      <c r="J93" s="33">
        <f>HARF!CG30</f>
        <v>-364.3125</v>
      </c>
      <c r="K93" s="33">
        <f>HARF!CH30</f>
        <v>971.49999999999989</v>
      </c>
      <c r="M93" s="28">
        <f>HARF!CJ30</f>
        <v>0</v>
      </c>
      <c r="N93" s="28">
        <f>HARF!CK30</f>
        <v>0</v>
      </c>
      <c r="O93" s="28">
        <f>HARF!CL30</f>
        <v>1</v>
      </c>
      <c r="P93" s="28">
        <f>HARF!CM30</f>
        <v>0</v>
      </c>
      <c r="Q93" s="28">
        <f>HARF!CN30</f>
        <v>0</v>
      </c>
      <c r="R93" s="28">
        <f>HARF!CO30</f>
        <v>0</v>
      </c>
      <c r="T93" s="28">
        <v>0</v>
      </c>
      <c r="U93" s="34">
        <f>HARF!BM31</f>
        <v>12</v>
      </c>
    </row>
    <row r="94" spans="1:21">
      <c r="D94" t="s">
        <v>86</v>
      </c>
      <c r="F94" s="33">
        <f>HARF!CC31</f>
        <v>-71250</v>
      </c>
      <c r="G94" s="33">
        <f>HARF!CD31</f>
        <v>0</v>
      </c>
      <c r="H94" s="33">
        <f>HARF!CE31</f>
        <v>0</v>
      </c>
      <c r="I94" s="33">
        <f>HARF!CF31</f>
        <v>71250</v>
      </c>
      <c r="J94" s="33">
        <f>HARF!CG31</f>
        <v>0</v>
      </c>
      <c r="K94" s="33">
        <f>HARF!CH31</f>
        <v>0</v>
      </c>
      <c r="M94" s="28">
        <f>HARF!CJ31</f>
        <v>0</v>
      </c>
      <c r="N94" s="28">
        <f>HARF!CK31</f>
        <v>0</v>
      </c>
      <c r="O94" s="28">
        <f>HARF!CL31</f>
        <v>0</v>
      </c>
      <c r="P94" s="28">
        <f>HARF!CM31</f>
        <v>0</v>
      </c>
      <c r="Q94" s="28">
        <f>HARF!CN31</f>
        <v>1</v>
      </c>
      <c r="R94" s="28">
        <f>HARF!CO31</f>
        <v>0</v>
      </c>
      <c r="T94" s="28">
        <f>F60</f>
        <v>0.23932610218763803</v>
      </c>
      <c r="U94" s="34">
        <f>HARF!BM32</f>
        <v>1</v>
      </c>
    </row>
    <row r="95" spans="1:21">
      <c r="D95" t="s">
        <v>87</v>
      </c>
      <c r="F95" s="33">
        <f>HARF!CC32</f>
        <v>0</v>
      </c>
      <c r="G95" s="33">
        <f>HARF!CD32</f>
        <v>-91.078125</v>
      </c>
      <c r="H95" s="33">
        <f>HARF!CE32</f>
        <v>-364.3125</v>
      </c>
      <c r="I95" s="33">
        <f>HARF!CF32</f>
        <v>0</v>
      </c>
      <c r="J95" s="33">
        <f>HARF!CG32</f>
        <v>91.078125</v>
      </c>
      <c r="K95" s="33">
        <f>HARF!CH32</f>
        <v>-364.3125</v>
      </c>
      <c r="M95" s="28">
        <f>HARF!CJ32</f>
        <v>0</v>
      </c>
      <c r="N95" s="28">
        <f>HARF!CK32</f>
        <v>0</v>
      </c>
      <c r="O95" s="28">
        <f>HARF!CL32</f>
        <v>0</v>
      </c>
      <c r="P95" s="28">
        <f>HARF!CM32</f>
        <v>-1</v>
      </c>
      <c r="Q95" s="28">
        <f>HARF!CN32</f>
        <v>0</v>
      </c>
      <c r="R95" s="28">
        <f>HARF!CO32</f>
        <v>0</v>
      </c>
      <c r="T95" s="28">
        <f>F61</f>
        <v>4.2565359912347009E-4</v>
      </c>
      <c r="U95" s="34">
        <f>HARF!BM33</f>
        <v>2</v>
      </c>
    </row>
    <row r="96" spans="1:21">
      <c r="D96" t="s">
        <v>88</v>
      </c>
      <c r="F96" s="33">
        <f>HARF!CC33</f>
        <v>0</v>
      </c>
      <c r="G96" s="33">
        <f>HARF!CD33</f>
        <v>364.3125</v>
      </c>
      <c r="H96" s="33">
        <f>HARF!CE33</f>
        <v>971.49999999999989</v>
      </c>
      <c r="I96" s="33">
        <f>HARF!CF33</f>
        <v>0</v>
      </c>
      <c r="J96" s="33">
        <f>HARF!CG33</f>
        <v>-364.3125</v>
      </c>
      <c r="K96" s="33">
        <f>HARF!CH33</f>
        <v>1942.9999999999998</v>
      </c>
      <c r="M96" s="28">
        <f>HARF!CJ33</f>
        <v>0</v>
      </c>
      <c r="N96" s="28">
        <f>HARF!CK33</f>
        <v>0</v>
      </c>
      <c r="O96" s="28">
        <f>HARF!CL33</f>
        <v>0</v>
      </c>
      <c r="P96" s="28">
        <f>HARF!CM33</f>
        <v>0</v>
      </c>
      <c r="Q96" s="28">
        <f>HARF!CN33</f>
        <v>0</v>
      </c>
      <c r="R96" s="28">
        <f>HARF!CO33</f>
        <v>1</v>
      </c>
      <c r="T96" s="28">
        <f>F62</f>
        <v>-2.2296357639921397E-3</v>
      </c>
      <c r="U96" s="34">
        <f>HARF!BM34</f>
        <v>3</v>
      </c>
    </row>
    <row r="99" spans="4:13">
      <c r="D99" t="s">
        <v>83</v>
      </c>
      <c r="F99" s="28">
        <f t="array" ref="F99:K104">MMULT(F91:K96,M91:R96)</f>
        <v>0</v>
      </c>
      <c r="G99" s="28">
        <v>71250</v>
      </c>
      <c r="H99" s="28">
        <v>0</v>
      </c>
      <c r="I99" s="28">
        <v>0</v>
      </c>
      <c r="J99" s="28">
        <v>-71250</v>
      </c>
      <c r="K99" s="28">
        <v>0</v>
      </c>
      <c r="M99" s="28">
        <f t="shared" ref="M99:M104" si="8">T91</f>
        <v>0</v>
      </c>
    </row>
    <row r="100" spans="4:13">
      <c r="D100" t="s">
        <v>84</v>
      </c>
      <c r="F100" s="28">
        <v>-91.078125</v>
      </c>
      <c r="G100" s="28">
        <v>0</v>
      </c>
      <c r="H100" s="28">
        <v>364.3125</v>
      </c>
      <c r="I100" s="28">
        <v>91.078125</v>
      </c>
      <c r="J100" s="28">
        <v>0</v>
      </c>
      <c r="K100" s="28">
        <v>364.3125</v>
      </c>
      <c r="M100" s="28">
        <f t="shared" si="8"/>
        <v>0</v>
      </c>
    </row>
    <row r="101" spans="4:13">
      <c r="D101" t="s">
        <v>85</v>
      </c>
      <c r="E101" t="s">
        <v>56</v>
      </c>
      <c r="F101" s="28">
        <v>-364.3125</v>
      </c>
      <c r="G101" s="28">
        <v>0</v>
      </c>
      <c r="H101" s="28">
        <v>1942.9999999999998</v>
      </c>
      <c r="I101" s="28">
        <v>364.3125</v>
      </c>
      <c r="J101" s="28">
        <v>0</v>
      </c>
      <c r="K101" s="28">
        <v>971.49999999999989</v>
      </c>
      <c r="M101" s="28">
        <f t="shared" si="8"/>
        <v>0</v>
      </c>
    </row>
    <row r="102" spans="4:13">
      <c r="D102" t="s">
        <v>86</v>
      </c>
      <c r="F102" s="28">
        <v>0</v>
      </c>
      <c r="G102" s="28">
        <v>-71250</v>
      </c>
      <c r="H102" s="28">
        <v>0</v>
      </c>
      <c r="I102" s="28">
        <v>0</v>
      </c>
      <c r="J102" s="28">
        <v>71250</v>
      </c>
      <c r="K102" s="28">
        <v>0</v>
      </c>
      <c r="M102" s="28">
        <f t="shared" si="8"/>
        <v>0.23932610218763803</v>
      </c>
    </row>
    <row r="103" spans="4:13">
      <c r="D103" t="s">
        <v>87</v>
      </c>
      <c r="F103" s="28">
        <v>91.078125</v>
      </c>
      <c r="G103" s="28">
        <v>0</v>
      </c>
      <c r="H103" s="28">
        <v>-364.3125</v>
      </c>
      <c r="I103" s="28">
        <v>-91.078125</v>
      </c>
      <c r="J103" s="28">
        <v>0</v>
      </c>
      <c r="K103" s="28">
        <v>-364.3125</v>
      </c>
      <c r="M103" s="28">
        <f t="shared" si="8"/>
        <v>4.2565359912347009E-4</v>
      </c>
    </row>
    <row r="104" spans="4:13">
      <c r="D104" t="s">
        <v>88</v>
      </c>
      <c r="F104" s="28">
        <v>-364.3125</v>
      </c>
      <c r="G104" s="28">
        <v>0</v>
      </c>
      <c r="H104" s="28">
        <v>971.49999999999989</v>
      </c>
      <c r="I104" s="28">
        <v>364.3125</v>
      </c>
      <c r="J104" s="28">
        <v>0</v>
      </c>
      <c r="K104" s="28">
        <v>1942.9999999999998</v>
      </c>
      <c r="M104" s="28">
        <f t="shared" si="8"/>
        <v>-2.2296357639921397E-3</v>
      </c>
    </row>
    <row r="107" spans="4:13">
      <c r="D107" t="s">
        <v>83</v>
      </c>
      <c r="F107">
        <f t="array" ref="F107:F112">MMULT(F99:K104,M99:M104)</f>
        <v>-30.327818937547242</v>
      </c>
      <c r="H107" s="27"/>
      <c r="I107" s="27"/>
      <c r="J107" s="27"/>
      <c r="K107" s="27"/>
    </row>
    <row r="108" spans="4:13">
      <c r="D108" t="s">
        <v>84</v>
      </c>
      <c r="F108">
        <v>20.985088471539083</v>
      </c>
      <c r="H108" s="27"/>
      <c r="I108" s="27"/>
      <c r="J108" s="27"/>
      <c r="K108" s="27"/>
    </row>
    <row r="109" spans="4:13">
      <c r="D109" t="s">
        <v>85</v>
      </c>
      <c r="E109" t="s">
        <v>56</v>
      </c>
      <c r="F109">
        <v>85.023399458515513</v>
      </c>
      <c r="H109" s="27"/>
      <c r="I109" s="40"/>
      <c r="J109" s="40"/>
      <c r="K109" s="40"/>
    </row>
    <row r="110" spans="4:13">
      <c r="D110" t="s">
        <v>86</v>
      </c>
      <c r="F110">
        <v>30.327818937547242</v>
      </c>
      <c r="H110" s="27"/>
      <c r="I110" s="40"/>
      <c r="J110" s="40"/>
      <c r="K110" s="40"/>
    </row>
    <row r="111" spans="4:13">
      <c r="D111" t="s">
        <v>87</v>
      </c>
      <c r="F111">
        <v>-20.985088471539083</v>
      </c>
    </row>
    <row r="112" spans="4:13">
      <c r="D112" t="s">
        <v>88</v>
      </c>
      <c r="F112">
        <v>82.857308313797148</v>
      </c>
    </row>
    <row r="115" spans="4:18" ht="12.75">
      <c r="D115" t="s">
        <v>100</v>
      </c>
      <c r="R115" s="31" t="s">
        <v>82</v>
      </c>
    </row>
    <row r="117" spans="4:18">
      <c r="E117" t="s">
        <v>83</v>
      </c>
      <c r="G117">
        <v>0</v>
      </c>
    </row>
    <row r="118" spans="4:18">
      <c r="E118" t="s">
        <v>84</v>
      </c>
      <c r="G118" s="41">
        <f>H1</f>
        <v>14</v>
      </c>
    </row>
    <row r="119" spans="4:18">
      <c r="D119" s="25" t="s">
        <v>108</v>
      </c>
      <c r="E119" t="s">
        <v>85</v>
      </c>
      <c r="F119" t="s">
        <v>56</v>
      </c>
      <c r="G119" s="41">
        <f>H2</f>
        <v>18.666666666666668</v>
      </c>
    </row>
    <row r="120" spans="4:18">
      <c r="E120" t="s">
        <v>86</v>
      </c>
      <c r="G120">
        <v>0</v>
      </c>
    </row>
    <row r="121" spans="4:18">
      <c r="E121" t="s">
        <v>87</v>
      </c>
      <c r="G121" s="41">
        <f>G118</f>
        <v>14</v>
      </c>
    </row>
    <row r="122" spans="4:18">
      <c r="E122" t="s">
        <v>88</v>
      </c>
      <c r="G122" s="41">
        <f>-G119</f>
        <v>-18.666666666666668</v>
      </c>
    </row>
    <row r="124" spans="4:18">
      <c r="F124" s="28">
        <f t="shared" ref="F124:F129" si="9">F107</f>
        <v>-30.327818937547242</v>
      </c>
      <c r="H124" s="28">
        <f t="shared" ref="H124:H129" si="10">G117</f>
        <v>0</v>
      </c>
      <c r="J124">
        <f t="shared" ref="J124:J129" si="11">F124+H124</f>
        <v>-30.327818937547242</v>
      </c>
      <c r="L124" s="27"/>
      <c r="M124" s="27" t="s">
        <v>90</v>
      </c>
      <c r="N124" s="27" t="s">
        <v>92</v>
      </c>
      <c r="O124" s="27" t="s">
        <v>94</v>
      </c>
    </row>
    <row r="125" spans="4:18">
      <c r="F125" s="28">
        <f t="shared" si="9"/>
        <v>20.985088471539083</v>
      </c>
      <c r="H125" s="28">
        <f t="shared" si="10"/>
        <v>14</v>
      </c>
      <c r="J125">
        <f t="shared" si="11"/>
        <v>34.985088471539086</v>
      </c>
      <c r="L125" s="27" t="s">
        <v>91</v>
      </c>
      <c r="M125" s="27" t="s">
        <v>89</v>
      </c>
      <c r="N125" s="27" t="s">
        <v>93</v>
      </c>
      <c r="O125" s="27" t="s">
        <v>95</v>
      </c>
    </row>
    <row r="126" spans="4:18">
      <c r="D126" t="s">
        <v>104</v>
      </c>
      <c r="F126" s="28">
        <f t="shared" si="9"/>
        <v>85.023399458515513</v>
      </c>
      <c r="G126" s="25" t="s">
        <v>105</v>
      </c>
      <c r="H126" s="28">
        <f t="shared" si="10"/>
        <v>18.666666666666668</v>
      </c>
      <c r="I126" s="25" t="s">
        <v>56</v>
      </c>
      <c r="J126">
        <f t="shared" si="11"/>
        <v>103.69006612518218</v>
      </c>
      <c r="L126" s="27">
        <v>0</v>
      </c>
      <c r="M126" s="40">
        <f>-J124</f>
        <v>30.327818937547242</v>
      </c>
      <c r="N126" s="40">
        <f>J125</f>
        <v>34.985088471539086</v>
      </c>
      <c r="O126" s="40">
        <f>-J126</f>
        <v>-103.69006612518218</v>
      </c>
    </row>
    <row r="127" spans="4:18">
      <c r="F127" s="28">
        <f t="shared" si="9"/>
        <v>30.327818937547242</v>
      </c>
      <c r="H127" s="28">
        <f t="shared" si="10"/>
        <v>0</v>
      </c>
      <c r="J127">
        <f t="shared" si="11"/>
        <v>30.327818937547242</v>
      </c>
      <c r="L127" s="27">
        <f>HARF!BJ5</f>
        <v>8</v>
      </c>
      <c r="M127" s="40">
        <f>J127</f>
        <v>30.327818937547242</v>
      </c>
      <c r="N127" s="40">
        <f>-J128</f>
        <v>6.9850884715390826</v>
      </c>
      <c r="O127" s="40">
        <f>J129</f>
        <v>64.190641647130477</v>
      </c>
    </row>
    <row r="128" spans="4:18">
      <c r="F128" s="28">
        <f t="shared" si="9"/>
        <v>-20.985088471539083</v>
      </c>
      <c r="H128" s="28">
        <f t="shared" si="10"/>
        <v>14</v>
      </c>
      <c r="J128">
        <f t="shared" si="11"/>
        <v>-6.9850884715390826</v>
      </c>
    </row>
    <row r="129" spans="1:21">
      <c r="F129" s="28">
        <f t="shared" si="9"/>
        <v>82.857308313797148</v>
      </c>
      <c r="H129" s="28">
        <f t="shared" si="10"/>
        <v>-18.666666666666668</v>
      </c>
      <c r="J129">
        <f t="shared" si="11"/>
        <v>64.190641647130477</v>
      </c>
    </row>
    <row r="138" spans="1:21" ht="12.75">
      <c r="A138" s="47" t="s">
        <v>96</v>
      </c>
      <c r="D138" t="s">
        <v>83</v>
      </c>
      <c r="F138" s="33">
        <f>HARF!CC37</f>
        <v>90124.913314798803</v>
      </c>
      <c r="G138" s="33">
        <f>HARF!CD37</f>
        <v>0</v>
      </c>
      <c r="H138" s="33">
        <f>HARF!CE37</f>
        <v>0</v>
      </c>
      <c r="I138" s="33">
        <f>HARF!CF37</f>
        <v>-90124.913314798803</v>
      </c>
      <c r="J138" s="33">
        <f>HARF!CG37</f>
        <v>0</v>
      </c>
      <c r="K138" s="33">
        <f>HARF!CH37</f>
        <v>0</v>
      </c>
      <c r="M138" s="28">
        <f>HARF!CJ37</f>
        <v>0.94868329805051377</v>
      </c>
      <c r="N138" s="28">
        <f>HARF!CK37</f>
        <v>0.31622776601683794</v>
      </c>
      <c r="O138" s="28">
        <f>HARF!CL37</f>
        <v>0</v>
      </c>
      <c r="P138" s="28">
        <f>HARF!CM37</f>
        <v>0</v>
      </c>
      <c r="Q138" s="28">
        <f>HARF!CN37</f>
        <v>0</v>
      </c>
      <c r="R138" s="28">
        <f>HARF!CO37</f>
        <v>0</v>
      </c>
      <c r="T138" s="28">
        <f t="shared" ref="T138:T143" si="12">F60</f>
        <v>0.23932610218763803</v>
      </c>
      <c r="U138" s="34">
        <f>HARF!BM38</f>
        <v>1</v>
      </c>
    </row>
    <row r="139" spans="1:21">
      <c r="D139" t="s">
        <v>84</v>
      </c>
      <c r="F139" s="33">
        <f>HARF!CC38</f>
        <v>0</v>
      </c>
      <c r="G139" s="33">
        <f>HARF!CD38</f>
        <v>184.32916481121478</v>
      </c>
      <c r="H139" s="33">
        <f>HARF!CE38</f>
        <v>582.89999999999986</v>
      </c>
      <c r="I139" s="33">
        <f>HARF!CF38</f>
        <v>0</v>
      </c>
      <c r="J139" s="33">
        <f>HARF!CG38</f>
        <v>-184.32916481121478</v>
      </c>
      <c r="K139" s="33">
        <f>HARF!CH38</f>
        <v>582.89999999999986</v>
      </c>
      <c r="M139" s="28">
        <f>HARF!CJ38</f>
        <v>-0.31622776601683794</v>
      </c>
      <c r="N139" s="28">
        <f>HARF!CK38</f>
        <v>0.94868329805051377</v>
      </c>
      <c r="O139" s="28">
        <f>HARF!CL38</f>
        <v>0</v>
      </c>
      <c r="P139" s="28">
        <f>HARF!CM38</f>
        <v>0</v>
      </c>
      <c r="Q139" s="28">
        <f>HARF!CN38</f>
        <v>0</v>
      </c>
      <c r="R139" s="28">
        <f>HARF!CO38</f>
        <v>0</v>
      </c>
      <c r="T139" s="28">
        <f t="shared" si="12"/>
        <v>4.2565359912347009E-4</v>
      </c>
      <c r="U139" s="34">
        <f>HARF!BM39</f>
        <v>2</v>
      </c>
    </row>
    <row r="140" spans="1:21">
      <c r="D140" t="s">
        <v>85</v>
      </c>
      <c r="E140" t="s">
        <v>56</v>
      </c>
      <c r="F140" s="33">
        <f>HARF!CC39</f>
        <v>0</v>
      </c>
      <c r="G140" s="33">
        <f>HARF!CD39</f>
        <v>582.89999999999986</v>
      </c>
      <c r="H140" s="33">
        <f>HARF!CE39</f>
        <v>2457.722197482864</v>
      </c>
      <c r="I140" s="33">
        <f>HARF!CF39</f>
        <v>0</v>
      </c>
      <c r="J140" s="33">
        <f>HARF!CG39</f>
        <v>-582.89999999999986</v>
      </c>
      <c r="K140" s="33">
        <f>HARF!CH39</f>
        <v>1228.861098741432</v>
      </c>
      <c r="M140" s="28">
        <f>HARF!CJ39</f>
        <v>0</v>
      </c>
      <c r="N140" s="28">
        <f>HARF!CK39</f>
        <v>0</v>
      </c>
      <c r="O140" s="28">
        <f>HARF!CL39</f>
        <v>1</v>
      </c>
      <c r="P140" s="28">
        <f>HARF!CM39</f>
        <v>0</v>
      </c>
      <c r="Q140" s="28">
        <f>HARF!CN39</f>
        <v>0</v>
      </c>
      <c r="R140" s="28">
        <f>HARF!CO39</f>
        <v>0</v>
      </c>
      <c r="T140" s="28">
        <f t="shared" si="12"/>
        <v>-2.2296357639921397E-3</v>
      </c>
      <c r="U140" s="34">
        <f>HARF!BM40</f>
        <v>3</v>
      </c>
    </row>
    <row r="141" spans="1:21">
      <c r="D141" t="s">
        <v>86</v>
      </c>
      <c r="F141" s="33">
        <f>HARF!CC40</f>
        <v>-90124.913314798803</v>
      </c>
      <c r="G141" s="33">
        <f>HARF!CD40</f>
        <v>0</v>
      </c>
      <c r="H141" s="33">
        <f>HARF!CE40</f>
        <v>0</v>
      </c>
      <c r="I141" s="33">
        <f>HARF!CF40</f>
        <v>90124.913314798803</v>
      </c>
      <c r="J141" s="33">
        <f>HARF!CG40</f>
        <v>0</v>
      </c>
      <c r="K141" s="33">
        <f>HARF!CH40</f>
        <v>0</v>
      </c>
      <c r="M141" s="28">
        <f>HARF!CJ40</f>
        <v>0</v>
      </c>
      <c r="N141" s="28">
        <f>HARF!CK40</f>
        <v>0</v>
      </c>
      <c r="O141" s="28">
        <f>HARF!CL40</f>
        <v>0</v>
      </c>
      <c r="P141" s="28">
        <f>HARF!CM40</f>
        <v>0.94868329805051377</v>
      </c>
      <c r="Q141" s="28">
        <f>HARF!CN40</f>
        <v>0.31622776601683794</v>
      </c>
      <c r="R141" s="28">
        <f>HARF!CO40</f>
        <v>0</v>
      </c>
      <c r="T141" s="28">
        <f t="shared" si="12"/>
        <v>0.20892354047514836</v>
      </c>
      <c r="U141" s="34">
        <f>HARF!BM41</f>
        <v>4</v>
      </c>
    </row>
    <row r="142" spans="1:21">
      <c r="D142" t="s">
        <v>87</v>
      </c>
      <c r="F142" s="33">
        <f>HARF!CC41</f>
        <v>0</v>
      </c>
      <c r="G142" s="33">
        <f>HARF!CD41</f>
        <v>-184.32916481121478</v>
      </c>
      <c r="H142" s="33">
        <f>HARF!CE41</f>
        <v>-582.89999999999986</v>
      </c>
      <c r="I142" s="33">
        <f>HARF!CF41</f>
        <v>0</v>
      </c>
      <c r="J142" s="33">
        <f>HARF!CG41</f>
        <v>184.32916481121478</v>
      </c>
      <c r="K142" s="33">
        <f>HARF!CH41</f>
        <v>-582.89999999999986</v>
      </c>
      <c r="M142" s="28">
        <f>HARF!CJ41</f>
        <v>0</v>
      </c>
      <c r="N142" s="28">
        <f>HARF!CK41</f>
        <v>0</v>
      </c>
      <c r="O142" s="28">
        <f>HARF!CL41</f>
        <v>0</v>
      </c>
      <c r="P142" s="28">
        <f>HARF!CM41</f>
        <v>-0.31622776601683794</v>
      </c>
      <c r="Q142" s="28">
        <f>HARF!CN41</f>
        <v>0.94868329805051377</v>
      </c>
      <c r="R142" s="28">
        <f>HARF!CO41</f>
        <v>0</v>
      </c>
      <c r="T142" s="28">
        <f t="shared" si="12"/>
        <v>9.2202361024281476E-2</v>
      </c>
      <c r="U142" s="34">
        <f>HARF!BM42</f>
        <v>5</v>
      </c>
    </row>
    <row r="143" spans="1:21">
      <c r="D143" t="s">
        <v>88</v>
      </c>
      <c r="F143" s="33">
        <f>HARF!CC42</f>
        <v>0</v>
      </c>
      <c r="G143" s="33">
        <f>HARF!CD42</f>
        <v>582.89999999999986</v>
      </c>
      <c r="H143" s="33">
        <f>HARF!CE42</f>
        <v>1228.861098741432</v>
      </c>
      <c r="I143" s="33">
        <f>HARF!CF42</f>
        <v>0</v>
      </c>
      <c r="J143" s="33">
        <f>HARF!CG42</f>
        <v>-582.89999999999986</v>
      </c>
      <c r="K143" s="33">
        <f>HARF!CH42</f>
        <v>2457.722197482864</v>
      </c>
      <c r="M143" s="28">
        <f>HARF!CJ42</f>
        <v>0</v>
      </c>
      <c r="N143" s="28">
        <f>HARF!CK42</f>
        <v>0</v>
      </c>
      <c r="O143" s="28">
        <f>HARF!CL42</f>
        <v>0</v>
      </c>
      <c r="P143" s="28">
        <f>HARF!CM42</f>
        <v>0</v>
      </c>
      <c r="Q143" s="28">
        <f>HARF!CN42</f>
        <v>0</v>
      </c>
      <c r="R143" s="28">
        <f>HARF!CO42</f>
        <v>1</v>
      </c>
      <c r="T143" s="28">
        <f t="shared" si="12"/>
        <v>8.9334484604515034E-3</v>
      </c>
      <c r="U143" s="34">
        <f>HARF!BM43</f>
        <v>6</v>
      </c>
    </row>
    <row r="146" spans="4:13">
      <c r="D146" t="s">
        <v>83</v>
      </c>
      <c r="F146" s="28">
        <f t="array" ref="F146:K151">MMULT(F138:K143,M138:R143)</f>
        <v>85499.999999999985</v>
      </c>
      <c r="G146" s="28">
        <v>28500</v>
      </c>
      <c r="H146" s="28">
        <v>0</v>
      </c>
      <c r="I146" s="28">
        <v>-85499.999999999985</v>
      </c>
      <c r="J146" s="28">
        <v>-28500</v>
      </c>
      <c r="K146" s="28">
        <v>0</v>
      </c>
      <c r="M146" s="28">
        <f t="shared" ref="M146:M151" si="13">T138</f>
        <v>0.23932610218763803</v>
      </c>
    </row>
    <row r="147" spans="4:13">
      <c r="D147" t="s">
        <v>84</v>
      </c>
      <c r="F147" s="28">
        <v>-58.289999999999985</v>
      </c>
      <c r="G147" s="28">
        <v>174.86999999999995</v>
      </c>
      <c r="H147" s="28">
        <v>582.89999999999986</v>
      </c>
      <c r="I147" s="28">
        <v>58.289999999999985</v>
      </c>
      <c r="J147" s="28">
        <v>-174.86999999999995</v>
      </c>
      <c r="K147" s="28">
        <v>582.89999999999986</v>
      </c>
      <c r="M147" s="28">
        <f t="shared" si="13"/>
        <v>4.2565359912347009E-4</v>
      </c>
    </row>
    <row r="148" spans="4:13">
      <c r="D148" t="s">
        <v>85</v>
      </c>
      <c r="E148" t="s">
        <v>56</v>
      </c>
      <c r="F148" s="28">
        <v>-184.32916481121478</v>
      </c>
      <c r="G148" s="28">
        <v>552.98749443364431</v>
      </c>
      <c r="H148" s="28">
        <v>2457.722197482864</v>
      </c>
      <c r="I148" s="28">
        <v>184.32916481121478</v>
      </c>
      <c r="J148" s="28">
        <v>-552.98749443364431</v>
      </c>
      <c r="K148" s="28">
        <v>1228.861098741432</v>
      </c>
      <c r="M148" s="28">
        <f t="shared" si="13"/>
        <v>-2.2296357639921397E-3</v>
      </c>
    </row>
    <row r="149" spans="4:13">
      <c r="D149" t="s">
        <v>86</v>
      </c>
      <c r="F149" s="28">
        <v>-85499.999999999985</v>
      </c>
      <c r="G149" s="28">
        <v>-28500</v>
      </c>
      <c r="H149" s="28">
        <v>0</v>
      </c>
      <c r="I149" s="28">
        <v>85499.999999999985</v>
      </c>
      <c r="J149" s="28">
        <v>28500</v>
      </c>
      <c r="K149" s="28">
        <v>0</v>
      </c>
      <c r="M149" s="28">
        <f t="shared" si="13"/>
        <v>0.20892354047514836</v>
      </c>
    </row>
    <row r="150" spans="4:13">
      <c r="D150" t="s">
        <v>87</v>
      </c>
      <c r="F150" s="28">
        <v>58.289999999999985</v>
      </c>
      <c r="G150" s="28">
        <v>-174.86999999999995</v>
      </c>
      <c r="H150" s="28">
        <v>-582.89999999999986</v>
      </c>
      <c r="I150" s="28">
        <v>-58.289999999999985</v>
      </c>
      <c r="J150" s="28">
        <v>174.86999999999995</v>
      </c>
      <c r="K150" s="28">
        <v>-582.89999999999986</v>
      </c>
      <c r="M150" s="28">
        <f t="shared" si="13"/>
        <v>9.2202361024281476E-2</v>
      </c>
    </row>
    <row r="151" spans="4:13">
      <c r="D151" t="s">
        <v>88</v>
      </c>
      <c r="F151" s="28">
        <v>-184.32916481121478</v>
      </c>
      <c r="G151" s="28">
        <v>552.98749443364431</v>
      </c>
      <c r="H151" s="28">
        <v>1228.861098741432</v>
      </c>
      <c r="I151" s="28">
        <v>184.32916481121478</v>
      </c>
      <c r="J151" s="28">
        <v>-552.98749443364431</v>
      </c>
      <c r="K151" s="28">
        <v>2457.722197482864</v>
      </c>
      <c r="M151" s="28">
        <f t="shared" si="13"/>
        <v>8.9334484604515034E-3</v>
      </c>
    </row>
    <row r="154" spans="4:13">
      <c r="D154" t="s">
        <v>83</v>
      </c>
      <c r="F154">
        <f t="array" ref="F154:F159">MMULT(F146:K151,M146:M151)</f>
        <v>-16.217135199137374</v>
      </c>
    </row>
    <row r="155" spans="4:13">
      <c r="D155" t="s">
        <v>84</v>
      </c>
      <c r="F155">
        <v>-13.913505728892233</v>
      </c>
    </row>
    <row r="156" spans="4:13">
      <c r="D156" t="s">
        <v>85</v>
      </c>
      <c r="E156" t="s">
        <v>56</v>
      </c>
      <c r="F156">
        <v>-50.857308313797169</v>
      </c>
    </row>
    <row r="157" spans="4:13">
      <c r="D157" t="s">
        <v>86</v>
      </c>
      <c r="F157">
        <v>16.217135199137374</v>
      </c>
    </row>
    <row r="158" spans="4:13">
      <c r="D158" t="s">
        <v>87</v>
      </c>
      <c r="F158">
        <v>13.913505728892233</v>
      </c>
    </row>
    <row r="159" spans="4:13">
      <c r="D159" t="s">
        <v>88</v>
      </c>
      <c r="F159">
        <v>-37.139428368404204</v>
      </c>
    </row>
    <row r="161" spans="4:18">
      <c r="D161" t="s">
        <v>100</v>
      </c>
    </row>
    <row r="162" spans="4:18" ht="12.75">
      <c r="R162" s="31" t="s">
        <v>96</v>
      </c>
    </row>
    <row r="163" spans="4:18">
      <c r="E163" t="s">
        <v>83</v>
      </c>
      <c r="G163">
        <v>0</v>
      </c>
    </row>
    <row r="164" spans="4:18">
      <c r="E164" t="s">
        <v>84</v>
      </c>
      <c r="G164" s="41">
        <f>-H4</f>
        <v>-12.649110640673518</v>
      </c>
    </row>
    <row r="165" spans="4:18">
      <c r="D165" s="25" t="s">
        <v>103</v>
      </c>
      <c r="E165" t="s">
        <v>85</v>
      </c>
      <c r="F165" t="s">
        <v>56</v>
      </c>
      <c r="G165" s="41">
        <f>-H5</f>
        <v>-13.333333333333336</v>
      </c>
    </row>
    <row r="166" spans="4:18">
      <c r="E166" t="s">
        <v>86</v>
      </c>
      <c r="G166">
        <v>0</v>
      </c>
    </row>
    <row r="167" spans="4:18">
      <c r="E167" t="s">
        <v>87</v>
      </c>
      <c r="G167" s="41">
        <f>G164</f>
        <v>-12.649110640673518</v>
      </c>
    </row>
    <row r="168" spans="4:18">
      <c r="E168" t="s">
        <v>88</v>
      </c>
      <c r="G168" s="41">
        <f>-G165</f>
        <v>13.333333333333336</v>
      </c>
    </row>
    <row r="170" spans="4:18">
      <c r="F170" s="28">
        <f t="shared" ref="F170:F175" si="14">F154</f>
        <v>-16.217135199137374</v>
      </c>
      <c r="H170" s="28">
        <f t="shared" ref="H170:H175" si="15">G163</f>
        <v>0</v>
      </c>
      <c r="J170">
        <f t="shared" ref="J170:J175" si="16">F170+H170</f>
        <v>-16.217135199137374</v>
      </c>
      <c r="L170" s="27"/>
      <c r="M170" s="27" t="s">
        <v>90</v>
      </c>
      <c r="N170" s="27" t="s">
        <v>92</v>
      </c>
      <c r="O170" s="27" t="s">
        <v>94</v>
      </c>
    </row>
    <row r="171" spans="4:18">
      <c r="F171" s="28">
        <f t="shared" si="14"/>
        <v>-13.913505728892233</v>
      </c>
      <c r="H171" s="28">
        <f t="shared" si="15"/>
        <v>-12.649110640673518</v>
      </c>
      <c r="J171">
        <f t="shared" si="16"/>
        <v>-26.562616369565752</v>
      </c>
      <c r="L171" s="27" t="s">
        <v>91</v>
      </c>
      <c r="M171" s="27" t="s">
        <v>89</v>
      </c>
      <c r="N171" s="27" t="s">
        <v>93</v>
      </c>
      <c r="O171" s="27" t="s">
        <v>95</v>
      </c>
    </row>
    <row r="172" spans="4:18">
      <c r="D172" t="s">
        <v>104</v>
      </c>
      <c r="F172" s="28">
        <f t="shared" si="14"/>
        <v>-50.857308313797169</v>
      </c>
      <c r="G172" s="25" t="s">
        <v>105</v>
      </c>
      <c r="H172" s="28">
        <f t="shared" si="15"/>
        <v>-13.333333333333336</v>
      </c>
      <c r="I172" s="25" t="s">
        <v>56</v>
      </c>
      <c r="J172">
        <f t="shared" si="16"/>
        <v>-64.190641647130505</v>
      </c>
      <c r="L172" s="27">
        <v>0</v>
      </c>
      <c r="M172" s="40">
        <f>-1*J170</f>
        <v>16.217135199137374</v>
      </c>
      <c r="N172" s="40">
        <f>J171</f>
        <v>-26.562616369565752</v>
      </c>
      <c r="O172" s="40">
        <f>-J172</f>
        <v>64.190641647130505</v>
      </c>
    </row>
    <row r="173" spans="4:18">
      <c r="F173" s="28">
        <f t="shared" si="14"/>
        <v>16.217135199137374</v>
      </c>
      <c r="H173" s="28">
        <f t="shared" si="15"/>
        <v>0</v>
      </c>
      <c r="J173">
        <f t="shared" si="16"/>
        <v>16.217135199137374</v>
      </c>
      <c r="L173" s="27">
        <f>HARF!BJ41</f>
        <v>6.324555320336759</v>
      </c>
      <c r="M173" s="40">
        <f>J173</f>
        <v>16.217135199137374</v>
      </c>
      <c r="N173" s="40">
        <f>-J174</f>
        <v>-1.2643950882187145</v>
      </c>
      <c r="O173" s="40">
        <f>J175</f>
        <v>-23.806095035070868</v>
      </c>
    </row>
    <row r="174" spans="4:18">
      <c r="F174" s="28">
        <f t="shared" si="14"/>
        <v>13.913505728892233</v>
      </c>
      <c r="H174" s="28">
        <f t="shared" si="15"/>
        <v>-12.649110640673518</v>
      </c>
      <c r="J174">
        <f t="shared" si="16"/>
        <v>1.2643950882187145</v>
      </c>
    </row>
    <row r="175" spans="4:18">
      <c r="F175" s="28">
        <f t="shared" si="14"/>
        <v>-37.139428368404204</v>
      </c>
      <c r="H175" s="28">
        <f t="shared" si="15"/>
        <v>13.333333333333336</v>
      </c>
      <c r="J175">
        <f t="shared" si="16"/>
        <v>-23.806095035070868</v>
      </c>
    </row>
    <row r="179" spans="1:21" ht="12.75">
      <c r="A179" s="47" t="s">
        <v>97</v>
      </c>
      <c r="D179" t="s">
        <v>83</v>
      </c>
      <c r="F179" s="33">
        <f>HARF!CC46</f>
        <v>90124.913314798803</v>
      </c>
      <c r="G179" s="33">
        <f>HARF!CD46</f>
        <v>0</v>
      </c>
      <c r="H179" s="33">
        <f>HARF!CE46</f>
        <v>0</v>
      </c>
      <c r="I179" s="33">
        <f>HARF!CF46</f>
        <v>-90124.913314798803</v>
      </c>
      <c r="J179" s="33">
        <f>HARF!CG46</f>
        <v>0</v>
      </c>
      <c r="K179" s="33">
        <f>HARF!CH46</f>
        <v>0</v>
      </c>
      <c r="M179" s="28">
        <f>HARF!CJ46</f>
        <v>0.94868329805051377</v>
      </c>
      <c r="N179" s="28">
        <f>HARF!CK46</f>
        <v>-0.31622776601683794</v>
      </c>
      <c r="O179" s="28">
        <f>HARF!CL46</f>
        <v>0</v>
      </c>
      <c r="P179" s="28">
        <f>HARF!CM46</f>
        <v>0</v>
      </c>
      <c r="Q179" s="28">
        <f>HARF!CN46</f>
        <v>0</v>
      </c>
      <c r="R179" s="28">
        <f>HARF!CO46</f>
        <v>0</v>
      </c>
      <c r="T179" s="28">
        <f t="shared" ref="T179:T184" si="17">F63</f>
        <v>0.20892354047514836</v>
      </c>
      <c r="U179" s="34">
        <f>HARF!BM47</f>
        <v>4</v>
      </c>
    </row>
    <row r="180" spans="1:21">
      <c r="D180" t="s">
        <v>84</v>
      </c>
      <c r="F180" s="33">
        <f>HARF!CC47</f>
        <v>0</v>
      </c>
      <c r="G180" s="33">
        <f>HARF!CD47</f>
        <v>184.32916481121478</v>
      </c>
      <c r="H180" s="33">
        <f>HARF!CE47</f>
        <v>582.89999999999986</v>
      </c>
      <c r="I180" s="33">
        <f>HARF!CF47</f>
        <v>0</v>
      </c>
      <c r="J180" s="33">
        <f>HARF!CG47</f>
        <v>-184.32916481121478</v>
      </c>
      <c r="K180" s="33">
        <f>HARF!CH47</f>
        <v>582.89999999999986</v>
      </c>
      <c r="M180" s="28">
        <f>HARF!CJ47</f>
        <v>0.31622776601683794</v>
      </c>
      <c r="N180" s="28">
        <f>HARF!CK47</f>
        <v>0.94868329805051377</v>
      </c>
      <c r="O180" s="28">
        <f>HARF!CL47</f>
        <v>0</v>
      </c>
      <c r="P180" s="28">
        <f>HARF!CM47</f>
        <v>0</v>
      </c>
      <c r="Q180" s="28">
        <f>HARF!CN47</f>
        <v>0</v>
      </c>
      <c r="R180" s="28">
        <f>HARF!CO47</f>
        <v>0</v>
      </c>
      <c r="T180" s="28">
        <f t="shared" si="17"/>
        <v>9.2202361024281476E-2</v>
      </c>
      <c r="U180" s="34">
        <f>HARF!BM48</f>
        <v>5</v>
      </c>
    </row>
    <row r="181" spans="1:21">
      <c r="D181" t="s">
        <v>85</v>
      </c>
      <c r="E181" t="s">
        <v>56</v>
      </c>
      <c r="F181" s="33">
        <f>HARF!CC48</f>
        <v>0</v>
      </c>
      <c r="G181" s="33">
        <f>HARF!CD48</f>
        <v>582.89999999999986</v>
      </c>
      <c r="H181" s="33">
        <f>HARF!CE48</f>
        <v>2457.722197482864</v>
      </c>
      <c r="I181" s="33">
        <f>HARF!CF48</f>
        <v>0</v>
      </c>
      <c r="J181" s="33">
        <f>HARF!CG48</f>
        <v>-582.89999999999986</v>
      </c>
      <c r="K181" s="33">
        <f>HARF!CH48</f>
        <v>1228.861098741432</v>
      </c>
      <c r="M181" s="28">
        <f>HARF!CJ48</f>
        <v>0</v>
      </c>
      <c r="N181" s="28">
        <f>HARF!CK48</f>
        <v>0</v>
      </c>
      <c r="O181" s="28">
        <f>HARF!CL48</f>
        <v>1</v>
      </c>
      <c r="P181" s="28">
        <f>HARF!CM48</f>
        <v>0</v>
      </c>
      <c r="Q181" s="28">
        <f>HARF!CN48</f>
        <v>0</v>
      </c>
      <c r="R181" s="28">
        <f>HARF!CO48</f>
        <v>0</v>
      </c>
      <c r="T181" s="28">
        <f t="shared" si="17"/>
        <v>8.9334484604515034E-3</v>
      </c>
      <c r="U181" s="34">
        <f>HARF!BM49</f>
        <v>6</v>
      </c>
    </row>
    <row r="182" spans="1:21">
      <c r="D182" t="s">
        <v>86</v>
      </c>
      <c r="F182" s="33">
        <f>HARF!CC49</f>
        <v>-90124.913314798803</v>
      </c>
      <c r="G182" s="33">
        <f>HARF!CD49</f>
        <v>0</v>
      </c>
      <c r="H182" s="33">
        <f>HARF!CE49</f>
        <v>0</v>
      </c>
      <c r="I182" s="33">
        <f>HARF!CF49</f>
        <v>90124.913314798803</v>
      </c>
      <c r="J182" s="33">
        <f>HARF!CG49</f>
        <v>0</v>
      </c>
      <c r="K182" s="33">
        <f>HARF!CH49</f>
        <v>0</v>
      </c>
      <c r="M182" s="28">
        <f>HARF!CJ49</f>
        <v>0</v>
      </c>
      <c r="N182" s="28">
        <f>HARF!CK49</f>
        <v>0</v>
      </c>
      <c r="O182" s="28">
        <f>HARF!CL49</f>
        <v>0</v>
      </c>
      <c r="P182" s="28">
        <f>HARF!CM49</f>
        <v>0.94868329805051377</v>
      </c>
      <c r="Q182" s="28">
        <f>HARF!CN49</f>
        <v>-0.31622776601683794</v>
      </c>
      <c r="R182" s="28">
        <f>HARF!CO49</f>
        <v>0</v>
      </c>
      <c r="T182" s="28">
        <f t="shared" si="17"/>
        <v>0.178443033508357</v>
      </c>
      <c r="U182" s="34">
        <f>HARF!BM50</f>
        <v>7</v>
      </c>
    </row>
    <row r="183" spans="1:21">
      <c r="D183" t="s">
        <v>87</v>
      </c>
      <c r="F183" s="33">
        <f>HARF!CC50</f>
        <v>0</v>
      </c>
      <c r="G183" s="33">
        <f>HARF!CD50</f>
        <v>-184.32916481121478</v>
      </c>
      <c r="H183" s="33">
        <f>HARF!CE50</f>
        <v>-582.89999999999986</v>
      </c>
      <c r="I183" s="33">
        <f>HARF!CF50</f>
        <v>0</v>
      </c>
      <c r="J183" s="33">
        <f>HARF!CG50</f>
        <v>184.32916481121478</v>
      </c>
      <c r="K183" s="33">
        <f>HARF!CH50</f>
        <v>-582.89999999999986</v>
      </c>
      <c r="M183" s="28">
        <f>HARF!CJ50</f>
        <v>0</v>
      </c>
      <c r="N183" s="28">
        <f>HARF!CK50</f>
        <v>0</v>
      </c>
      <c r="O183" s="28">
        <f>HARF!CL50</f>
        <v>0</v>
      </c>
      <c r="P183" s="28">
        <f>HARF!CM50</f>
        <v>0.31622776601683794</v>
      </c>
      <c r="Q183" s="28">
        <f>HARF!CN50</f>
        <v>0.94868329805051377</v>
      </c>
      <c r="R183" s="28">
        <f>HARF!CO50</f>
        <v>0</v>
      </c>
      <c r="T183" s="28">
        <f t="shared" si="17"/>
        <v>3.322411377186357E-4</v>
      </c>
      <c r="U183" s="34">
        <f>HARF!BM51</f>
        <v>8</v>
      </c>
    </row>
    <row r="184" spans="1:21">
      <c r="D184" t="s">
        <v>88</v>
      </c>
      <c r="F184" s="33">
        <f>HARF!CC51</f>
        <v>0</v>
      </c>
      <c r="G184" s="33">
        <f>HARF!CD51</f>
        <v>582.89999999999986</v>
      </c>
      <c r="H184" s="33">
        <f>HARF!CE51</f>
        <v>1228.861098741432</v>
      </c>
      <c r="I184" s="33">
        <f>HARF!CF51</f>
        <v>0</v>
      </c>
      <c r="J184" s="33">
        <f>HARF!CG51</f>
        <v>-582.89999999999986</v>
      </c>
      <c r="K184" s="33">
        <f>HARF!CH51</f>
        <v>2457.722197482864</v>
      </c>
      <c r="M184" s="28">
        <f>HARF!CJ51</f>
        <v>0</v>
      </c>
      <c r="N184" s="28">
        <f>HARF!CK51</f>
        <v>0</v>
      </c>
      <c r="O184" s="28">
        <f>HARF!CL51</f>
        <v>0</v>
      </c>
      <c r="P184" s="28">
        <f>HARF!CM51</f>
        <v>0</v>
      </c>
      <c r="Q184" s="28">
        <f>HARF!CN51</f>
        <v>0</v>
      </c>
      <c r="R184" s="28">
        <f>HARF!CO51</f>
        <v>1</v>
      </c>
      <c r="T184" s="28">
        <f t="shared" si="17"/>
        <v>-3.0845346736099122E-2</v>
      </c>
      <c r="U184" s="34">
        <f>HARF!BM52</f>
        <v>9</v>
      </c>
    </row>
    <row r="187" spans="1:21">
      <c r="D187" t="s">
        <v>83</v>
      </c>
      <c r="F187" s="28">
        <f t="array" ref="F187:K192">MMULT(F179:K184,M179:R184)</f>
        <v>85499.999999999985</v>
      </c>
      <c r="G187" s="28">
        <v>-28500</v>
      </c>
      <c r="H187" s="28">
        <v>0</v>
      </c>
      <c r="I187" s="28">
        <v>-85499.999999999985</v>
      </c>
      <c r="J187" s="28">
        <v>28500</v>
      </c>
      <c r="K187" s="28">
        <v>0</v>
      </c>
      <c r="M187" s="28">
        <f t="shared" ref="M187:M192" si="18">T179</f>
        <v>0.20892354047514836</v>
      </c>
    </row>
    <row r="188" spans="1:21">
      <c r="D188" t="s">
        <v>84</v>
      </c>
      <c r="F188" s="28">
        <v>58.289999999999985</v>
      </c>
      <c r="G188" s="28">
        <v>174.86999999999995</v>
      </c>
      <c r="H188" s="28">
        <v>582.89999999999986</v>
      </c>
      <c r="I188" s="28">
        <v>-58.289999999999985</v>
      </c>
      <c r="J188" s="28">
        <v>-174.86999999999995</v>
      </c>
      <c r="K188" s="28">
        <v>582.89999999999986</v>
      </c>
      <c r="M188" s="28">
        <f t="shared" si="18"/>
        <v>9.2202361024281476E-2</v>
      </c>
    </row>
    <row r="189" spans="1:21">
      <c r="D189" t="s">
        <v>85</v>
      </c>
      <c r="E189" t="s">
        <v>56</v>
      </c>
      <c r="F189" s="28">
        <v>184.32916481121478</v>
      </c>
      <c r="G189" s="28">
        <v>552.98749443364431</v>
      </c>
      <c r="H189" s="28">
        <v>2457.722197482864</v>
      </c>
      <c r="I189" s="28">
        <v>-184.32916481121478</v>
      </c>
      <c r="J189" s="28">
        <v>-552.98749443364431</v>
      </c>
      <c r="K189" s="28">
        <v>1228.861098741432</v>
      </c>
      <c r="M189" s="28">
        <f t="shared" si="18"/>
        <v>8.9334484604515034E-3</v>
      </c>
    </row>
    <row r="190" spans="1:21">
      <c r="D190" t="s">
        <v>86</v>
      </c>
      <c r="F190" s="28">
        <v>-85499.999999999985</v>
      </c>
      <c r="G190" s="28">
        <v>28500</v>
      </c>
      <c r="H190" s="28">
        <v>0</v>
      </c>
      <c r="I190" s="28">
        <v>85499.999999999985</v>
      </c>
      <c r="J190" s="28">
        <v>-28500</v>
      </c>
      <c r="K190" s="28">
        <v>0</v>
      </c>
      <c r="M190" s="28">
        <f t="shared" si="18"/>
        <v>0.178443033508357</v>
      </c>
    </row>
    <row r="191" spans="1:21">
      <c r="D191" t="s">
        <v>87</v>
      </c>
      <c r="F191" s="28">
        <v>-58.289999999999985</v>
      </c>
      <c r="G191" s="28">
        <v>-174.86999999999995</v>
      </c>
      <c r="H191" s="28">
        <v>-582.89999999999986</v>
      </c>
      <c r="I191" s="28">
        <v>58.289999999999985</v>
      </c>
      <c r="J191" s="28">
        <v>174.86999999999995</v>
      </c>
      <c r="K191" s="28">
        <v>-582.89999999999986</v>
      </c>
      <c r="M191" s="28">
        <f t="shared" si="18"/>
        <v>3.322411377186357E-4</v>
      </c>
    </row>
    <row r="192" spans="1:21">
      <c r="D192" t="s">
        <v>88</v>
      </c>
      <c r="F192" s="28">
        <v>184.32916481121478</v>
      </c>
      <c r="G192" s="28">
        <v>552.98749443364431</v>
      </c>
      <c r="H192" s="28">
        <v>1228.861098741432</v>
      </c>
      <c r="I192" s="28">
        <v>-184.32916481121478</v>
      </c>
      <c r="J192" s="28">
        <v>-552.98749443364431</v>
      </c>
      <c r="K192" s="28">
        <v>2457.722197482864</v>
      </c>
      <c r="M192" s="28">
        <f t="shared" si="18"/>
        <v>-3.0845346736099122E-2</v>
      </c>
    </row>
    <row r="195" spans="4:16">
      <c r="D195" t="s">
        <v>83</v>
      </c>
      <c r="F195">
        <f t="array" ref="F195:F200">MMULT(F187:K192,M187:M192)</f>
        <v>-12.215071106380247</v>
      </c>
      <c r="H195" s="27"/>
      <c r="I195" s="27"/>
      <c r="J195" s="27"/>
      <c r="K195" s="27"/>
    </row>
    <row r="196" spans="4:16">
      <c r="D196" t="s">
        <v>84</v>
      </c>
      <c r="F196">
        <v>5.069591110782504</v>
      </c>
      <c r="H196" s="27"/>
      <c r="I196" s="27"/>
      <c r="J196" s="27"/>
      <c r="K196" s="27"/>
    </row>
    <row r="197" spans="4:16">
      <c r="D197" t="s">
        <v>85</v>
      </c>
      <c r="E197" t="s">
        <v>56</v>
      </c>
      <c r="F197">
        <v>40.472761701737554</v>
      </c>
      <c r="H197" s="27"/>
      <c r="I197" s="40"/>
      <c r="J197" s="40"/>
      <c r="K197" s="40"/>
    </row>
    <row r="198" spans="4:16">
      <c r="D198" t="s">
        <v>86</v>
      </c>
      <c r="F198">
        <v>12.215071106380247</v>
      </c>
      <c r="H198" s="27"/>
      <c r="I198" s="40"/>
      <c r="J198" s="40"/>
      <c r="K198" s="40"/>
    </row>
    <row r="199" spans="4:16">
      <c r="D199" t="s">
        <v>87</v>
      </c>
      <c r="F199">
        <v>-5.069591110782504</v>
      </c>
    </row>
    <row r="200" spans="4:16">
      <c r="D200" t="s">
        <v>88</v>
      </c>
      <c r="F200">
        <v>-8.4098522701060432</v>
      </c>
    </row>
    <row r="201" spans="4:16" ht="12.75">
      <c r="P201" s="31" t="s">
        <v>97</v>
      </c>
    </row>
    <row r="202" spans="4:16">
      <c r="D202" t="s">
        <v>100</v>
      </c>
    </row>
    <row r="204" spans="4:16">
      <c r="E204" t="s">
        <v>83</v>
      </c>
      <c r="G204">
        <v>0</v>
      </c>
    </row>
    <row r="205" spans="4:16">
      <c r="E205" t="s">
        <v>84</v>
      </c>
      <c r="G205" s="41">
        <f>-H7</f>
        <v>-15.811388300841898</v>
      </c>
    </row>
    <row r="206" spans="4:16">
      <c r="D206" s="25" t="s">
        <v>103</v>
      </c>
      <c r="E206" t="s">
        <v>85</v>
      </c>
      <c r="F206" t="s">
        <v>56</v>
      </c>
      <c r="G206" s="41">
        <f>-H8</f>
        <v>-16.666666666666668</v>
      </c>
    </row>
    <row r="207" spans="4:16">
      <c r="E207" t="s">
        <v>86</v>
      </c>
      <c r="G207">
        <v>0</v>
      </c>
    </row>
    <row r="208" spans="4:16">
      <c r="E208" t="s">
        <v>87</v>
      </c>
      <c r="G208" s="41">
        <f>G205</f>
        <v>-15.811388300841898</v>
      </c>
    </row>
    <row r="209" spans="1:21">
      <c r="E209" t="s">
        <v>88</v>
      </c>
      <c r="G209" s="41">
        <f>-G206</f>
        <v>16.666666666666668</v>
      </c>
    </row>
    <row r="211" spans="1:21">
      <c r="F211" s="28">
        <f t="shared" ref="F211:F216" si="19">F195</f>
        <v>-12.215071106380247</v>
      </c>
      <c r="H211" s="28">
        <f t="shared" ref="H211:H216" si="20">G204</f>
        <v>0</v>
      </c>
      <c r="J211">
        <f t="shared" ref="J211:J216" si="21">F211+H211</f>
        <v>-12.215071106380247</v>
      </c>
      <c r="L211" s="27"/>
      <c r="M211" s="27" t="s">
        <v>90</v>
      </c>
      <c r="N211" s="27" t="s">
        <v>92</v>
      </c>
      <c r="O211" s="27" t="s">
        <v>94</v>
      </c>
    </row>
    <row r="212" spans="1:21">
      <c r="F212" s="28">
        <f t="shared" si="19"/>
        <v>5.069591110782504</v>
      </c>
      <c r="H212" s="28">
        <f t="shared" si="20"/>
        <v>-15.811388300841898</v>
      </c>
      <c r="J212">
        <f t="shared" si="21"/>
        <v>-10.741797190059394</v>
      </c>
      <c r="L212" s="27" t="s">
        <v>91</v>
      </c>
      <c r="M212" s="27" t="s">
        <v>89</v>
      </c>
      <c r="N212" s="27" t="s">
        <v>93</v>
      </c>
      <c r="O212" s="27" t="s">
        <v>95</v>
      </c>
    </row>
    <row r="213" spans="1:21">
      <c r="D213" t="s">
        <v>104</v>
      </c>
      <c r="F213" s="28">
        <f t="shared" si="19"/>
        <v>40.472761701737554</v>
      </c>
      <c r="G213" s="25" t="s">
        <v>105</v>
      </c>
      <c r="H213" s="28">
        <f t="shared" si="20"/>
        <v>-16.666666666666668</v>
      </c>
      <c r="I213" s="25" t="s">
        <v>56</v>
      </c>
      <c r="J213">
        <f t="shared" si="21"/>
        <v>23.806095035070886</v>
      </c>
      <c r="L213" s="27">
        <v>0</v>
      </c>
      <c r="M213" s="40">
        <f>-1*J211</f>
        <v>12.215071106380247</v>
      </c>
      <c r="N213" s="40">
        <f>J212</f>
        <v>-10.741797190059394</v>
      </c>
      <c r="O213" s="40">
        <f>-J213</f>
        <v>-23.806095035070886</v>
      </c>
    </row>
    <row r="214" spans="1:21">
      <c r="F214" s="28">
        <f t="shared" si="19"/>
        <v>12.215071106380247</v>
      </c>
      <c r="H214" s="28">
        <f t="shared" si="20"/>
        <v>0</v>
      </c>
      <c r="J214">
        <f t="shared" si="21"/>
        <v>12.215071106380247</v>
      </c>
      <c r="L214" s="27">
        <f>L173</f>
        <v>6.324555320336759</v>
      </c>
      <c r="M214" s="40">
        <f>J214</f>
        <v>12.215071106380247</v>
      </c>
      <c r="N214" s="40">
        <f>-J215</f>
        <v>20.880979411624402</v>
      </c>
      <c r="O214" s="40">
        <f>J216</f>
        <v>8.2568143965606247</v>
      </c>
    </row>
    <row r="215" spans="1:21">
      <c r="F215" s="28">
        <f t="shared" si="19"/>
        <v>-5.069591110782504</v>
      </c>
      <c r="H215" s="28">
        <f t="shared" si="20"/>
        <v>-15.811388300841898</v>
      </c>
      <c r="J215">
        <f t="shared" si="21"/>
        <v>-20.880979411624402</v>
      </c>
    </row>
    <row r="216" spans="1:21">
      <c r="F216" s="28">
        <f t="shared" si="19"/>
        <v>-8.4098522701060432</v>
      </c>
      <c r="H216" s="28">
        <f t="shared" si="20"/>
        <v>16.666666666666668</v>
      </c>
      <c r="J216">
        <f t="shared" si="21"/>
        <v>8.2568143965606247</v>
      </c>
    </row>
    <row r="221" spans="1:21" ht="12.75">
      <c r="A221" s="47" t="s">
        <v>98</v>
      </c>
      <c r="D221" t="s">
        <v>83</v>
      </c>
      <c r="F221" s="33">
        <f>HARF!CC55</f>
        <v>71250</v>
      </c>
      <c r="G221" s="33">
        <f>HARF!CD55</f>
        <v>0</v>
      </c>
      <c r="H221" s="33">
        <f>HARF!CE55</f>
        <v>0</v>
      </c>
      <c r="I221" s="33">
        <f>HARF!CF55</f>
        <v>-71250</v>
      </c>
      <c r="J221" s="33">
        <f>HARF!CG55</f>
        <v>0</v>
      </c>
      <c r="K221" s="33">
        <f>HARF!CH55</f>
        <v>0</v>
      </c>
      <c r="M221" s="28">
        <f>HARF!CJ55</f>
        <v>0</v>
      </c>
      <c r="N221" s="28">
        <f>HARF!CK55</f>
        <v>-1</v>
      </c>
      <c r="O221" s="28">
        <f>HARF!CL55</f>
        <v>0</v>
      </c>
      <c r="P221" s="28">
        <f>HARF!CM55</f>
        <v>0</v>
      </c>
      <c r="Q221" s="28">
        <f>HARF!CN55</f>
        <v>0</v>
      </c>
      <c r="R221" s="28">
        <f>HARF!CO55</f>
        <v>0</v>
      </c>
      <c r="T221" s="28">
        <f>F66</f>
        <v>0.178443033508357</v>
      </c>
      <c r="U221" s="34">
        <f>HARF!BM56</f>
        <v>7</v>
      </c>
    </row>
    <row r="222" spans="1:21">
      <c r="D222" t="s">
        <v>84</v>
      </c>
      <c r="F222" s="33">
        <f>HARF!CC56</f>
        <v>0</v>
      </c>
      <c r="G222" s="33">
        <f>HARF!CD56</f>
        <v>91.078125</v>
      </c>
      <c r="H222" s="33">
        <f>HARF!CE56</f>
        <v>364.3125</v>
      </c>
      <c r="I222" s="33">
        <f>HARF!CF56</f>
        <v>0</v>
      </c>
      <c r="J222" s="33">
        <f>HARF!CG56</f>
        <v>-91.078125</v>
      </c>
      <c r="K222" s="33">
        <f>HARF!CH56</f>
        <v>364.3125</v>
      </c>
      <c r="M222" s="28">
        <f>HARF!CJ56</f>
        <v>1</v>
      </c>
      <c r="N222" s="28">
        <f>HARF!CK56</f>
        <v>0</v>
      </c>
      <c r="O222" s="28">
        <f>HARF!CL56</f>
        <v>0</v>
      </c>
      <c r="P222" s="28">
        <f>HARF!CM56</f>
        <v>0</v>
      </c>
      <c r="Q222" s="28">
        <f>HARF!CN56</f>
        <v>0</v>
      </c>
      <c r="R222" s="28">
        <f>HARF!CO56</f>
        <v>0</v>
      </c>
      <c r="T222" s="28">
        <f>F67</f>
        <v>3.322411377186357E-4</v>
      </c>
      <c r="U222" s="34">
        <f>HARF!BM57</f>
        <v>8</v>
      </c>
    </row>
    <row r="223" spans="1:21">
      <c r="D223" t="s">
        <v>85</v>
      </c>
      <c r="E223" t="s">
        <v>56</v>
      </c>
      <c r="F223" s="33">
        <f>HARF!CC57</f>
        <v>0</v>
      </c>
      <c r="G223" s="33">
        <f>HARF!CD57</f>
        <v>364.3125</v>
      </c>
      <c r="H223" s="33">
        <f>HARF!CE57</f>
        <v>1942.9999999999998</v>
      </c>
      <c r="I223" s="33">
        <f>HARF!CF57</f>
        <v>0</v>
      </c>
      <c r="J223" s="33">
        <f>HARF!CG57</f>
        <v>-364.3125</v>
      </c>
      <c r="K223" s="33">
        <f>HARF!CH57</f>
        <v>971.49999999999989</v>
      </c>
      <c r="M223" s="28">
        <f>HARF!CJ57</f>
        <v>0</v>
      </c>
      <c r="N223" s="28">
        <f>HARF!CK57</f>
        <v>0</v>
      </c>
      <c r="O223" s="28">
        <f>HARF!CL57</f>
        <v>1</v>
      </c>
      <c r="P223" s="28">
        <f>HARF!CM57</f>
        <v>0</v>
      </c>
      <c r="Q223" s="28">
        <f>HARF!CN57</f>
        <v>0</v>
      </c>
      <c r="R223" s="28">
        <f>HARF!CO57</f>
        <v>0</v>
      </c>
      <c r="T223" s="28">
        <f>F68</f>
        <v>-3.0845346736099122E-2</v>
      </c>
      <c r="U223" s="34">
        <f>HARF!BM58</f>
        <v>9</v>
      </c>
    </row>
    <row r="224" spans="1:21">
      <c r="D224" t="s">
        <v>86</v>
      </c>
      <c r="F224" s="33">
        <f>HARF!CC58</f>
        <v>-71250</v>
      </c>
      <c r="G224" s="33">
        <f>HARF!CD58</f>
        <v>0</v>
      </c>
      <c r="H224" s="33">
        <f>HARF!CE58</f>
        <v>0</v>
      </c>
      <c r="I224" s="33">
        <f>HARF!CF58</f>
        <v>71250</v>
      </c>
      <c r="J224" s="33">
        <f>HARF!CG58</f>
        <v>0</v>
      </c>
      <c r="K224" s="33">
        <f>HARF!CH58</f>
        <v>0</v>
      </c>
      <c r="M224" s="28">
        <f>HARF!CJ58</f>
        <v>0</v>
      </c>
      <c r="N224" s="28">
        <f>HARF!CK58</f>
        <v>0</v>
      </c>
      <c r="O224" s="28">
        <f>HARF!CL58</f>
        <v>0</v>
      </c>
      <c r="P224" s="28">
        <f>HARF!CM58</f>
        <v>0</v>
      </c>
      <c r="Q224" s="28">
        <f>HARF!CN58</f>
        <v>-1</v>
      </c>
      <c r="R224" s="28">
        <f>HARF!CO58</f>
        <v>0</v>
      </c>
      <c r="T224" s="28">
        <v>0</v>
      </c>
      <c r="U224" s="34">
        <f>HARF!BM59</f>
        <v>13</v>
      </c>
    </row>
    <row r="225" spans="4:21">
      <c r="D225" t="s">
        <v>87</v>
      </c>
      <c r="F225" s="33">
        <f>HARF!CC59</f>
        <v>0</v>
      </c>
      <c r="G225" s="33">
        <f>HARF!CD59</f>
        <v>-91.078125</v>
      </c>
      <c r="H225" s="33">
        <f>HARF!CE59</f>
        <v>-364.3125</v>
      </c>
      <c r="I225" s="33">
        <f>HARF!CF59</f>
        <v>0</v>
      </c>
      <c r="J225" s="33">
        <f>HARF!CG59</f>
        <v>91.078125</v>
      </c>
      <c r="K225" s="33">
        <f>HARF!CH59</f>
        <v>-364.3125</v>
      </c>
      <c r="M225" s="28">
        <f>HARF!CJ59</f>
        <v>0</v>
      </c>
      <c r="N225" s="28">
        <f>HARF!CK59</f>
        <v>0</v>
      </c>
      <c r="O225" s="28">
        <f>HARF!CL59</f>
        <v>0</v>
      </c>
      <c r="P225" s="28">
        <f>HARF!CM59</f>
        <v>1</v>
      </c>
      <c r="Q225" s="28">
        <f>HARF!CN59</f>
        <v>0</v>
      </c>
      <c r="R225" s="28">
        <f>HARF!CO59</f>
        <v>0</v>
      </c>
      <c r="T225" s="28">
        <v>0</v>
      </c>
      <c r="U225" s="34">
        <f>HARF!BM60</f>
        <v>14</v>
      </c>
    </row>
    <row r="226" spans="4:21">
      <c r="D226" t="s">
        <v>88</v>
      </c>
      <c r="F226" s="33">
        <f>HARF!CC60</f>
        <v>0</v>
      </c>
      <c r="G226" s="33">
        <f>HARF!CD60</f>
        <v>364.3125</v>
      </c>
      <c r="H226" s="33">
        <f>HARF!CE60</f>
        <v>971.49999999999989</v>
      </c>
      <c r="I226" s="33">
        <f>HARF!CF60</f>
        <v>0</v>
      </c>
      <c r="J226" s="33">
        <f>HARF!CG60</f>
        <v>-364.3125</v>
      </c>
      <c r="K226" s="33">
        <f>HARF!CH60</f>
        <v>1942.9999999999998</v>
      </c>
      <c r="M226" s="28">
        <f>HARF!CJ60</f>
        <v>0</v>
      </c>
      <c r="N226" s="28">
        <f>HARF!CK60</f>
        <v>0</v>
      </c>
      <c r="O226" s="28">
        <f>HARF!CL60</f>
        <v>0</v>
      </c>
      <c r="P226" s="28">
        <f>HARF!CM60</f>
        <v>0</v>
      </c>
      <c r="Q226" s="28">
        <f>HARF!CN60</f>
        <v>0</v>
      </c>
      <c r="R226" s="28">
        <f>HARF!CO60</f>
        <v>1</v>
      </c>
      <c r="T226" s="28">
        <v>0</v>
      </c>
      <c r="U226" s="34">
        <f>HARF!BM61</f>
        <v>15</v>
      </c>
    </row>
    <row r="229" spans="4:21">
      <c r="D229" t="s">
        <v>83</v>
      </c>
      <c r="F229" s="28">
        <f t="array" ref="F229:K234">MMULT(F221:K226,M221:R226)</f>
        <v>0</v>
      </c>
      <c r="G229" s="28">
        <v>-71250</v>
      </c>
      <c r="H229" s="28">
        <v>0</v>
      </c>
      <c r="I229" s="28">
        <v>0</v>
      </c>
      <c r="J229" s="28">
        <v>71250</v>
      </c>
      <c r="K229" s="28">
        <v>0</v>
      </c>
      <c r="M229" s="28">
        <f t="shared" ref="M229:M234" si="22">T221</f>
        <v>0.178443033508357</v>
      </c>
    </row>
    <row r="230" spans="4:21">
      <c r="D230" t="s">
        <v>84</v>
      </c>
      <c r="F230" s="28">
        <v>91.078125</v>
      </c>
      <c r="G230" s="28">
        <v>0</v>
      </c>
      <c r="H230" s="28">
        <v>364.3125</v>
      </c>
      <c r="I230" s="28">
        <v>-91.078125</v>
      </c>
      <c r="J230" s="28">
        <v>0</v>
      </c>
      <c r="K230" s="28">
        <v>364.3125</v>
      </c>
      <c r="M230" s="28">
        <f t="shared" si="22"/>
        <v>3.322411377186357E-4</v>
      </c>
    </row>
    <row r="231" spans="4:21">
      <c r="D231" t="s">
        <v>85</v>
      </c>
      <c r="E231" t="s">
        <v>56</v>
      </c>
      <c r="F231" s="28">
        <v>364.3125</v>
      </c>
      <c r="G231" s="28">
        <v>0</v>
      </c>
      <c r="H231" s="28">
        <v>1942.9999999999998</v>
      </c>
      <c r="I231" s="28">
        <v>-364.3125</v>
      </c>
      <c r="J231" s="28">
        <v>0</v>
      </c>
      <c r="K231" s="28">
        <v>971.49999999999989</v>
      </c>
      <c r="M231" s="28">
        <f t="shared" si="22"/>
        <v>-3.0845346736099122E-2</v>
      </c>
    </row>
    <row r="232" spans="4:21">
      <c r="D232" t="s">
        <v>86</v>
      </c>
      <c r="F232" s="28">
        <v>0</v>
      </c>
      <c r="G232" s="28">
        <v>71250</v>
      </c>
      <c r="H232" s="28">
        <v>0</v>
      </c>
      <c r="I232" s="28">
        <v>0</v>
      </c>
      <c r="J232" s="28">
        <v>-71250</v>
      </c>
      <c r="K232" s="28">
        <v>0</v>
      </c>
      <c r="M232" s="28">
        <f t="shared" si="22"/>
        <v>0</v>
      </c>
    </row>
    <row r="233" spans="4:21">
      <c r="D233" t="s">
        <v>87</v>
      </c>
      <c r="F233" s="28">
        <v>-91.078125</v>
      </c>
      <c r="G233" s="28">
        <v>0</v>
      </c>
      <c r="H233" s="28">
        <v>-364.3125</v>
      </c>
      <c r="I233" s="28">
        <v>91.078125</v>
      </c>
      <c r="J233" s="28">
        <v>0</v>
      </c>
      <c r="K233" s="28">
        <v>-364.3125</v>
      </c>
      <c r="M233" s="28">
        <f t="shared" si="22"/>
        <v>0</v>
      </c>
    </row>
    <row r="234" spans="4:21">
      <c r="D234" t="s">
        <v>88</v>
      </c>
      <c r="F234" s="28">
        <v>364.3125</v>
      </c>
      <c r="G234" s="28">
        <v>0</v>
      </c>
      <c r="H234" s="28">
        <v>971.49999999999989</v>
      </c>
      <c r="I234" s="28">
        <v>-364.3125</v>
      </c>
      <c r="J234" s="28">
        <v>0</v>
      </c>
      <c r="K234" s="28">
        <v>1942.9999999999998</v>
      </c>
      <c r="M234" s="28">
        <f t="shared" si="22"/>
        <v>0</v>
      </c>
    </row>
    <row r="237" spans="4:21">
      <c r="D237" t="s">
        <v>83</v>
      </c>
      <c r="F237">
        <f t="array" ref="F237:F242">MMULT(F229:K234,M229:M234)</f>
        <v>-23.672181062452793</v>
      </c>
      <c r="H237" s="27"/>
      <c r="I237" s="27"/>
      <c r="J237" s="27"/>
      <c r="K237" s="27"/>
    </row>
    <row r="238" spans="4:21">
      <c r="D238" t="s">
        <v>84</v>
      </c>
      <c r="F238">
        <v>5.0149115284582155</v>
      </c>
      <c r="H238" s="27"/>
      <c r="I238" s="27"/>
      <c r="J238" s="27"/>
      <c r="K238" s="27"/>
    </row>
    <row r="239" spans="4:21">
      <c r="D239" t="s">
        <v>85</v>
      </c>
      <c r="E239" t="s">
        <v>56</v>
      </c>
      <c r="F239">
        <v>5.0765189367727146</v>
      </c>
      <c r="H239" s="27"/>
      <c r="I239" s="40"/>
      <c r="J239" s="40"/>
      <c r="K239" s="40"/>
    </row>
    <row r="240" spans="4:21">
      <c r="D240" t="s">
        <v>86</v>
      </c>
      <c r="F240">
        <v>23.672181062452793</v>
      </c>
      <c r="H240" s="27"/>
      <c r="I240" s="40"/>
      <c r="J240" s="40"/>
      <c r="K240" s="40"/>
    </row>
    <row r="241" spans="4:16">
      <c r="D241" t="s">
        <v>87</v>
      </c>
      <c r="F241">
        <v>-5.0149115284582155</v>
      </c>
    </row>
    <row r="242" spans="4:16">
      <c r="D242" t="s">
        <v>88</v>
      </c>
      <c r="F242">
        <v>35.04277329089301</v>
      </c>
    </row>
    <row r="245" spans="4:16">
      <c r="D245" t="s">
        <v>100</v>
      </c>
    </row>
    <row r="246" spans="4:16" ht="12.75">
      <c r="P246" s="31" t="s">
        <v>98</v>
      </c>
    </row>
    <row r="247" spans="4:16">
      <c r="E247" t="s">
        <v>83</v>
      </c>
      <c r="G247">
        <v>0</v>
      </c>
    </row>
    <row r="248" spans="4:16">
      <c r="E248" t="s">
        <v>84</v>
      </c>
      <c r="G248" s="41">
        <f>-H10</f>
        <v>-10</v>
      </c>
    </row>
    <row r="249" spans="4:16">
      <c r="D249" s="25" t="s">
        <v>108</v>
      </c>
      <c r="E249" t="s">
        <v>85</v>
      </c>
      <c r="F249" t="s">
        <v>56</v>
      </c>
      <c r="G249" s="41">
        <f>-H11</f>
        <v>-13.333333333333334</v>
      </c>
    </row>
    <row r="250" spans="4:16">
      <c r="E250" t="s">
        <v>86</v>
      </c>
      <c r="G250">
        <v>0</v>
      </c>
    </row>
    <row r="251" spans="4:16">
      <c r="E251" t="s">
        <v>87</v>
      </c>
      <c r="G251" s="41">
        <f>G248</f>
        <v>-10</v>
      </c>
    </row>
    <row r="252" spans="4:16">
      <c r="E252" t="s">
        <v>88</v>
      </c>
      <c r="G252" s="41">
        <f>-G249</f>
        <v>13.333333333333334</v>
      </c>
    </row>
    <row r="254" spans="4:16">
      <c r="F254" s="28">
        <f t="shared" ref="F254:F259" si="23">F237</f>
        <v>-23.672181062452793</v>
      </c>
      <c r="H254" s="28">
        <f t="shared" ref="H254:H259" si="24">G247</f>
        <v>0</v>
      </c>
      <c r="J254">
        <f t="shared" ref="J254:J259" si="25">F254+H254</f>
        <v>-23.672181062452793</v>
      </c>
      <c r="L254" s="27"/>
      <c r="M254" s="27" t="s">
        <v>90</v>
      </c>
      <c r="N254" s="27" t="s">
        <v>92</v>
      </c>
      <c r="O254" s="27" t="s">
        <v>94</v>
      </c>
    </row>
    <row r="255" spans="4:16">
      <c r="F255" s="28">
        <f t="shared" si="23"/>
        <v>5.0149115284582155</v>
      </c>
      <c r="H255" s="28">
        <f t="shared" si="24"/>
        <v>-10</v>
      </c>
      <c r="J255">
        <f t="shared" si="25"/>
        <v>-4.9850884715417845</v>
      </c>
      <c r="L255" s="27" t="s">
        <v>91</v>
      </c>
      <c r="M255" s="27" t="s">
        <v>89</v>
      </c>
      <c r="N255" s="27" t="s">
        <v>93</v>
      </c>
      <c r="O255" s="27" t="s">
        <v>95</v>
      </c>
    </row>
    <row r="256" spans="4:16">
      <c r="D256" t="s">
        <v>104</v>
      </c>
      <c r="F256" s="28">
        <f t="shared" si="23"/>
        <v>5.0765189367727146</v>
      </c>
      <c r="G256" s="25" t="s">
        <v>105</v>
      </c>
      <c r="H256" s="28">
        <f t="shared" si="24"/>
        <v>-13.333333333333334</v>
      </c>
      <c r="I256" s="25" t="s">
        <v>56</v>
      </c>
      <c r="J256">
        <f t="shared" si="25"/>
        <v>-8.2568143965606193</v>
      </c>
      <c r="L256" s="27">
        <v>0</v>
      </c>
      <c r="M256" s="40">
        <f>-J254</f>
        <v>23.672181062452793</v>
      </c>
      <c r="N256" s="40">
        <f>J255</f>
        <v>-4.9850884715417845</v>
      </c>
      <c r="O256" s="40">
        <f>-J256</f>
        <v>8.2568143965606193</v>
      </c>
    </row>
    <row r="257" spans="6:15">
      <c r="F257" s="28">
        <f t="shared" si="23"/>
        <v>23.672181062452793</v>
      </c>
      <c r="H257" s="28">
        <f t="shared" si="24"/>
        <v>0</v>
      </c>
      <c r="J257">
        <f t="shared" si="25"/>
        <v>23.672181062452793</v>
      </c>
      <c r="L257" s="27">
        <f>HARF!BJ5</f>
        <v>8</v>
      </c>
      <c r="M257" s="40">
        <f>J257</f>
        <v>23.672181062452793</v>
      </c>
      <c r="N257" s="40">
        <f>-J258</f>
        <v>15.014911528458216</v>
      </c>
      <c r="O257" s="40">
        <f>J259</f>
        <v>48.376106624226345</v>
      </c>
    </row>
    <row r="258" spans="6:15">
      <c r="F258" s="28">
        <f t="shared" si="23"/>
        <v>-5.0149115284582155</v>
      </c>
      <c r="H258" s="28">
        <f t="shared" si="24"/>
        <v>-10</v>
      </c>
      <c r="J258">
        <f t="shared" si="25"/>
        <v>-15.014911528458216</v>
      </c>
    </row>
    <row r="259" spans="6:15">
      <c r="F259" s="28">
        <f t="shared" si="23"/>
        <v>35.04277329089301</v>
      </c>
      <c r="H259" s="28">
        <f t="shared" si="24"/>
        <v>13.333333333333334</v>
      </c>
      <c r="J259">
        <f t="shared" si="25"/>
        <v>48.376106624226345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zoomScale="140" zoomScaleNormal="140" workbookViewId="0"/>
  </sheetViews>
  <sheetFormatPr defaultRowHeight="11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HARF</vt:lpstr>
      <vt:lpstr>Deprem</vt:lpstr>
      <vt:lpstr>Düşey</vt:lpstr>
      <vt:lpstr>Rüzgar</vt:lpstr>
      <vt:lpstr>Numaralandırma</vt:lpstr>
      <vt:lpstr>HARF!Print_Area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2021-11-24T08:07:40Z</dcterms:created>
  <dcterms:modified xsi:type="dcterms:W3CDTF">2023-02-03T08:25:50Z</dcterms:modified>
</cp:coreProperties>
</file>