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'Sheet1'!$B$1:$BW$207</definedName>
  </definedNames>
  <calcPr fullCalcOnLoad="1"/>
</workbook>
</file>

<file path=xl/sharedStrings.xml><?xml version="1.0" encoding="utf-8"?>
<sst xmlns="http://schemas.openxmlformats.org/spreadsheetml/2006/main" count="1200" uniqueCount="686">
  <si>
    <t>A</t>
  </si>
  <si>
    <t>B</t>
  </si>
  <si>
    <t>C</t>
  </si>
  <si>
    <t>M1</t>
  </si>
  <si>
    <t>minMb</t>
  </si>
  <si>
    <t>maxB</t>
  </si>
  <si>
    <t>minV1b</t>
  </si>
  <si>
    <t>0,070 * q * L² =</t>
  </si>
  <si>
    <t>q=</t>
  </si>
  <si>
    <t>-0,125 * q * L² =</t>
  </si>
  <si>
    <t>1,250 * q * L =</t>
  </si>
  <si>
    <t>-0,625 * q * L =</t>
  </si>
  <si>
    <t>0,375 * q * L =</t>
  </si>
  <si>
    <t>L=</t>
  </si>
  <si>
    <t>Q=</t>
  </si>
  <si>
    <t>0,156 * Q * L =</t>
  </si>
  <si>
    <t>-0,188 * Q * L =</t>
  </si>
  <si>
    <t>0,313 * Q =</t>
  </si>
  <si>
    <t>1,375 * Q =</t>
  </si>
  <si>
    <t>-0,688 * Q =</t>
  </si>
  <si>
    <t>L</t>
  </si>
  <si>
    <t>(0,222 / 0,111) * Q * L =</t>
  </si>
  <si>
    <t>-0,333 * Q * L =</t>
  </si>
  <si>
    <t>-1,333 * Q =</t>
  </si>
  <si>
    <t>2,667 * Q =</t>
  </si>
  <si>
    <t>0,667 * Q =</t>
  </si>
  <si>
    <t>K = 0,5 * q * L=</t>
  </si>
  <si>
    <t>0,095 * K * L =</t>
  </si>
  <si>
    <t>-0,156 * K * L =</t>
  </si>
  <si>
    <t>0,344 * K =</t>
  </si>
  <si>
    <t>-0,656 * K =</t>
  </si>
  <si>
    <t>K = 0,6 * q * L=</t>
  </si>
  <si>
    <t>0,094 * K * L =</t>
  </si>
  <si>
    <t>-0,155 * K * L =</t>
  </si>
  <si>
    <t>0,345 * K =</t>
  </si>
  <si>
    <t>1,310 * K =</t>
  </si>
  <si>
    <t>-0,655 * K =</t>
  </si>
  <si>
    <t>K = 0,7 * q * L=</t>
  </si>
  <si>
    <t>0,089 * K * L =</t>
  </si>
  <si>
    <t>-0,151 * K * L =</t>
  </si>
  <si>
    <t>0,349 * K =</t>
  </si>
  <si>
    <t>1,302 * K =</t>
  </si>
  <si>
    <t>-0,651 * K =</t>
  </si>
  <si>
    <t>maxM1</t>
  </si>
  <si>
    <t>Mb</t>
  </si>
  <si>
    <t>maxA</t>
  </si>
  <si>
    <t>0,096 * q * L² =</t>
  </si>
  <si>
    <t>-0,063 * q * L² =</t>
  </si>
  <si>
    <t>0,438 * q * L =</t>
  </si>
  <si>
    <t>0,203 * Q * L =</t>
  </si>
  <si>
    <t>-0,094 * Q * L =</t>
  </si>
  <si>
    <t>0,406 * Q =</t>
  </si>
  <si>
    <t>(0,278 / 0,222) * Q * L =</t>
  </si>
  <si>
    <t>-0,167 * Q * L =</t>
  </si>
  <si>
    <t>0,833 * Q =</t>
  </si>
  <si>
    <t>0,129 * K * L =</t>
  </si>
  <si>
    <t>-0,078 * K * L =</t>
  </si>
  <si>
    <t>0,422 * K =</t>
  </si>
  <si>
    <t>0,126 * K * L =</t>
  </si>
  <si>
    <t>0,121 * K * L =</t>
  </si>
  <si>
    <t>-0,076 * K * L =</t>
  </si>
  <si>
    <t>0,424 * K =</t>
  </si>
  <si>
    <t>minM1</t>
  </si>
  <si>
    <t>minA</t>
  </si>
  <si>
    <t>-0,063 * q * L =</t>
  </si>
  <si>
    <t>-0,047 * Q * L =</t>
  </si>
  <si>
    <t>-0,094 * Q =</t>
  </si>
  <si>
    <t>-0,167 * Q =</t>
  </si>
  <si>
    <t>-0,035 * K * L =</t>
  </si>
  <si>
    <t>-0,078 * K =</t>
  </si>
  <si>
    <t>-0,034 * K * L =</t>
  </si>
  <si>
    <t>-0,076 * K =</t>
  </si>
  <si>
    <t>D</t>
  </si>
  <si>
    <t>M2</t>
  </si>
  <si>
    <t>V1b</t>
  </si>
  <si>
    <t>V2b</t>
  </si>
  <si>
    <t>0,080 * q * L² =</t>
  </si>
  <si>
    <t>0,025 * q * L² =</t>
  </si>
  <si>
    <t>-0,100 * q * L² =</t>
  </si>
  <si>
    <t>0,400 * q * L =</t>
  </si>
  <si>
    <t>1,100 * q * L =</t>
  </si>
  <si>
    <t>-0,600 * q * L =</t>
  </si>
  <si>
    <t>0,500 * q * L =</t>
  </si>
  <si>
    <t>0,175 * Q * L =</t>
  </si>
  <si>
    <t>0,100 * Q * L =</t>
  </si>
  <si>
    <t>-0,150 * Q * L =</t>
  </si>
  <si>
    <t>0,350 * Q =</t>
  </si>
  <si>
    <t>1,150 * Q =</t>
  </si>
  <si>
    <t>-0,650 * Q =</t>
  </si>
  <si>
    <t>0,500 * Q =</t>
  </si>
  <si>
    <t>(0,244 / 0,156) * Q * L =</t>
  </si>
  <si>
    <t>0,067 * Q * L =</t>
  </si>
  <si>
    <t>-0,267 * Q * L =</t>
  </si>
  <si>
    <t>0,733 * Q =</t>
  </si>
  <si>
    <t>2,267 * Q =</t>
  </si>
  <si>
    <t>-1,267 * Q =</t>
  </si>
  <si>
    <t>1,000 * Q =</t>
  </si>
  <si>
    <t>0,108 * K * L =</t>
  </si>
  <si>
    <t>0,042 * K * L =</t>
  </si>
  <si>
    <t>-0,125 * K * L =</t>
  </si>
  <si>
    <t>0,375 * K =</t>
  </si>
  <si>
    <t>1,125 * K =</t>
  </si>
  <si>
    <t>-0,625 * K =</t>
  </si>
  <si>
    <t>0,500 * K =</t>
  </si>
  <si>
    <t>0,107 * K * L =</t>
  </si>
  <si>
    <t>0,040 * K * L =</t>
  </si>
  <si>
    <t>-0,124 * K * L =</t>
  </si>
  <si>
    <t>0,376 * K =</t>
  </si>
  <si>
    <t>1,124 * K =</t>
  </si>
  <si>
    <t>-0,624 * K =</t>
  </si>
  <si>
    <t>0,102 * K * L =</t>
  </si>
  <si>
    <t>0,036 * K * L =</t>
  </si>
  <si>
    <t>-0,121 * K * L =</t>
  </si>
  <si>
    <t>0,379 * K =</t>
  </si>
  <si>
    <t>1,121 * K =</t>
  </si>
  <si>
    <t>-0,621 * K =</t>
  </si>
  <si>
    <t>minM2</t>
  </si>
  <si>
    <t>0,101 * q * L² =</t>
  </si>
  <si>
    <t>-0,050 * q * L² =</t>
  </si>
  <si>
    <t>0,450 * q * L =</t>
  </si>
  <si>
    <t>0,213 * Q * L =</t>
  </si>
  <si>
    <t>-0,075 * Q * L =</t>
  </si>
  <si>
    <t>0,425 * Q =</t>
  </si>
  <si>
    <t>(0,289 / 0,244) * Q * L =</t>
  </si>
  <si>
    <t>-0,133 * Q * L =</t>
  </si>
  <si>
    <t>0,867 * Q =</t>
  </si>
  <si>
    <t>0,136 * K * L =</t>
  </si>
  <si>
    <t>-0,063 * K * L =</t>
  </si>
  <si>
    <t>0,437 * K =</t>
  </si>
  <si>
    <t>0,134 * K * L =</t>
  </si>
  <si>
    <t>-0,062 * K * L =</t>
  </si>
  <si>
    <t>0,438 * K =</t>
  </si>
  <si>
    <t>0,128 * K * L =</t>
  </si>
  <si>
    <t>-0,061 * K * L =</t>
  </si>
  <si>
    <t>0,439 * K =</t>
  </si>
  <si>
    <t>maxM2</t>
  </si>
  <si>
    <t>0,075 * q * L² =</t>
  </si>
  <si>
    <t>-0,050 * q * L =</t>
  </si>
  <si>
    <t>-0,038 * Q * L =</t>
  </si>
  <si>
    <t>-0,075 * Q =</t>
  </si>
  <si>
    <t>-(0,056/0,111) * Q * L =</t>
  </si>
  <si>
    <t>-(0,044/0,089) * Q * L =</t>
  </si>
  <si>
    <t>-0,133 * Q =</t>
  </si>
  <si>
    <t>-0,200 * Q * L =</t>
  </si>
  <si>
    <t>-0,028 * K * L =</t>
  </si>
  <si>
    <t>0,104 * K * L =</t>
  </si>
  <si>
    <t>-0,063 * K =</t>
  </si>
  <si>
    <t>-0,062 * K =</t>
  </si>
  <si>
    <t>-0,027 * K * L =</t>
  </si>
  <si>
    <t>0,096 * K * L =</t>
  </si>
  <si>
    <t>-0,061 * K =</t>
  </si>
  <si>
    <t>Mc</t>
  </si>
  <si>
    <t>maxV2b</t>
  </si>
  <si>
    <t>-0,117 * q * L² =</t>
  </si>
  <si>
    <t>-0,033 * q * L² =</t>
  </si>
  <si>
    <t>1,200 * q * L =</t>
  </si>
  <si>
    <t>-0,617 * q * L =</t>
  </si>
  <si>
    <t>0,583 * q * L =</t>
  </si>
  <si>
    <t>-0,175 * Q * L =</t>
  </si>
  <si>
    <t>-0,050 * Q * L =</t>
  </si>
  <si>
    <t>1,300 * Q =</t>
  </si>
  <si>
    <t>-0,675 * Q =</t>
  </si>
  <si>
    <t>0,625 * Q =</t>
  </si>
  <si>
    <t>-0,311 * Q * L =</t>
  </si>
  <si>
    <t>-0,089 * Q * L =</t>
  </si>
  <si>
    <t>2,533 * Q =</t>
  </si>
  <si>
    <t>-1,311 * Q =</t>
  </si>
  <si>
    <t>1,222 * Q =</t>
  </si>
  <si>
    <t>-0,146 * K * L =</t>
  </si>
  <si>
    <t>-0,041 * K * L =</t>
  </si>
  <si>
    <t>1,251 * K =</t>
  </si>
  <si>
    <t>-0,646 * K =</t>
  </si>
  <si>
    <t>0,605 * K =</t>
  </si>
  <si>
    <t>-0,145 * K * L =</t>
  </si>
  <si>
    <t>1,249 * K =</t>
  </si>
  <si>
    <t>-0,645 * K =</t>
  </si>
  <si>
    <t>0,604 * K =</t>
  </si>
  <si>
    <t>-0,142 * K * L =</t>
  </si>
  <si>
    <t>1,244 * K =</t>
  </si>
  <si>
    <t>-0,642 * K =</t>
  </si>
  <si>
    <t>0,602 * K =</t>
  </si>
  <si>
    <t>maxMb</t>
  </si>
  <si>
    <t>0,017 * q * L² =</t>
  </si>
  <si>
    <t>-0,067 * q * L² =</t>
  </si>
  <si>
    <t>0,170 * q * L =</t>
  </si>
  <si>
    <t>-0,083 * q * L =</t>
  </si>
  <si>
    <t>0,025 * Q * L =</t>
  </si>
  <si>
    <t>-0,100 * Q * L =</t>
  </si>
  <si>
    <t>0,025 * Q =</t>
  </si>
  <si>
    <t>-0,125 * Q =</t>
  </si>
  <si>
    <t>0,044 * Q * L =</t>
  </si>
  <si>
    <t>-0,178 * Q * L =</t>
  </si>
  <si>
    <t>0,044 * Q =</t>
  </si>
  <si>
    <t>-0,222 * Q =</t>
  </si>
  <si>
    <t>-0,022 * K * L =</t>
  </si>
  <si>
    <t>-0,083 * K * L =</t>
  </si>
  <si>
    <t>0,022 * K =</t>
  </si>
  <si>
    <t>-0,105 * K =</t>
  </si>
  <si>
    <t>0,021 * K * L =</t>
  </si>
  <si>
    <t>0,021 * K =</t>
  </si>
  <si>
    <t>-0,104 * K =</t>
  </si>
  <si>
    <t>-0,081 * K * L =</t>
  </si>
  <si>
    <t>-0,102 * K =</t>
  </si>
  <si>
    <t>E</t>
  </si>
  <si>
    <t>V2c</t>
  </si>
  <si>
    <t>0,077 * q * L² =</t>
  </si>
  <si>
    <t>0,036 * q * L² =</t>
  </si>
  <si>
    <t>-0,107 * q * L² =</t>
  </si>
  <si>
    <t>-0,071 * q * L² =</t>
  </si>
  <si>
    <t>0,393 * q * L =</t>
  </si>
  <si>
    <t>1,143 * q * L =</t>
  </si>
  <si>
    <t>0,929 * q * L =</t>
  </si>
  <si>
    <t>-0,607 * q * L =</t>
  </si>
  <si>
    <t>0,536 * q * L =</t>
  </si>
  <si>
    <t>-0,464 * q * L =</t>
  </si>
  <si>
    <t>0,170 * Q * L =</t>
  </si>
  <si>
    <t>0,116 * Q * L =</t>
  </si>
  <si>
    <t>-0,161 * Q * L =</t>
  </si>
  <si>
    <t>-0,107 * Q * L =</t>
  </si>
  <si>
    <t>0,339 * Q =</t>
  </si>
  <si>
    <t>1,214 * Q =</t>
  </si>
  <si>
    <t>0,892 * Q =</t>
  </si>
  <si>
    <t>-0,661 * Q =</t>
  </si>
  <si>
    <t>0,554 * Q =</t>
  </si>
  <si>
    <t>-0,446 * Q =</t>
  </si>
  <si>
    <t>(0,238 / 0,143) * Q * L =</t>
  </si>
  <si>
    <t>(0,079 / 0,111) * Q * L =</t>
  </si>
  <si>
    <t>-0,286 * Q * L =</t>
  </si>
  <si>
    <t>-0,190 * Q * L =</t>
  </si>
  <si>
    <t>0,714 * Q =</t>
  </si>
  <si>
    <t>2,381 * Q =</t>
  </si>
  <si>
    <t>1,810 * Q =</t>
  </si>
  <si>
    <t>-1,286 * Q =</t>
  </si>
  <si>
    <t>1,095 * Q =</t>
  </si>
  <si>
    <t>-0,905 * Q =</t>
  </si>
  <si>
    <t>-0,104 * K * L =</t>
  </si>
  <si>
    <t>0,056 * K * L =</t>
  </si>
  <si>
    <t>-0,134 * K * L =</t>
  </si>
  <si>
    <t>-0,089 * K * L =</t>
  </si>
  <si>
    <t>0,366 * K =</t>
  </si>
  <si>
    <t>1,179 * K =</t>
  </si>
  <si>
    <t>0,910 * K =</t>
  </si>
  <si>
    <t>-0,634 * K =</t>
  </si>
  <si>
    <t>0,545 * K =</t>
  </si>
  <si>
    <t>-0,455 * K =</t>
  </si>
  <si>
    <t>0,103 * K * L =</t>
  </si>
  <si>
    <t>0,053 * K * L =</t>
  </si>
  <si>
    <t>-0,133 * K * L =</t>
  </si>
  <si>
    <t>-0,088 * K * L =</t>
  </si>
  <si>
    <t>0,367 * K =</t>
  </si>
  <si>
    <t>1,178 * K =</t>
  </si>
  <si>
    <t>-0,633 * K =</t>
  </si>
  <si>
    <t>0,098 * K * L =</t>
  </si>
  <si>
    <t>0,049 * K * L =</t>
  </si>
  <si>
    <t>-0,130 * K * L =</t>
  </si>
  <si>
    <t>-0,086 * K * L =</t>
  </si>
  <si>
    <t>1,174 * K =</t>
  </si>
  <si>
    <t>0,912 * K =</t>
  </si>
  <si>
    <t>-0,630 * K =</t>
  </si>
  <si>
    <t>0,544 * K =</t>
  </si>
  <si>
    <t>-0,456 * K =</t>
  </si>
  <si>
    <t>0,370 * K =</t>
  </si>
  <si>
    <t>Mb=Md</t>
  </si>
  <si>
    <t>0,100 * q * L² =</t>
  </si>
  <si>
    <t>-0,054 * q * L² =</t>
  </si>
  <si>
    <t>-0,036 * q * L² =</t>
  </si>
  <si>
    <t>0,446 * q * L =</t>
  </si>
  <si>
    <t>0,210 * Q * L =</t>
  </si>
  <si>
    <t>-0,067 * Q * L =</t>
  </si>
  <si>
    <t>-0,080 * Q * L =</t>
  </si>
  <si>
    <t>-0,054 * Q * L =</t>
  </si>
  <si>
    <t>0,420 * Q =</t>
  </si>
  <si>
    <t>(0,286 / 0,238) * Q * L =</t>
  </si>
  <si>
    <t>-(0,127/0,111) * Q * L =</t>
  </si>
  <si>
    <t>-0,143 * Q * L =</t>
  </si>
  <si>
    <t>-0,095 * Q * L =</t>
  </si>
  <si>
    <t>0,857 * Q =</t>
  </si>
  <si>
    <t>-0,056 * K * L =</t>
  </si>
  <si>
    <t>-0,067 * K * L =</t>
  </si>
  <si>
    <t>-0,045 * K * L =</t>
  </si>
  <si>
    <t>0,433 * K =</t>
  </si>
  <si>
    <t>0,132 * K * L =</t>
  </si>
  <si>
    <t>-0,055 * K * L =</t>
  </si>
  <si>
    <t>-0,065 * K * L =</t>
  </si>
  <si>
    <t>-0,044 * K * L =</t>
  </si>
  <si>
    <t>0,425 * K =</t>
  </si>
  <si>
    <t>-0,054 * q * L =</t>
  </si>
  <si>
    <t>-0,040 * Q * L =</t>
  </si>
  <si>
    <t>0,183 * Q * L =</t>
  </si>
  <si>
    <t>-0,080 * Q =</t>
  </si>
  <si>
    <t>-(0,048/0,095) * Q * L =</t>
  </si>
  <si>
    <t>(0,206 / 0,222) * Q * L =</t>
  </si>
  <si>
    <t>-0,143 * Q =</t>
  </si>
  <si>
    <t>-0,030 * K * L =</t>
  </si>
  <si>
    <t>0,111 * K * L =</t>
  </si>
  <si>
    <t>-0,067 * K =</t>
  </si>
  <si>
    <t>-0,029 * K * L =</t>
  </si>
  <si>
    <t>-0,065 * K =</t>
  </si>
  <si>
    <t>Md</t>
  </si>
  <si>
    <t>minB</t>
  </si>
  <si>
    <t>maxV1b</t>
  </si>
  <si>
    <t>minV2b</t>
  </si>
  <si>
    <t>-0,121 * q * L² =</t>
  </si>
  <si>
    <t>-0,018 * q * L² =</t>
  </si>
  <si>
    <t>-0,058 * q * L² =</t>
  </si>
  <si>
    <t>1,223 * q * L =</t>
  </si>
  <si>
    <t>-0,621 * q * L =</t>
  </si>
  <si>
    <t>0,603 * q * L =</t>
  </si>
  <si>
    <t>-0,181 * Q * L =</t>
  </si>
  <si>
    <t>-0,027 * Q * L =</t>
  </si>
  <si>
    <t>-0,087 * Q * L =</t>
  </si>
  <si>
    <t>1,335 * Q =</t>
  </si>
  <si>
    <t>-0,681 * Q =</t>
  </si>
  <si>
    <t>0,654 * Q =</t>
  </si>
  <si>
    <t>-0,321 * Q * L =</t>
  </si>
  <si>
    <t>-0,048 * Q * L =</t>
  </si>
  <si>
    <t>-0,155 * Q * L =</t>
  </si>
  <si>
    <t>2,595 * Q =</t>
  </si>
  <si>
    <t>-1,321 * Q =</t>
  </si>
  <si>
    <t>1,274 * Q =</t>
  </si>
  <si>
    <t>-0,023 * K * L =</t>
  </si>
  <si>
    <t>-0,072 * K * L =</t>
  </si>
  <si>
    <t>1,279 * K =</t>
  </si>
  <si>
    <t>0,628 * K =</t>
  </si>
  <si>
    <t>-0,150 * K * L =</t>
  </si>
  <si>
    <t>1,278 * K =</t>
  </si>
  <si>
    <t>-0,650 * K =</t>
  </si>
  <si>
    <t>-0,070 * K * L =</t>
  </si>
  <si>
    <t>1,270 * K =</t>
  </si>
  <si>
    <t>0,013 * q * L² =</t>
  </si>
  <si>
    <t>-0,049 * q * L² =</t>
  </si>
  <si>
    <t>-0,080 * q * L =</t>
  </si>
  <si>
    <t>0,013 * q * L =</t>
  </si>
  <si>
    <t>-0,067 * q * L =</t>
  </si>
  <si>
    <t>0,020 * Q * L =</t>
  </si>
  <si>
    <t>-0,074 * Q * L =</t>
  </si>
  <si>
    <t>-0,121 * Q =</t>
  </si>
  <si>
    <t>0,020 * Q =</t>
  </si>
  <si>
    <t>-0,100 * Q =</t>
  </si>
  <si>
    <t>0,036 * Q * L =</t>
  </si>
  <si>
    <t>-0,131 * Q * L =</t>
  </si>
  <si>
    <t>-0,214 * Q =</t>
  </si>
  <si>
    <t>0,036 * Q =</t>
  </si>
  <si>
    <t>-0,178 * Q =</t>
  </si>
  <si>
    <t>0,017 * K * L =</t>
  </si>
  <si>
    <t>-0,066 * K * L =</t>
  </si>
  <si>
    <t>-0,100 * K =</t>
  </si>
  <si>
    <t>0,017 * K =</t>
  </si>
  <si>
    <t>-0,083 * K =</t>
  </si>
  <si>
    <t>0,083 * K =</t>
  </si>
  <si>
    <t>0,016 * K * L =</t>
  </si>
  <si>
    <t>-0,064 * K * L =</t>
  </si>
  <si>
    <t>-0,060 * K * L =</t>
  </si>
  <si>
    <t>-0,096 * K =</t>
  </si>
  <si>
    <t>0,624 * K =</t>
  </si>
  <si>
    <t>0,016 * K =</t>
  </si>
  <si>
    <t>-0,080 * K =</t>
  </si>
  <si>
    <t>maxMc</t>
  </si>
  <si>
    <t>minC</t>
  </si>
  <si>
    <t>maxV2c</t>
  </si>
  <si>
    <t>minMc</t>
  </si>
  <si>
    <t>maxC</t>
  </si>
  <si>
    <t>-0,571 * q * L =</t>
  </si>
  <si>
    <t>-0,607 * Q =</t>
  </si>
  <si>
    <t>-1,191 * Q =</t>
  </si>
  <si>
    <t>-0,589 * K =</t>
  </si>
  <si>
    <t>1,176 * K =</t>
  </si>
  <si>
    <t>-0,588 * K =</t>
  </si>
  <si>
    <t>1,172 * K =</t>
  </si>
  <si>
    <t>0,586 * K =</t>
  </si>
  <si>
    <t>-0,214 * q * L =</t>
  </si>
  <si>
    <t>0,107 * q * L =</t>
  </si>
  <si>
    <t>0,054 * Q * L =</t>
  </si>
  <si>
    <t>-0,321 * Q =</t>
  </si>
  <si>
    <t>0,161 * Q =</t>
  </si>
  <si>
    <t>0,095 * Q * L =</t>
  </si>
  <si>
    <t>-0,571 * Q =</t>
  </si>
  <si>
    <t>0,286 * Q =</t>
  </si>
  <si>
    <t>-0,268 * K =</t>
  </si>
  <si>
    <t>0,134 * K =</t>
  </si>
  <si>
    <t>0,045 * K * L =</t>
  </si>
  <si>
    <t>-0,266 * K =</t>
  </si>
  <si>
    <t>0,133 * K =</t>
  </si>
  <si>
    <t>-0,260 * K =</t>
  </si>
  <si>
    <t>0,044 * K * L =</t>
  </si>
  <si>
    <t>F</t>
  </si>
  <si>
    <t>M3</t>
  </si>
  <si>
    <t>v1b</t>
  </si>
  <si>
    <t>v2b</t>
  </si>
  <si>
    <t>v2c</t>
  </si>
  <si>
    <t>v3c</t>
  </si>
  <si>
    <t>0,078 * q * L² =</t>
  </si>
  <si>
    <t>0,033 * q * L² =</t>
  </si>
  <si>
    <t>0,046 * q * L² =</t>
  </si>
  <si>
    <t>-0,105 * q * L² =</t>
  </si>
  <si>
    <t>-0,079 * q * L² =</t>
  </si>
  <si>
    <t>0,395 * q * L =</t>
  </si>
  <si>
    <t>1,132 * q * L =</t>
  </si>
  <si>
    <t>0,974 * q * L =</t>
  </si>
  <si>
    <t>-0,605 * q * L =</t>
  </si>
  <si>
    <t>0,526 * q * L =</t>
  </si>
  <si>
    <t>-0,474 * q * L =</t>
  </si>
  <si>
    <t>0,171 * Q * L =</t>
  </si>
  <si>
    <t>0,112 * Q * L =</t>
  </si>
  <si>
    <t>0,132 * Q * L =</t>
  </si>
  <si>
    <t>-0,158 * Q * L =</t>
  </si>
  <si>
    <t>-0,118 * Q * L =</t>
  </si>
  <si>
    <t>0,342 * Q =</t>
  </si>
  <si>
    <t>1,197 * Q =</t>
  </si>
  <si>
    <t>0,960 * Q =</t>
  </si>
  <si>
    <t>-0,658 * Q =</t>
  </si>
  <si>
    <t>0,540 * Q =</t>
  </si>
  <si>
    <t>-0,460 * Q =</t>
  </si>
  <si>
    <t>(0,240 / 0,146) * Q * L =</t>
  </si>
  <si>
    <t>(0,076 / 0,099) * Q * L =</t>
  </si>
  <si>
    <t>0,123 * Q * L =</t>
  </si>
  <si>
    <t>-0,281 * Q * L =</t>
  </si>
  <si>
    <t>-0,211 * Q * L =</t>
  </si>
  <si>
    <t>0,719 * Q =</t>
  </si>
  <si>
    <t>2,351 * Q =</t>
  </si>
  <si>
    <t>1,930 * Q =</t>
  </si>
  <si>
    <t>-1,281 * Q =</t>
  </si>
  <si>
    <t>1,070 * Q =</t>
  </si>
  <si>
    <t>-0,930 * Q =</t>
  </si>
  <si>
    <t>0,106 * K * L =</t>
  </si>
  <si>
    <t>0,052 * K * L =</t>
  </si>
  <si>
    <t>0,068 * K * L =</t>
  </si>
  <si>
    <t>-0,131 * K * L =</t>
  </si>
  <si>
    <t>-0,099 * K * L =</t>
  </si>
  <si>
    <t>0,369 * K =</t>
  </si>
  <si>
    <t>1,163 * K =</t>
  </si>
  <si>
    <t>0,968 * K =</t>
  </si>
  <si>
    <t>-0,631 * K =</t>
  </si>
  <si>
    <t>0,532 * K =</t>
  </si>
  <si>
    <t>-0,468 * K =</t>
  </si>
  <si>
    <t>0,050 * K * L =</t>
  </si>
  <si>
    <t>0,066 * K * L =</t>
  </si>
  <si>
    <t>-0,098 * K * L =</t>
  </si>
  <si>
    <t>1,162 * K =</t>
  </si>
  <si>
    <t>0,099 * K * L =</t>
  </si>
  <si>
    <t>0,046 * K * L =</t>
  </si>
  <si>
    <t>0,061 * K * L =</t>
  </si>
  <si>
    <t>-0,127 * K * L =</t>
  </si>
  <si>
    <t>-0,096 * K * L =</t>
  </si>
  <si>
    <t>0,373 * K =</t>
  </si>
  <si>
    <t>1,158 * K =</t>
  </si>
  <si>
    <t>0,969 * K =</t>
  </si>
  <si>
    <t>-0,627 * K =</t>
  </si>
  <si>
    <t>-0,469 * K =</t>
  </si>
  <si>
    <t>maxM3</t>
  </si>
  <si>
    <t>0,086 * q * L² =</t>
  </si>
  <si>
    <t>-0,053 * q * L² =</t>
  </si>
  <si>
    <t>-0,039 * q * L² =</t>
  </si>
  <si>
    <t>0,447 * q * L =</t>
  </si>
  <si>
    <t>0,211 * Q * L =</t>
  </si>
  <si>
    <t>-0,069 * Q * L =</t>
  </si>
  <si>
    <t>0,191 * Q * L =</t>
  </si>
  <si>
    <t>-0,079 * Q * L =</t>
  </si>
  <si>
    <t>-0,059 * Q * L =</t>
  </si>
  <si>
    <t>0,421 * Q =</t>
  </si>
  <si>
    <t>(0,287 / 0,240) * Q * L =</t>
  </si>
  <si>
    <t>-(0,129/0,117) * Q * L =</t>
  </si>
  <si>
    <t>0,228 * Q * L =</t>
  </si>
  <si>
    <t>-0,140 * Q * L =</t>
  </si>
  <si>
    <t>-0,105 * Q * L =</t>
  </si>
  <si>
    <t>0,860 * Q =</t>
  </si>
  <si>
    <t>0,135 * K * L =</t>
  </si>
  <si>
    <t>-0,058 * K * L =</t>
  </si>
  <si>
    <t>0,117 * K * L =</t>
  </si>
  <si>
    <t>-0,050 * K * L =</t>
  </si>
  <si>
    <t>0,434 * K =</t>
  </si>
  <si>
    <t>0,114 * K * L =</t>
  </si>
  <si>
    <t>0,109 * K * L =</t>
  </si>
  <si>
    <t>-0,048 * K * L =</t>
  </si>
  <si>
    <t>0,436 * K =</t>
  </si>
  <si>
    <t>minM3</t>
  </si>
  <si>
    <t>0,079 * q * L² =</t>
  </si>
  <si>
    <t>-0,053 * q * L =</t>
  </si>
  <si>
    <t>-0,039 * Q * L =</t>
  </si>
  <si>
    <t>0,181 * Q * L =</t>
  </si>
  <si>
    <t>-0,079 * Q =</t>
  </si>
  <si>
    <t>-(0,047/0,094) * Q * L =</t>
  </si>
  <si>
    <t>(0,205 / 0,216) * Q * L =</t>
  </si>
  <si>
    <t>-0,140 * Q =</t>
  </si>
  <si>
    <t>-0,066 * K =</t>
  </si>
  <si>
    <t>0,101 * K * L =</t>
  </si>
  <si>
    <t>-0,064 * K =</t>
  </si>
  <si>
    <t>Me</t>
  </si>
  <si>
    <t>-0,120 * q * L² =</t>
  </si>
  <si>
    <t>-0,022 * q * L² =</t>
  </si>
  <si>
    <t>-0,044 * q * L² =</t>
  </si>
  <si>
    <t>-0,051 * q * L² =</t>
  </si>
  <si>
    <t>1,218 * q * L =</t>
  </si>
  <si>
    <t>-0,620 * q * L =</t>
  </si>
  <si>
    <t>0,598 * q * L =</t>
  </si>
  <si>
    <t>-0,179 * Q * L =</t>
  </si>
  <si>
    <t>-0,032 * Q * L =</t>
  </si>
  <si>
    <t>-0,066 * Q * L =</t>
  </si>
  <si>
    <t>-0,077 * Q * L =</t>
  </si>
  <si>
    <t>1,327 * Q =</t>
  </si>
  <si>
    <t>-0,679 * Q =</t>
  </si>
  <si>
    <t>0,647 * Q =</t>
  </si>
  <si>
    <t>-0,319 * Q * L =</t>
  </si>
  <si>
    <t>-0,057 * Q * L =</t>
  </si>
  <si>
    <t>-0,137 * Q * L =</t>
  </si>
  <si>
    <t>2,581 * Q =</t>
  </si>
  <si>
    <t>-1,319 * Q =</t>
  </si>
  <si>
    <t>1,262 * Q =</t>
  </si>
  <si>
    <t>-0,149 * K * L =</t>
  </si>
  <si>
    <t>1,271 * K =</t>
  </si>
  <si>
    <t>-0,649 * K =</t>
  </si>
  <si>
    <t>0,622 * K =</t>
  </si>
  <si>
    <t>-0,148 * K * L =</t>
  </si>
  <si>
    <t>1,269 * K =</t>
  </si>
  <si>
    <t>-0,648 * K =</t>
  </si>
  <si>
    <t>0,621 * K =</t>
  </si>
  <si>
    <t>-0,144 * K * L =</t>
  </si>
  <si>
    <t>-0,053 * K * L =</t>
  </si>
  <si>
    <t>1,261 * K =</t>
  </si>
  <si>
    <t>-0,644 * K =</t>
  </si>
  <si>
    <t>0,617 * K =</t>
  </si>
  <si>
    <t>0,014 * q * L² =</t>
  </si>
  <si>
    <t>-0,057 * q * L² =</t>
  </si>
  <si>
    <t>-0,035 * q * L² =</t>
  </si>
  <si>
    <t>-0,086 * q * L =</t>
  </si>
  <si>
    <t>0,014 * q * L =</t>
  </si>
  <si>
    <t>-0,072 * q * L =</t>
  </si>
  <si>
    <t>0,022 * Q * L =</t>
  </si>
  <si>
    <t>-0,086 * Q * L =</t>
  </si>
  <si>
    <t>-0,052 * Q * L =</t>
  </si>
  <si>
    <t>-0,081 * Q * L =</t>
  </si>
  <si>
    <t>-0,129 * Q =</t>
  </si>
  <si>
    <t>0,022 * Q =</t>
  </si>
  <si>
    <t>-0,108 * Q =</t>
  </si>
  <si>
    <t>0,038 * Q * L =</t>
  </si>
  <si>
    <t>-0,153 * Q * L =</t>
  </si>
  <si>
    <t>-0,093 * Q * L =</t>
  </si>
  <si>
    <t>-0,144 * Q * L =</t>
  </si>
  <si>
    <t>-0,230 * Q =</t>
  </si>
  <si>
    <t>0,038 * Q =</t>
  </si>
  <si>
    <t>-0,191 * Q =</t>
  </si>
  <si>
    <t>0,018 * K * L =</t>
  </si>
  <si>
    <t>-0,090 * K =</t>
  </si>
  <si>
    <t>0,018 * K =</t>
  </si>
  <si>
    <t>-0,108 * K =</t>
  </si>
  <si>
    <t>-0,071 * K * L =</t>
  </si>
  <si>
    <t>-0,043 * K * L =</t>
  </si>
  <si>
    <t>-0,089 * K =</t>
  </si>
  <si>
    <t>-0,069 * K * L =</t>
  </si>
  <si>
    <t>-0,103 * K =</t>
  </si>
  <si>
    <t>-0,086 * K =</t>
  </si>
  <si>
    <t>minV2c</t>
  </si>
  <si>
    <t>maxV3c</t>
  </si>
  <si>
    <t>-0,111 * q * L² =</t>
  </si>
  <si>
    <t>-0,020 * q * L² =</t>
  </si>
  <si>
    <t>1,167 * q * L =</t>
  </si>
  <si>
    <t>-0,576 * q * L =</t>
  </si>
  <si>
    <t>0,591 * q * L =</t>
  </si>
  <si>
    <t>-0,031 * Q * L =</t>
  </si>
  <si>
    <t>1,251 * Q =</t>
  </si>
  <si>
    <t>-0,615 * Q =</t>
  </si>
  <si>
    <t>0,636 * Q =</t>
  </si>
  <si>
    <t>-0,297 * Q * L =</t>
  </si>
  <si>
    <t>2,447 * Q =</t>
  </si>
  <si>
    <t>-1,204 * Q =</t>
  </si>
  <si>
    <t>1,242 * Q =</t>
  </si>
  <si>
    <t>-0,139 * K * L =</t>
  </si>
  <si>
    <t>-0,025 * K * L =</t>
  </si>
  <si>
    <t>1,209 * K =</t>
  </si>
  <si>
    <t>-0,595 * K =</t>
  </si>
  <si>
    <t>0,614 * K =</t>
  </si>
  <si>
    <t>-0,138 * K * L =</t>
  </si>
  <si>
    <t>1,208 * K =</t>
  </si>
  <si>
    <t>0,613 * K =</t>
  </si>
  <si>
    <t>-0,042 * K * L =</t>
  </si>
  <si>
    <t>-0,024 * K * L =</t>
  </si>
  <si>
    <t>1,202 * K =</t>
  </si>
  <si>
    <t>-0,592 * K =</t>
  </si>
  <si>
    <t>0,610 * K =</t>
  </si>
  <si>
    <t>minV3c</t>
  </si>
  <si>
    <t>0,032 * q * L² =</t>
  </si>
  <si>
    <t>-0,059 * q * L² =</t>
  </si>
  <si>
    <t>-0,048 * q * L² =</t>
  </si>
  <si>
    <t>-0,194 * q * L =</t>
  </si>
  <si>
    <t>0,103 * q * L =</t>
  </si>
  <si>
    <t>-0,091 * q * L =</t>
  </si>
  <si>
    <t>-0,106 * Q * L =</t>
  </si>
  <si>
    <t>0,048 * Q * L =</t>
  </si>
  <si>
    <t>-0,088 * Q * L =</t>
  </si>
  <si>
    <t>-0,072 * Q * L =</t>
  </si>
  <si>
    <t>-0,291 * Q =</t>
  </si>
  <si>
    <t>0,154 * Q =</t>
  </si>
  <si>
    <t>-0,136 * Q =</t>
  </si>
  <si>
    <t>0,086 * Q * L =</t>
  </si>
  <si>
    <t>-0,156 * Q * L =</t>
  </si>
  <si>
    <t>-0,128 * Q * L =</t>
  </si>
  <si>
    <t>-0,517 * Q =</t>
  </si>
  <si>
    <t>0,274 * Q =</t>
  </si>
  <si>
    <t>-0,242 * Q =</t>
  </si>
  <si>
    <t>-0,087 * K * L =</t>
  </si>
  <si>
    <t>-0,074 * K * L =</t>
  </si>
  <si>
    <t>-0,241 * K =</t>
  </si>
  <si>
    <t>0,127 * K =</t>
  </si>
  <si>
    <t>-0,114 * K =</t>
  </si>
  <si>
    <t>-0,073 * K * L =</t>
  </si>
  <si>
    <t>-0,059 * K * L =</t>
  </si>
  <si>
    <t>-0,240 * K =</t>
  </si>
  <si>
    <t>-0,113 * K =</t>
  </si>
  <si>
    <t>-0,085 * K * L =</t>
  </si>
  <si>
    <t>0,038 * K * L =</t>
  </si>
  <si>
    <t>-0,233 * K =</t>
  </si>
  <si>
    <t>0,123 * K =</t>
  </si>
  <si>
    <t>-0,110 * K =</t>
  </si>
  <si>
    <t>J</t>
  </si>
  <si>
    <t>K</t>
  </si>
  <si>
    <t>M</t>
  </si>
  <si>
    <t>N</t>
  </si>
  <si>
    <t>MI=MK=ML=MM</t>
  </si>
  <si>
    <t>Maçıklık</t>
  </si>
  <si>
    <t>V</t>
  </si>
  <si>
    <t>mesnet tepkisi</t>
  </si>
  <si>
    <t>-0,083 * q * L² =</t>
  </si>
  <si>
    <t>0,042 * q * L² =</t>
  </si>
  <si>
    <t>1,000 * q * L =</t>
  </si>
  <si>
    <t>-0,125 * Q * L =</t>
  </si>
  <si>
    <t>0,125 * Q * L =</t>
  </si>
  <si>
    <t>-0,222 * Q * L =</t>
  </si>
  <si>
    <t>0,111 * Q * L =</t>
  </si>
  <si>
    <t>2,000 * Q =</t>
  </si>
  <si>
    <t>0,062 * K * L =</t>
  </si>
  <si>
    <t>1,000 * K =</t>
  </si>
  <si>
    <t>-0,103 * K * L =</t>
  </si>
  <si>
    <t>0,060 * K * L =</t>
  </si>
  <si>
    <t>-0,101 * K * L =</t>
  </si>
  <si>
    <t>0,057 * K * L =</t>
  </si>
  <si>
    <t>Maçıklık25</t>
  </si>
  <si>
    <t>Maçıklık25;27</t>
  </si>
  <si>
    <t>-0,042 * q * L² =</t>
  </si>
  <si>
    <t>0,083 * q * L² =</t>
  </si>
  <si>
    <t>-0,063 * Q * L =</t>
  </si>
  <si>
    <t>0,188 * Q * L =</t>
  </si>
  <si>
    <t>-0,111 * Q * L =</t>
  </si>
  <si>
    <t>0,222 * Q * L =</t>
  </si>
  <si>
    <t>-0,052 * K * L =</t>
  </si>
  <si>
    <t>0,115 * K * L =</t>
  </si>
  <si>
    <t>0,112 * K * L =</t>
  </si>
  <si>
    <t>-0,051 * K * L =</t>
  </si>
  <si>
    <t>mesnet tepkisi L</t>
  </si>
  <si>
    <t>ML</t>
  </si>
  <si>
    <t>MK=MM</t>
  </si>
  <si>
    <t>-0,114 * q * L² =</t>
  </si>
  <si>
    <t>1,184 * q * L =</t>
  </si>
  <si>
    <t>-0,171 * Q * L =</t>
  </si>
  <si>
    <t>-0,034 * Q * L =</t>
  </si>
  <si>
    <t>-0,304 * Q * L =</t>
  </si>
  <si>
    <t>-0,060 * Q * L =</t>
  </si>
  <si>
    <t>2,488 * Q =</t>
  </si>
  <si>
    <t>1,229 * K =</t>
  </si>
  <si>
    <t>-0,141 * K * L =</t>
  </si>
  <si>
    <t>1,227 * K =</t>
  </si>
  <si>
    <t>-0,137 * K * L =</t>
  </si>
  <si>
    <t>1,221 * K =</t>
  </si>
  <si>
    <t>MK=ML</t>
  </si>
  <si>
    <t>ML=MM</t>
  </si>
  <si>
    <t>0,071 * q * L² =</t>
  </si>
  <si>
    <t>0,021 * Q * L =</t>
  </si>
  <si>
    <t>-0,141 * Q * L =</t>
  </si>
  <si>
    <t>0,192 * Q * L =</t>
  </si>
  <si>
    <t>0,037 * Q * L =</t>
  </si>
  <si>
    <t>0,093 * K * L =</t>
  </si>
  <si>
    <t>dikkat sadece sarı hücrelere rakam giriniz.</t>
  </si>
  <si>
    <t>1,312 * K =</t>
  </si>
  <si>
    <t>0,130 * K =</t>
  </si>
  <si>
    <t>0,531 * K =</t>
  </si>
  <si>
    <t xml:space="preserve">  0,4*L</t>
  </si>
  <si>
    <t xml:space="preserve"> 0,4*L</t>
  </si>
  <si>
    <t xml:space="preserve"> 0,2*L</t>
  </si>
  <si>
    <t xml:space="preserve">  0,3*L</t>
  </si>
  <si>
    <t xml:space="preserve"> 0,3*L</t>
  </si>
  <si>
    <t xml:space="preserve">       ------------------</t>
  </si>
  <si>
    <t>2  ADET EŞİT AÇIKLIK</t>
  </si>
  <si>
    <t>3  ADET EŞİT AÇIKLIK</t>
  </si>
  <si>
    <t>4  ADET EŞİT AÇIKLIK</t>
  </si>
  <si>
    <t>5  ADET EŞİT AÇIKLIK</t>
  </si>
  <si>
    <t>SONSUZ ORTA AÇIKLIK</t>
  </si>
  <si>
    <r>
      <t>EŞİT AÇIKLIKLI SÜREKLİ KİRİŞLERİN ELVERİŞSİZ YÜKLEME DURUMLARINA GÖRE AÇIKLIK VE MESNET TEPKİLERİ</t>
    </r>
    <r>
      <rPr>
        <b/>
        <sz val="18"/>
        <color indexed="16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16"/>
        <rFont val="Arial"/>
        <family val="2"/>
      </rPr>
      <t>(inş.müh. Gürcan BERBEROĞLU tel: 0532 366 02 04   www.betoncelik.com )</t>
    </r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</si>
</sst>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  <numFmt numFmtId="165" formatCode="#,##0.000"/>
  </numFmts>
  <fonts count="7">
    <font>
      <sz val="10"/>
      <name val="Arial"/>
      <family val="0"/>
    </font>
    <font>
      <sz val="8"/>
      <name val="Arial"/>
      <family val="0"/>
    </font>
    <font>
      <b/>
      <sz val="18"/>
      <color indexed="16"/>
      <name val="Arial"/>
      <family val="2"/>
    </font>
    <font>
      <b/>
      <sz val="8"/>
      <color indexed="16"/>
      <name val="Arial"/>
      <family val="2"/>
    </font>
    <font>
      <b/>
      <sz val="16"/>
      <color indexed="16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lightVertical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6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Border="1" applyAlignment="1" applyProtection="1">
      <alignment vertical="center"/>
      <protection hidden="1"/>
    </xf>
    <xf numFmtId="165" fontId="1" fillId="0" borderId="5" xfId="0" applyNumberFormat="1" applyFont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165" fontId="1" fillId="0" borderId="15" xfId="0" applyNumberFormat="1" applyFont="1" applyBorder="1" applyAlignment="1" applyProtection="1">
      <alignment horizontal="center" vertical="center"/>
      <protection hidden="1"/>
    </xf>
    <xf numFmtId="165" fontId="1" fillId="0" borderId="16" xfId="0" applyNumberFormat="1" applyFont="1" applyBorder="1" applyAlignment="1" applyProtection="1">
      <alignment horizontal="center" vertical="center"/>
      <protection hidden="1"/>
    </xf>
    <xf numFmtId="165" fontId="1" fillId="0" borderId="15" xfId="0" applyNumberFormat="1" applyFont="1" applyBorder="1" applyAlignment="1" applyProtection="1">
      <alignment vertical="center"/>
      <protection hidden="1"/>
    </xf>
    <xf numFmtId="165" fontId="1" fillId="0" borderId="16" xfId="0" applyNumberFormat="1" applyFont="1" applyBorder="1" applyAlignment="1" applyProtection="1">
      <alignment vertical="center"/>
      <protection hidden="1"/>
    </xf>
    <xf numFmtId="165" fontId="1" fillId="0" borderId="0" xfId="0" applyNumberFormat="1" applyFont="1" applyBorder="1" applyAlignment="1" applyProtection="1">
      <alignment vertical="center"/>
      <protection hidden="1"/>
    </xf>
    <xf numFmtId="165" fontId="1" fillId="0" borderId="5" xfId="0" applyNumberFormat="1" applyFont="1" applyBorder="1" applyAlignment="1" applyProtection="1">
      <alignment vertical="center"/>
      <protection hidden="1"/>
    </xf>
    <xf numFmtId="0" fontId="1" fillId="0" borderId="17" xfId="0" applyFont="1" applyFill="1" applyBorder="1" applyAlignment="1" applyProtection="1">
      <alignment vertical="center"/>
      <protection hidden="1"/>
    </xf>
    <xf numFmtId="165" fontId="1" fillId="0" borderId="2" xfId="0" applyNumberFormat="1" applyFont="1" applyBorder="1" applyAlignment="1" applyProtection="1">
      <alignment horizontal="center" vertical="center"/>
      <protection hidden="1"/>
    </xf>
    <xf numFmtId="165" fontId="1" fillId="0" borderId="3" xfId="0" applyNumberFormat="1" applyFont="1" applyBorder="1" applyAlignment="1" applyProtection="1">
      <alignment horizontal="center" vertical="center"/>
      <protection hidden="1"/>
    </xf>
    <xf numFmtId="165" fontId="1" fillId="0" borderId="2" xfId="0" applyNumberFormat="1" applyFont="1" applyBorder="1" applyAlignment="1" applyProtection="1">
      <alignment vertical="center"/>
      <protection hidden="1"/>
    </xf>
    <xf numFmtId="165" fontId="1" fillId="0" borderId="3" xfId="0" applyNumberFormat="1" applyFont="1" applyBorder="1" applyAlignment="1" applyProtection="1">
      <alignment vertical="center"/>
      <protection hidden="1"/>
    </xf>
    <xf numFmtId="0" fontId="1" fillId="3" borderId="17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 quotePrefix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1" fillId="0" borderId="23" xfId="0" applyFont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165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locked="0"/>
    </xf>
    <xf numFmtId="165" fontId="1" fillId="0" borderId="9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 quotePrefix="1">
      <alignment horizontal="center" vertical="center"/>
      <protection hidden="1"/>
    </xf>
    <xf numFmtId="0" fontId="4" fillId="5" borderId="15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textRotation="90"/>
      <protection hidden="1"/>
    </xf>
    <xf numFmtId="0" fontId="6" fillId="0" borderId="25" xfId="0" applyFont="1" applyBorder="1" applyAlignment="1" applyProtection="1">
      <alignment horizontal="center" vertical="center" textRotation="90"/>
      <protection hidden="1"/>
    </xf>
    <xf numFmtId="0" fontId="6" fillId="0" borderId="26" xfId="0" applyFont="1" applyBorder="1" applyAlignment="1" applyProtection="1">
      <alignment horizontal="center" vertical="center" textRotation="90"/>
      <protection hidden="1"/>
    </xf>
    <xf numFmtId="0" fontId="6" fillId="0" borderId="27" xfId="0" applyFont="1" applyBorder="1" applyAlignment="1" applyProtection="1">
      <alignment horizontal="center" vertical="center" textRotation="90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13</xdr:row>
      <xdr:rowOff>0</xdr:rowOff>
    </xdr:from>
    <xdr:to>
      <xdr:col>12</xdr:col>
      <xdr:colOff>57150</xdr:colOff>
      <xdr:row>13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124075" y="22383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13</xdr:row>
      <xdr:rowOff>0</xdr:rowOff>
    </xdr:from>
    <xdr:to>
      <xdr:col>15</xdr:col>
      <xdr:colOff>57150</xdr:colOff>
      <xdr:row>13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667000" y="22383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13</xdr:row>
      <xdr:rowOff>9525</xdr:rowOff>
    </xdr:from>
    <xdr:to>
      <xdr:col>18</xdr:col>
      <xdr:colOff>57150</xdr:colOff>
      <xdr:row>13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209925" y="224790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19050</xdr:rowOff>
    </xdr:from>
    <xdr:to>
      <xdr:col>12</xdr:col>
      <xdr:colOff>0</xdr:colOff>
      <xdr:row>16</xdr:row>
      <xdr:rowOff>47625</xdr:rowOff>
    </xdr:to>
    <xdr:sp>
      <xdr:nvSpPr>
        <xdr:cNvPr id="4" name="Line 4"/>
        <xdr:cNvSpPr>
          <a:spLocks/>
        </xdr:cNvSpPr>
      </xdr:nvSpPr>
      <xdr:spPr>
        <a:xfrm>
          <a:off x="2171700" y="25622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16</xdr:row>
      <xdr:rowOff>0</xdr:rowOff>
    </xdr:from>
    <xdr:to>
      <xdr:col>18</xdr:col>
      <xdr:colOff>57150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2133600" y="26860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28575</xdr:rowOff>
    </xdr:from>
    <xdr:to>
      <xdr:col>18</xdr:col>
      <xdr:colOff>0</xdr:colOff>
      <xdr:row>16</xdr:row>
      <xdr:rowOff>47625</xdr:rowOff>
    </xdr:to>
    <xdr:sp>
      <xdr:nvSpPr>
        <xdr:cNvPr id="6" name="Line 6"/>
        <xdr:cNvSpPr>
          <a:spLocks/>
        </xdr:cNvSpPr>
      </xdr:nvSpPr>
      <xdr:spPr>
        <a:xfrm>
          <a:off x="3257550" y="2571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15</xdr:row>
      <xdr:rowOff>114300</xdr:rowOff>
    </xdr:from>
    <xdr:to>
      <xdr:col>12</xdr:col>
      <xdr:colOff>28575</xdr:colOff>
      <xdr:row>16</xdr:row>
      <xdr:rowOff>28575</xdr:rowOff>
    </xdr:to>
    <xdr:sp>
      <xdr:nvSpPr>
        <xdr:cNvPr id="7" name="Line 7"/>
        <xdr:cNvSpPr>
          <a:spLocks/>
        </xdr:cNvSpPr>
      </xdr:nvSpPr>
      <xdr:spPr>
        <a:xfrm flipH="1">
          <a:off x="2143125" y="265747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15</xdr:row>
      <xdr:rowOff>114300</xdr:rowOff>
    </xdr:from>
    <xdr:to>
      <xdr:col>18</xdr:col>
      <xdr:colOff>28575</xdr:colOff>
      <xdr:row>16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3228975" y="265747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28575</xdr:rowOff>
    </xdr:from>
    <xdr:to>
      <xdr:col>15</xdr:col>
      <xdr:colOff>0</xdr:colOff>
      <xdr:row>16</xdr:row>
      <xdr:rowOff>38100</xdr:rowOff>
    </xdr:to>
    <xdr:sp>
      <xdr:nvSpPr>
        <xdr:cNvPr id="9" name="Line 9"/>
        <xdr:cNvSpPr>
          <a:spLocks/>
        </xdr:cNvSpPr>
      </xdr:nvSpPr>
      <xdr:spPr>
        <a:xfrm>
          <a:off x="2714625" y="2571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15</xdr:row>
      <xdr:rowOff>123825</xdr:rowOff>
    </xdr:from>
    <xdr:to>
      <xdr:col>15</xdr:col>
      <xdr:colOff>19050</xdr:colOff>
      <xdr:row>16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26670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4</xdr:row>
      <xdr:rowOff>0</xdr:rowOff>
    </xdr:from>
    <xdr:to>
      <xdr:col>27</xdr:col>
      <xdr:colOff>57150</xdr:colOff>
      <xdr:row>4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4838700" y="9334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133350</xdr:colOff>
      <xdr:row>4</xdr:row>
      <xdr:rowOff>0</xdr:rowOff>
    </xdr:from>
    <xdr:to>
      <xdr:col>31</xdr:col>
      <xdr:colOff>57150</xdr:colOff>
      <xdr:row>4</xdr:row>
      <xdr:rowOff>104775</xdr:rowOff>
    </xdr:to>
    <xdr:sp>
      <xdr:nvSpPr>
        <xdr:cNvPr id="12" name="AutoShape 12"/>
        <xdr:cNvSpPr>
          <a:spLocks/>
        </xdr:cNvSpPr>
      </xdr:nvSpPr>
      <xdr:spPr>
        <a:xfrm>
          <a:off x="5562600" y="9334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19050</xdr:rowOff>
    </xdr:from>
    <xdr:to>
      <xdr:col>27</xdr:col>
      <xdr:colOff>0</xdr:colOff>
      <xdr:row>7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4886325" y="1238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6</xdr:row>
      <xdr:rowOff>114300</xdr:rowOff>
    </xdr:from>
    <xdr:to>
      <xdr:col>27</xdr:col>
      <xdr:colOff>28575</xdr:colOff>
      <xdr:row>7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4857750" y="133350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28575</xdr:rowOff>
    </xdr:from>
    <xdr:to>
      <xdr:col>31</xdr:col>
      <xdr:colOff>0</xdr:colOff>
      <xdr:row>7</xdr:row>
      <xdr:rowOff>38100</xdr:rowOff>
    </xdr:to>
    <xdr:sp>
      <xdr:nvSpPr>
        <xdr:cNvPr id="15" name="Line 15"/>
        <xdr:cNvSpPr>
          <a:spLocks/>
        </xdr:cNvSpPr>
      </xdr:nvSpPr>
      <xdr:spPr>
        <a:xfrm>
          <a:off x="5610225" y="1247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6</xdr:row>
      <xdr:rowOff>123825</xdr:rowOff>
    </xdr:from>
    <xdr:to>
      <xdr:col>31</xdr:col>
      <xdr:colOff>19050</xdr:colOff>
      <xdr:row>7</xdr:row>
      <xdr:rowOff>28575</xdr:rowOff>
    </xdr:to>
    <xdr:sp>
      <xdr:nvSpPr>
        <xdr:cNvPr id="16" name="Line 16"/>
        <xdr:cNvSpPr>
          <a:spLocks/>
        </xdr:cNvSpPr>
      </xdr:nvSpPr>
      <xdr:spPr>
        <a:xfrm flipH="1">
          <a:off x="5581650" y="134302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7</xdr:row>
      <xdr:rowOff>0</xdr:rowOff>
    </xdr:from>
    <xdr:to>
      <xdr:col>31</xdr:col>
      <xdr:colOff>38100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4838700" y="13620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</xdr:colOff>
      <xdr:row>2</xdr:row>
      <xdr:rowOff>9525</xdr:rowOff>
    </xdr:from>
    <xdr:to>
      <xdr:col>29</xdr:col>
      <xdr:colOff>104775</xdr:colOff>
      <xdr:row>3</xdr:row>
      <xdr:rowOff>38100</xdr:rowOff>
    </xdr:to>
    <xdr:sp>
      <xdr:nvSpPr>
        <xdr:cNvPr id="18" name="Line 18"/>
        <xdr:cNvSpPr>
          <a:spLocks/>
        </xdr:cNvSpPr>
      </xdr:nvSpPr>
      <xdr:spPr>
        <a:xfrm flipV="1">
          <a:off x="5267325" y="647700"/>
          <a:ext cx="857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133350</xdr:colOff>
      <xdr:row>4</xdr:row>
      <xdr:rowOff>0</xdr:rowOff>
    </xdr:from>
    <xdr:to>
      <xdr:col>35</xdr:col>
      <xdr:colOff>57150</xdr:colOff>
      <xdr:row>4</xdr:row>
      <xdr:rowOff>104775</xdr:rowOff>
    </xdr:to>
    <xdr:sp>
      <xdr:nvSpPr>
        <xdr:cNvPr id="19" name="AutoShape 19"/>
        <xdr:cNvSpPr>
          <a:spLocks/>
        </xdr:cNvSpPr>
      </xdr:nvSpPr>
      <xdr:spPr>
        <a:xfrm>
          <a:off x="6286500" y="9334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133350</xdr:colOff>
      <xdr:row>4</xdr:row>
      <xdr:rowOff>0</xdr:rowOff>
    </xdr:from>
    <xdr:to>
      <xdr:col>39</xdr:col>
      <xdr:colOff>57150</xdr:colOff>
      <xdr:row>4</xdr:row>
      <xdr:rowOff>104775</xdr:rowOff>
    </xdr:to>
    <xdr:sp>
      <xdr:nvSpPr>
        <xdr:cNvPr id="20" name="AutoShape 20"/>
        <xdr:cNvSpPr>
          <a:spLocks/>
        </xdr:cNvSpPr>
      </xdr:nvSpPr>
      <xdr:spPr>
        <a:xfrm>
          <a:off x="7010400" y="9334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39</xdr:col>
      <xdr:colOff>9525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334125" y="933450"/>
          <a:ext cx="733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</xdr:row>
      <xdr:rowOff>0</xdr:rowOff>
    </xdr:from>
    <xdr:to>
      <xdr:col>37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6696075" y="638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5</xdr:row>
      <xdr:rowOff>9525</xdr:rowOff>
    </xdr:from>
    <xdr:to>
      <xdr:col>35</xdr:col>
      <xdr:colOff>0</xdr:colOff>
      <xdr:row>8</xdr:row>
      <xdr:rowOff>47625</xdr:rowOff>
    </xdr:to>
    <xdr:sp>
      <xdr:nvSpPr>
        <xdr:cNvPr id="23" name="Line 23"/>
        <xdr:cNvSpPr>
          <a:spLocks/>
        </xdr:cNvSpPr>
      </xdr:nvSpPr>
      <xdr:spPr>
        <a:xfrm>
          <a:off x="6334125" y="10858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7</xdr:row>
      <xdr:rowOff>114300</xdr:rowOff>
    </xdr:from>
    <xdr:to>
      <xdr:col>35</xdr:col>
      <xdr:colOff>28575</xdr:colOff>
      <xdr:row>8</xdr:row>
      <xdr:rowOff>28575</xdr:rowOff>
    </xdr:to>
    <xdr:sp>
      <xdr:nvSpPr>
        <xdr:cNvPr id="24" name="Line 24"/>
        <xdr:cNvSpPr>
          <a:spLocks/>
        </xdr:cNvSpPr>
      </xdr:nvSpPr>
      <xdr:spPr>
        <a:xfrm flipH="1">
          <a:off x="6305550" y="147637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5</xdr:row>
      <xdr:rowOff>19050</xdr:rowOff>
    </xdr:from>
    <xdr:to>
      <xdr:col>39</xdr:col>
      <xdr:colOff>0</xdr:colOff>
      <xdr:row>8</xdr:row>
      <xdr:rowOff>57150</xdr:rowOff>
    </xdr:to>
    <xdr:sp>
      <xdr:nvSpPr>
        <xdr:cNvPr id="25" name="Line 25"/>
        <xdr:cNvSpPr>
          <a:spLocks/>
        </xdr:cNvSpPr>
      </xdr:nvSpPr>
      <xdr:spPr>
        <a:xfrm>
          <a:off x="7058025" y="10953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7</xdr:row>
      <xdr:rowOff>123825</xdr:rowOff>
    </xdr:from>
    <xdr:to>
      <xdr:col>39</xdr:col>
      <xdr:colOff>19050</xdr:colOff>
      <xdr:row>8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7029450" y="14859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133350</xdr:colOff>
      <xdr:row>8</xdr:row>
      <xdr:rowOff>0</xdr:rowOff>
    </xdr:from>
    <xdr:to>
      <xdr:col>39</xdr:col>
      <xdr:colOff>57150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>
          <a:off x="6286500" y="15049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133350</xdr:colOff>
      <xdr:row>6</xdr:row>
      <xdr:rowOff>0</xdr:rowOff>
    </xdr:from>
    <xdr:to>
      <xdr:col>39</xdr:col>
      <xdr:colOff>57150</xdr:colOff>
      <xdr:row>6</xdr:row>
      <xdr:rowOff>0</xdr:rowOff>
    </xdr:to>
    <xdr:sp>
      <xdr:nvSpPr>
        <xdr:cNvPr id="28" name="Line 28"/>
        <xdr:cNvSpPr>
          <a:spLocks/>
        </xdr:cNvSpPr>
      </xdr:nvSpPr>
      <xdr:spPr>
        <a:xfrm>
          <a:off x="6286500" y="12192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5</xdr:row>
      <xdr:rowOff>19050</xdr:rowOff>
    </xdr:from>
    <xdr:to>
      <xdr:col>37</xdr:col>
      <xdr:colOff>0</xdr:colOff>
      <xdr:row>6</xdr:row>
      <xdr:rowOff>38100</xdr:rowOff>
    </xdr:to>
    <xdr:sp>
      <xdr:nvSpPr>
        <xdr:cNvPr id="29" name="Line 29"/>
        <xdr:cNvSpPr>
          <a:spLocks/>
        </xdr:cNvSpPr>
      </xdr:nvSpPr>
      <xdr:spPr>
        <a:xfrm>
          <a:off x="6696075" y="1095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5</xdr:row>
      <xdr:rowOff>114300</xdr:rowOff>
    </xdr:from>
    <xdr:to>
      <xdr:col>35</xdr:col>
      <xdr:colOff>28575</xdr:colOff>
      <xdr:row>6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6305550" y="119062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5</xdr:row>
      <xdr:rowOff>114300</xdr:rowOff>
    </xdr:from>
    <xdr:to>
      <xdr:col>37</xdr:col>
      <xdr:colOff>28575</xdr:colOff>
      <xdr:row>6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6667500" y="119062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161925</xdr:colOff>
      <xdr:row>5</xdr:row>
      <xdr:rowOff>123825</xdr:rowOff>
    </xdr:from>
    <xdr:to>
      <xdr:col>39</xdr:col>
      <xdr:colOff>28575</xdr:colOff>
      <xdr:row>6</xdr:row>
      <xdr:rowOff>28575</xdr:rowOff>
    </xdr:to>
    <xdr:sp>
      <xdr:nvSpPr>
        <xdr:cNvPr id="32" name="Line 32"/>
        <xdr:cNvSpPr>
          <a:spLocks/>
        </xdr:cNvSpPr>
      </xdr:nvSpPr>
      <xdr:spPr>
        <a:xfrm flipH="1">
          <a:off x="7038975" y="12001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133350</xdr:colOff>
      <xdr:row>4</xdr:row>
      <xdr:rowOff>0</xdr:rowOff>
    </xdr:from>
    <xdr:to>
      <xdr:col>44</xdr:col>
      <xdr:colOff>57150</xdr:colOff>
      <xdr:row>4</xdr:row>
      <xdr:rowOff>104775</xdr:rowOff>
    </xdr:to>
    <xdr:sp>
      <xdr:nvSpPr>
        <xdr:cNvPr id="33" name="AutoShape 33"/>
        <xdr:cNvSpPr>
          <a:spLocks/>
        </xdr:cNvSpPr>
      </xdr:nvSpPr>
      <xdr:spPr>
        <a:xfrm>
          <a:off x="7915275" y="9334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133350</xdr:colOff>
      <xdr:row>4</xdr:row>
      <xdr:rowOff>0</xdr:rowOff>
    </xdr:from>
    <xdr:to>
      <xdr:col>50</xdr:col>
      <xdr:colOff>57150</xdr:colOff>
      <xdr:row>4</xdr:row>
      <xdr:rowOff>104775</xdr:rowOff>
    </xdr:to>
    <xdr:sp>
      <xdr:nvSpPr>
        <xdr:cNvPr id="34" name="AutoShape 34"/>
        <xdr:cNvSpPr>
          <a:spLocks/>
        </xdr:cNvSpPr>
      </xdr:nvSpPr>
      <xdr:spPr>
        <a:xfrm>
          <a:off x="9001125" y="9334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</xdr:row>
      <xdr:rowOff>0</xdr:rowOff>
    </xdr:from>
    <xdr:to>
      <xdr:col>50</xdr:col>
      <xdr:colOff>9525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7962900" y="933450"/>
          <a:ext cx="1095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2</xdr:row>
      <xdr:rowOff>0</xdr:rowOff>
    </xdr:from>
    <xdr:to>
      <xdr:col>46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8324850" y="638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</xdr:row>
      <xdr:rowOff>9525</xdr:rowOff>
    </xdr:from>
    <xdr:to>
      <xdr:col>44</xdr:col>
      <xdr:colOff>0</xdr:colOff>
      <xdr:row>8</xdr:row>
      <xdr:rowOff>47625</xdr:rowOff>
    </xdr:to>
    <xdr:sp>
      <xdr:nvSpPr>
        <xdr:cNvPr id="37" name="Line 37"/>
        <xdr:cNvSpPr>
          <a:spLocks/>
        </xdr:cNvSpPr>
      </xdr:nvSpPr>
      <xdr:spPr>
        <a:xfrm>
          <a:off x="7962900" y="10858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7</xdr:row>
      <xdr:rowOff>114300</xdr:rowOff>
    </xdr:from>
    <xdr:to>
      <xdr:col>44</xdr:col>
      <xdr:colOff>28575</xdr:colOff>
      <xdr:row>8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7934325" y="147637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5</xdr:row>
      <xdr:rowOff>19050</xdr:rowOff>
    </xdr:from>
    <xdr:to>
      <xdr:col>50</xdr:col>
      <xdr:colOff>0</xdr:colOff>
      <xdr:row>8</xdr:row>
      <xdr:rowOff>57150</xdr:rowOff>
    </xdr:to>
    <xdr:sp>
      <xdr:nvSpPr>
        <xdr:cNvPr id="39" name="Line 39"/>
        <xdr:cNvSpPr>
          <a:spLocks/>
        </xdr:cNvSpPr>
      </xdr:nvSpPr>
      <xdr:spPr>
        <a:xfrm>
          <a:off x="9048750" y="10953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152400</xdr:colOff>
      <xdr:row>7</xdr:row>
      <xdr:rowOff>123825</xdr:rowOff>
    </xdr:from>
    <xdr:to>
      <xdr:col>50</xdr:col>
      <xdr:colOff>19050</xdr:colOff>
      <xdr:row>8</xdr:row>
      <xdr:rowOff>28575</xdr:rowOff>
    </xdr:to>
    <xdr:sp>
      <xdr:nvSpPr>
        <xdr:cNvPr id="40" name="Line 40"/>
        <xdr:cNvSpPr>
          <a:spLocks/>
        </xdr:cNvSpPr>
      </xdr:nvSpPr>
      <xdr:spPr>
        <a:xfrm flipH="1">
          <a:off x="9020175" y="14859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133350</xdr:colOff>
      <xdr:row>8</xdr:row>
      <xdr:rowOff>0</xdr:rowOff>
    </xdr:from>
    <xdr:to>
      <xdr:col>50</xdr:col>
      <xdr:colOff>38100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>
          <a:off x="7915275" y="15049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133350</xdr:colOff>
      <xdr:row>6</xdr:row>
      <xdr:rowOff>0</xdr:rowOff>
    </xdr:from>
    <xdr:to>
      <xdr:col>50</xdr:col>
      <xdr:colOff>57150</xdr:colOff>
      <xdr:row>6</xdr:row>
      <xdr:rowOff>0</xdr:rowOff>
    </xdr:to>
    <xdr:sp>
      <xdr:nvSpPr>
        <xdr:cNvPr id="42" name="Line 42"/>
        <xdr:cNvSpPr>
          <a:spLocks/>
        </xdr:cNvSpPr>
      </xdr:nvSpPr>
      <xdr:spPr>
        <a:xfrm>
          <a:off x="7915275" y="12192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5</xdr:row>
      <xdr:rowOff>19050</xdr:rowOff>
    </xdr:from>
    <xdr:to>
      <xdr:col>46</xdr:col>
      <xdr:colOff>0</xdr:colOff>
      <xdr:row>6</xdr:row>
      <xdr:rowOff>38100</xdr:rowOff>
    </xdr:to>
    <xdr:sp>
      <xdr:nvSpPr>
        <xdr:cNvPr id="43" name="Line 43"/>
        <xdr:cNvSpPr>
          <a:spLocks/>
        </xdr:cNvSpPr>
      </xdr:nvSpPr>
      <xdr:spPr>
        <a:xfrm>
          <a:off x="8324850" y="1095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5</xdr:row>
      <xdr:rowOff>114300</xdr:rowOff>
    </xdr:from>
    <xdr:to>
      <xdr:col>44</xdr:col>
      <xdr:colOff>28575</xdr:colOff>
      <xdr:row>6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7934325" y="119062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5</xdr:row>
      <xdr:rowOff>114300</xdr:rowOff>
    </xdr:from>
    <xdr:to>
      <xdr:col>46</xdr:col>
      <xdr:colOff>28575</xdr:colOff>
      <xdr:row>6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8296275" y="119062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161925</xdr:colOff>
      <xdr:row>5</xdr:row>
      <xdr:rowOff>123825</xdr:rowOff>
    </xdr:from>
    <xdr:to>
      <xdr:col>50</xdr:col>
      <xdr:colOff>28575</xdr:colOff>
      <xdr:row>6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9029700" y="12001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</xdr:row>
      <xdr:rowOff>0</xdr:rowOff>
    </xdr:from>
    <xdr:to>
      <xdr:col>48</xdr:col>
      <xdr:colOff>0</xdr:colOff>
      <xdr:row>4</xdr:row>
      <xdr:rowOff>0</xdr:rowOff>
    </xdr:to>
    <xdr:sp>
      <xdr:nvSpPr>
        <xdr:cNvPr id="47" name="Line 47"/>
        <xdr:cNvSpPr>
          <a:spLocks/>
        </xdr:cNvSpPr>
      </xdr:nvSpPr>
      <xdr:spPr>
        <a:xfrm>
          <a:off x="8686800" y="638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5</xdr:row>
      <xdr:rowOff>19050</xdr:rowOff>
    </xdr:from>
    <xdr:to>
      <xdr:col>48</xdr:col>
      <xdr:colOff>0</xdr:colOff>
      <xdr:row>6</xdr:row>
      <xdr:rowOff>38100</xdr:rowOff>
    </xdr:to>
    <xdr:sp>
      <xdr:nvSpPr>
        <xdr:cNvPr id="48" name="Line 48"/>
        <xdr:cNvSpPr>
          <a:spLocks/>
        </xdr:cNvSpPr>
      </xdr:nvSpPr>
      <xdr:spPr>
        <a:xfrm>
          <a:off x="8686800" y="1095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5</xdr:row>
      <xdr:rowOff>114300</xdr:rowOff>
    </xdr:from>
    <xdr:to>
      <xdr:col>48</xdr:col>
      <xdr:colOff>28575</xdr:colOff>
      <xdr:row>6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8658225" y="119062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133350</xdr:colOff>
      <xdr:row>4</xdr:row>
      <xdr:rowOff>0</xdr:rowOff>
    </xdr:from>
    <xdr:to>
      <xdr:col>53</xdr:col>
      <xdr:colOff>57150</xdr:colOff>
      <xdr:row>4</xdr:row>
      <xdr:rowOff>104775</xdr:rowOff>
    </xdr:to>
    <xdr:sp>
      <xdr:nvSpPr>
        <xdr:cNvPr id="50" name="AutoShape 50"/>
        <xdr:cNvSpPr>
          <a:spLocks/>
        </xdr:cNvSpPr>
      </xdr:nvSpPr>
      <xdr:spPr>
        <a:xfrm>
          <a:off x="9544050" y="9334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133350</xdr:colOff>
      <xdr:row>4</xdr:row>
      <xdr:rowOff>0</xdr:rowOff>
    </xdr:from>
    <xdr:to>
      <xdr:col>57</xdr:col>
      <xdr:colOff>57150</xdr:colOff>
      <xdr:row>4</xdr:row>
      <xdr:rowOff>104775</xdr:rowOff>
    </xdr:to>
    <xdr:sp>
      <xdr:nvSpPr>
        <xdr:cNvPr id="51" name="AutoShape 51"/>
        <xdr:cNvSpPr>
          <a:spLocks/>
        </xdr:cNvSpPr>
      </xdr:nvSpPr>
      <xdr:spPr>
        <a:xfrm>
          <a:off x="10267950" y="9334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</xdr:row>
      <xdr:rowOff>0</xdr:rowOff>
    </xdr:from>
    <xdr:to>
      <xdr:col>57</xdr:col>
      <xdr:colOff>9525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>
          <a:off x="9591675" y="933450"/>
          <a:ext cx="733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5</xdr:row>
      <xdr:rowOff>9525</xdr:rowOff>
    </xdr:from>
    <xdr:to>
      <xdr:col>53</xdr:col>
      <xdr:colOff>0</xdr:colOff>
      <xdr:row>8</xdr:row>
      <xdr:rowOff>47625</xdr:rowOff>
    </xdr:to>
    <xdr:sp>
      <xdr:nvSpPr>
        <xdr:cNvPr id="53" name="Line 54"/>
        <xdr:cNvSpPr>
          <a:spLocks/>
        </xdr:cNvSpPr>
      </xdr:nvSpPr>
      <xdr:spPr>
        <a:xfrm>
          <a:off x="9591675" y="10858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152400</xdr:colOff>
      <xdr:row>7</xdr:row>
      <xdr:rowOff>114300</xdr:rowOff>
    </xdr:from>
    <xdr:to>
      <xdr:col>53</xdr:col>
      <xdr:colOff>28575</xdr:colOff>
      <xdr:row>8</xdr:row>
      <xdr:rowOff>28575</xdr:rowOff>
    </xdr:to>
    <xdr:sp>
      <xdr:nvSpPr>
        <xdr:cNvPr id="54" name="Line 55"/>
        <xdr:cNvSpPr>
          <a:spLocks/>
        </xdr:cNvSpPr>
      </xdr:nvSpPr>
      <xdr:spPr>
        <a:xfrm flipH="1">
          <a:off x="9563100" y="147637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5</xdr:row>
      <xdr:rowOff>19050</xdr:rowOff>
    </xdr:from>
    <xdr:to>
      <xdr:col>57</xdr:col>
      <xdr:colOff>0</xdr:colOff>
      <xdr:row>8</xdr:row>
      <xdr:rowOff>57150</xdr:rowOff>
    </xdr:to>
    <xdr:sp>
      <xdr:nvSpPr>
        <xdr:cNvPr id="55" name="Line 56"/>
        <xdr:cNvSpPr>
          <a:spLocks/>
        </xdr:cNvSpPr>
      </xdr:nvSpPr>
      <xdr:spPr>
        <a:xfrm>
          <a:off x="10315575" y="10953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152400</xdr:colOff>
      <xdr:row>7</xdr:row>
      <xdr:rowOff>123825</xdr:rowOff>
    </xdr:from>
    <xdr:to>
      <xdr:col>57</xdr:col>
      <xdr:colOff>19050</xdr:colOff>
      <xdr:row>8</xdr:row>
      <xdr:rowOff>28575</xdr:rowOff>
    </xdr:to>
    <xdr:sp>
      <xdr:nvSpPr>
        <xdr:cNvPr id="56" name="Line 57"/>
        <xdr:cNvSpPr>
          <a:spLocks/>
        </xdr:cNvSpPr>
      </xdr:nvSpPr>
      <xdr:spPr>
        <a:xfrm flipH="1">
          <a:off x="10287000" y="14859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133350</xdr:colOff>
      <xdr:row>8</xdr:row>
      <xdr:rowOff>0</xdr:rowOff>
    </xdr:from>
    <xdr:to>
      <xdr:col>57</xdr:col>
      <xdr:colOff>57150</xdr:colOff>
      <xdr:row>8</xdr:row>
      <xdr:rowOff>0</xdr:rowOff>
    </xdr:to>
    <xdr:sp>
      <xdr:nvSpPr>
        <xdr:cNvPr id="57" name="Line 58"/>
        <xdr:cNvSpPr>
          <a:spLocks/>
        </xdr:cNvSpPr>
      </xdr:nvSpPr>
      <xdr:spPr>
        <a:xfrm>
          <a:off x="9544050" y="15049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133350</xdr:colOff>
      <xdr:row>6</xdr:row>
      <xdr:rowOff>0</xdr:rowOff>
    </xdr:from>
    <xdr:to>
      <xdr:col>57</xdr:col>
      <xdr:colOff>57150</xdr:colOff>
      <xdr:row>6</xdr:row>
      <xdr:rowOff>0</xdr:rowOff>
    </xdr:to>
    <xdr:sp>
      <xdr:nvSpPr>
        <xdr:cNvPr id="58" name="Line 59"/>
        <xdr:cNvSpPr>
          <a:spLocks/>
        </xdr:cNvSpPr>
      </xdr:nvSpPr>
      <xdr:spPr>
        <a:xfrm>
          <a:off x="9544050" y="12192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5</xdr:row>
      <xdr:rowOff>19050</xdr:rowOff>
    </xdr:from>
    <xdr:to>
      <xdr:col>55</xdr:col>
      <xdr:colOff>0</xdr:colOff>
      <xdr:row>6</xdr:row>
      <xdr:rowOff>38100</xdr:rowOff>
    </xdr:to>
    <xdr:sp>
      <xdr:nvSpPr>
        <xdr:cNvPr id="59" name="Line 60"/>
        <xdr:cNvSpPr>
          <a:spLocks/>
        </xdr:cNvSpPr>
      </xdr:nvSpPr>
      <xdr:spPr>
        <a:xfrm>
          <a:off x="9953625" y="1095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152400</xdr:colOff>
      <xdr:row>5</xdr:row>
      <xdr:rowOff>114300</xdr:rowOff>
    </xdr:from>
    <xdr:to>
      <xdr:col>53</xdr:col>
      <xdr:colOff>28575</xdr:colOff>
      <xdr:row>6</xdr:row>
      <xdr:rowOff>19050</xdr:rowOff>
    </xdr:to>
    <xdr:sp>
      <xdr:nvSpPr>
        <xdr:cNvPr id="60" name="Line 61"/>
        <xdr:cNvSpPr>
          <a:spLocks/>
        </xdr:cNvSpPr>
      </xdr:nvSpPr>
      <xdr:spPr>
        <a:xfrm flipH="1">
          <a:off x="9563100" y="119062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152400</xdr:colOff>
      <xdr:row>5</xdr:row>
      <xdr:rowOff>114300</xdr:rowOff>
    </xdr:from>
    <xdr:to>
      <xdr:col>55</xdr:col>
      <xdr:colOff>28575</xdr:colOff>
      <xdr:row>6</xdr:row>
      <xdr:rowOff>19050</xdr:rowOff>
    </xdr:to>
    <xdr:sp>
      <xdr:nvSpPr>
        <xdr:cNvPr id="61" name="Line 62"/>
        <xdr:cNvSpPr>
          <a:spLocks/>
        </xdr:cNvSpPr>
      </xdr:nvSpPr>
      <xdr:spPr>
        <a:xfrm flipH="1">
          <a:off x="9925050" y="119062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161925</xdr:colOff>
      <xdr:row>5</xdr:row>
      <xdr:rowOff>123825</xdr:rowOff>
    </xdr:from>
    <xdr:to>
      <xdr:col>57</xdr:col>
      <xdr:colOff>28575</xdr:colOff>
      <xdr:row>6</xdr:row>
      <xdr:rowOff>28575</xdr:rowOff>
    </xdr:to>
    <xdr:sp>
      <xdr:nvSpPr>
        <xdr:cNvPr id="62" name="Line 63"/>
        <xdr:cNvSpPr>
          <a:spLocks/>
        </xdr:cNvSpPr>
      </xdr:nvSpPr>
      <xdr:spPr>
        <a:xfrm flipH="1">
          <a:off x="10296525" y="12001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2</xdr:row>
      <xdr:rowOff>0</xdr:rowOff>
    </xdr:from>
    <xdr:to>
      <xdr:col>55</xdr:col>
      <xdr:colOff>0</xdr:colOff>
      <xdr:row>3</xdr:row>
      <xdr:rowOff>142875</xdr:rowOff>
    </xdr:to>
    <xdr:sp>
      <xdr:nvSpPr>
        <xdr:cNvPr id="63" name="Line 64"/>
        <xdr:cNvSpPr>
          <a:spLocks/>
        </xdr:cNvSpPr>
      </xdr:nvSpPr>
      <xdr:spPr>
        <a:xfrm flipV="1">
          <a:off x="9601200" y="638175"/>
          <a:ext cx="3524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2</xdr:row>
      <xdr:rowOff>0</xdr:rowOff>
    </xdr:from>
    <xdr:to>
      <xdr:col>57</xdr:col>
      <xdr:colOff>9525</xdr:colOff>
      <xdr:row>4</xdr:row>
      <xdr:rowOff>0</xdr:rowOff>
    </xdr:to>
    <xdr:sp>
      <xdr:nvSpPr>
        <xdr:cNvPr id="64" name="Line 65"/>
        <xdr:cNvSpPr>
          <a:spLocks/>
        </xdr:cNvSpPr>
      </xdr:nvSpPr>
      <xdr:spPr>
        <a:xfrm>
          <a:off x="9953625" y="638175"/>
          <a:ext cx="3714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2</xdr:row>
      <xdr:rowOff>9525</xdr:rowOff>
    </xdr:from>
    <xdr:to>
      <xdr:col>55</xdr:col>
      <xdr:colOff>0</xdr:colOff>
      <xdr:row>3</xdr:row>
      <xdr:rowOff>142875</xdr:rowOff>
    </xdr:to>
    <xdr:sp>
      <xdr:nvSpPr>
        <xdr:cNvPr id="65" name="Line 66"/>
        <xdr:cNvSpPr>
          <a:spLocks/>
        </xdr:cNvSpPr>
      </xdr:nvSpPr>
      <xdr:spPr>
        <a:xfrm>
          <a:off x="9953625" y="6477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76200</xdr:colOff>
      <xdr:row>2</xdr:row>
      <xdr:rowOff>85725</xdr:rowOff>
    </xdr:from>
    <xdr:to>
      <xdr:col>54</xdr:col>
      <xdr:colOff>76200</xdr:colOff>
      <xdr:row>4</xdr:row>
      <xdr:rowOff>0</xdr:rowOff>
    </xdr:to>
    <xdr:sp>
      <xdr:nvSpPr>
        <xdr:cNvPr id="66" name="Line 67"/>
        <xdr:cNvSpPr>
          <a:spLocks/>
        </xdr:cNvSpPr>
      </xdr:nvSpPr>
      <xdr:spPr>
        <a:xfrm>
          <a:off x="9848850" y="7239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133350</xdr:colOff>
      <xdr:row>3</xdr:row>
      <xdr:rowOff>47625</xdr:rowOff>
    </xdr:from>
    <xdr:to>
      <xdr:col>53</xdr:col>
      <xdr:colOff>133350</xdr:colOff>
      <xdr:row>3</xdr:row>
      <xdr:rowOff>142875</xdr:rowOff>
    </xdr:to>
    <xdr:sp>
      <xdr:nvSpPr>
        <xdr:cNvPr id="67" name="Line 68"/>
        <xdr:cNvSpPr>
          <a:spLocks/>
        </xdr:cNvSpPr>
      </xdr:nvSpPr>
      <xdr:spPr>
        <a:xfrm>
          <a:off x="9725025" y="8286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104775</xdr:colOff>
      <xdr:row>2</xdr:row>
      <xdr:rowOff>85725</xdr:rowOff>
    </xdr:from>
    <xdr:to>
      <xdr:col>55</xdr:col>
      <xdr:colOff>104775</xdr:colOff>
      <xdr:row>3</xdr:row>
      <xdr:rowOff>142875</xdr:rowOff>
    </xdr:to>
    <xdr:sp>
      <xdr:nvSpPr>
        <xdr:cNvPr id="68" name="Line 69"/>
        <xdr:cNvSpPr>
          <a:spLocks/>
        </xdr:cNvSpPr>
      </xdr:nvSpPr>
      <xdr:spPr>
        <a:xfrm>
          <a:off x="10058400" y="723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47625</xdr:colOff>
      <xdr:row>3</xdr:row>
      <xdr:rowOff>38100</xdr:rowOff>
    </xdr:from>
    <xdr:to>
      <xdr:col>56</xdr:col>
      <xdr:colOff>47625</xdr:colOff>
      <xdr:row>4</xdr:row>
      <xdr:rowOff>0</xdr:rowOff>
    </xdr:to>
    <xdr:sp>
      <xdr:nvSpPr>
        <xdr:cNvPr id="69" name="Line 70"/>
        <xdr:cNvSpPr>
          <a:spLocks/>
        </xdr:cNvSpPr>
      </xdr:nvSpPr>
      <xdr:spPr>
        <a:xfrm>
          <a:off x="10182225" y="8191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2</xdr:row>
      <xdr:rowOff>0</xdr:rowOff>
    </xdr:from>
    <xdr:to>
      <xdr:col>55</xdr:col>
      <xdr:colOff>142875</xdr:colOff>
      <xdr:row>2</xdr:row>
      <xdr:rowOff>133350</xdr:rowOff>
    </xdr:to>
    <xdr:sp>
      <xdr:nvSpPr>
        <xdr:cNvPr id="70" name="Line 71"/>
        <xdr:cNvSpPr>
          <a:spLocks/>
        </xdr:cNvSpPr>
      </xdr:nvSpPr>
      <xdr:spPr>
        <a:xfrm flipV="1">
          <a:off x="9953625" y="638175"/>
          <a:ext cx="142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133350</xdr:colOff>
      <xdr:row>4</xdr:row>
      <xdr:rowOff>0</xdr:rowOff>
    </xdr:from>
    <xdr:to>
      <xdr:col>60</xdr:col>
      <xdr:colOff>57150</xdr:colOff>
      <xdr:row>4</xdr:row>
      <xdr:rowOff>104775</xdr:rowOff>
    </xdr:to>
    <xdr:sp>
      <xdr:nvSpPr>
        <xdr:cNvPr id="71" name="AutoShape 72"/>
        <xdr:cNvSpPr>
          <a:spLocks/>
        </xdr:cNvSpPr>
      </xdr:nvSpPr>
      <xdr:spPr>
        <a:xfrm>
          <a:off x="10810875" y="9334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133350</xdr:colOff>
      <xdr:row>4</xdr:row>
      <xdr:rowOff>0</xdr:rowOff>
    </xdr:from>
    <xdr:to>
      <xdr:col>66</xdr:col>
      <xdr:colOff>57150</xdr:colOff>
      <xdr:row>4</xdr:row>
      <xdr:rowOff>104775</xdr:rowOff>
    </xdr:to>
    <xdr:sp>
      <xdr:nvSpPr>
        <xdr:cNvPr id="72" name="AutoShape 73"/>
        <xdr:cNvSpPr>
          <a:spLocks/>
        </xdr:cNvSpPr>
      </xdr:nvSpPr>
      <xdr:spPr>
        <a:xfrm>
          <a:off x="11896725" y="9334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4</xdr:row>
      <xdr:rowOff>0</xdr:rowOff>
    </xdr:from>
    <xdr:to>
      <xdr:col>66</xdr:col>
      <xdr:colOff>9525</xdr:colOff>
      <xdr:row>4</xdr:row>
      <xdr:rowOff>0</xdr:rowOff>
    </xdr:to>
    <xdr:sp>
      <xdr:nvSpPr>
        <xdr:cNvPr id="73" name="Line 74"/>
        <xdr:cNvSpPr>
          <a:spLocks/>
        </xdr:cNvSpPr>
      </xdr:nvSpPr>
      <xdr:spPr>
        <a:xfrm>
          <a:off x="10858500" y="933450"/>
          <a:ext cx="1095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</xdr:row>
      <xdr:rowOff>9525</xdr:rowOff>
    </xdr:from>
    <xdr:to>
      <xdr:col>60</xdr:col>
      <xdr:colOff>0</xdr:colOff>
      <xdr:row>8</xdr:row>
      <xdr:rowOff>47625</xdr:rowOff>
    </xdr:to>
    <xdr:sp>
      <xdr:nvSpPr>
        <xdr:cNvPr id="74" name="Line 75"/>
        <xdr:cNvSpPr>
          <a:spLocks/>
        </xdr:cNvSpPr>
      </xdr:nvSpPr>
      <xdr:spPr>
        <a:xfrm>
          <a:off x="10858500" y="10858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152400</xdr:colOff>
      <xdr:row>7</xdr:row>
      <xdr:rowOff>114300</xdr:rowOff>
    </xdr:from>
    <xdr:to>
      <xdr:col>60</xdr:col>
      <xdr:colOff>28575</xdr:colOff>
      <xdr:row>8</xdr:row>
      <xdr:rowOff>28575</xdr:rowOff>
    </xdr:to>
    <xdr:sp>
      <xdr:nvSpPr>
        <xdr:cNvPr id="75" name="Line 76"/>
        <xdr:cNvSpPr>
          <a:spLocks/>
        </xdr:cNvSpPr>
      </xdr:nvSpPr>
      <xdr:spPr>
        <a:xfrm flipH="1">
          <a:off x="10829925" y="147637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5</xdr:row>
      <xdr:rowOff>19050</xdr:rowOff>
    </xdr:from>
    <xdr:to>
      <xdr:col>66</xdr:col>
      <xdr:colOff>0</xdr:colOff>
      <xdr:row>8</xdr:row>
      <xdr:rowOff>57150</xdr:rowOff>
    </xdr:to>
    <xdr:sp>
      <xdr:nvSpPr>
        <xdr:cNvPr id="76" name="Line 77"/>
        <xdr:cNvSpPr>
          <a:spLocks/>
        </xdr:cNvSpPr>
      </xdr:nvSpPr>
      <xdr:spPr>
        <a:xfrm>
          <a:off x="11944350" y="10953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152400</xdr:colOff>
      <xdr:row>7</xdr:row>
      <xdr:rowOff>123825</xdr:rowOff>
    </xdr:from>
    <xdr:to>
      <xdr:col>66</xdr:col>
      <xdr:colOff>19050</xdr:colOff>
      <xdr:row>8</xdr:row>
      <xdr:rowOff>28575</xdr:rowOff>
    </xdr:to>
    <xdr:sp>
      <xdr:nvSpPr>
        <xdr:cNvPr id="77" name="Line 78"/>
        <xdr:cNvSpPr>
          <a:spLocks/>
        </xdr:cNvSpPr>
      </xdr:nvSpPr>
      <xdr:spPr>
        <a:xfrm flipH="1">
          <a:off x="11915775" y="14859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133350</xdr:colOff>
      <xdr:row>8</xdr:row>
      <xdr:rowOff>0</xdr:rowOff>
    </xdr:from>
    <xdr:to>
      <xdr:col>66</xdr:col>
      <xdr:colOff>57150</xdr:colOff>
      <xdr:row>8</xdr:row>
      <xdr:rowOff>0</xdr:rowOff>
    </xdr:to>
    <xdr:sp>
      <xdr:nvSpPr>
        <xdr:cNvPr id="78" name="Line 79"/>
        <xdr:cNvSpPr>
          <a:spLocks/>
        </xdr:cNvSpPr>
      </xdr:nvSpPr>
      <xdr:spPr>
        <a:xfrm>
          <a:off x="10810875" y="15049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133350</xdr:colOff>
      <xdr:row>6</xdr:row>
      <xdr:rowOff>0</xdr:rowOff>
    </xdr:from>
    <xdr:to>
      <xdr:col>66</xdr:col>
      <xdr:colOff>57150</xdr:colOff>
      <xdr:row>6</xdr:row>
      <xdr:rowOff>0</xdr:rowOff>
    </xdr:to>
    <xdr:sp>
      <xdr:nvSpPr>
        <xdr:cNvPr id="79" name="Line 80"/>
        <xdr:cNvSpPr>
          <a:spLocks/>
        </xdr:cNvSpPr>
      </xdr:nvSpPr>
      <xdr:spPr>
        <a:xfrm>
          <a:off x="10810875" y="12192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5</xdr:row>
      <xdr:rowOff>19050</xdr:rowOff>
    </xdr:from>
    <xdr:to>
      <xdr:col>62</xdr:col>
      <xdr:colOff>0</xdr:colOff>
      <xdr:row>6</xdr:row>
      <xdr:rowOff>38100</xdr:rowOff>
    </xdr:to>
    <xdr:sp>
      <xdr:nvSpPr>
        <xdr:cNvPr id="80" name="Line 81"/>
        <xdr:cNvSpPr>
          <a:spLocks/>
        </xdr:cNvSpPr>
      </xdr:nvSpPr>
      <xdr:spPr>
        <a:xfrm>
          <a:off x="11220450" y="1095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152400</xdr:colOff>
      <xdr:row>5</xdr:row>
      <xdr:rowOff>114300</xdr:rowOff>
    </xdr:from>
    <xdr:to>
      <xdr:col>60</xdr:col>
      <xdr:colOff>28575</xdr:colOff>
      <xdr:row>6</xdr:row>
      <xdr:rowOff>19050</xdr:rowOff>
    </xdr:to>
    <xdr:sp>
      <xdr:nvSpPr>
        <xdr:cNvPr id="81" name="Line 82"/>
        <xdr:cNvSpPr>
          <a:spLocks/>
        </xdr:cNvSpPr>
      </xdr:nvSpPr>
      <xdr:spPr>
        <a:xfrm flipH="1">
          <a:off x="10829925" y="119062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161925</xdr:colOff>
      <xdr:row>5</xdr:row>
      <xdr:rowOff>123825</xdr:rowOff>
    </xdr:from>
    <xdr:to>
      <xdr:col>66</xdr:col>
      <xdr:colOff>28575</xdr:colOff>
      <xdr:row>6</xdr:row>
      <xdr:rowOff>28575</xdr:rowOff>
    </xdr:to>
    <xdr:sp>
      <xdr:nvSpPr>
        <xdr:cNvPr id="82" name="Line 84"/>
        <xdr:cNvSpPr>
          <a:spLocks/>
        </xdr:cNvSpPr>
      </xdr:nvSpPr>
      <xdr:spPr>
        <a:xfrm flipH="1">
          <a:off x="11925300" y="12001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2</xdr:row>
      <xdr:rowOff>0</xdr:rowOff>
    </xdr:from>
    <xdr:to>
      <xdr:col>62</xdr:col>
      <xdr:colOff>0</xdr:colOff>
      <xdr:row>4</xdr:row>
      <xdr:rowOff>0</xdr:rowOff>
    </xdr:to>
    <xdr:sp>
      <xdr:nvSpPr>
        <xdr:cNvPr id="83" name="Line 85"/>
        <xdr:cNvSpPr>
          <a:spLocks/>
        </xdr:cNvSpPr>
      </xdr:nvSpPr>
      <xdr:spPr>
        <a:xfrm flipV="1">
          <a:off x="10858500" y="638175"/>
          <a:ext cx="361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2</xdr:row>
      <xdr:rowOff>0</xdr:rowOff>
    </xdr:from>
    <xdr:to>
      <xdr:col>66</xdr:col>
      <xdr:colOff>9525</xdr:colOff>
      <xdr:row>4</xdr:row>
      <xdr:rowOff>0</xdr:rowOff>
    </xdr:to>
    <xdr:sp>
      <xdr:nvSpPr>
        <xdr:cNvPr id="84" name="Line 86"/>
        <xdr:cNvSpPr>
          <a:spLocks/>
        </xdr:cNvSpPr>
      </xdr:nvSpPr>
      <xdr:spPr>
        <a:xfrm>
          <a:off x="11582400" y="638175"/>
          <a:ext cx="3714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2</xdr:row>
      <xdr:rowOff>9525</xdr:rowOff>
    </xdr:from>
    <xdr:to>
      <xdr:col>62</xdr:col>
      <xdr:colOff>0</xdr:colOff>
      <xdr:row>3</xdr:row>
      <xdr:rowOff>142875</xdr:rowOff>
    </xdr:to>
    <xdr:sp>
      <xdr:nvSpPr>
        <xdr:cNvPr id="85" name="Line 87"/>
        <xdr:cNvSpPr>
          <a:spLocks/>
        </xdr:cNvSpPr>
      </xdr:nvSpPr>
      <xdr:spPr>
        <a:xfrm>
          <a:off x="11220450" y="6477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76200</xdr:colOff>
      <xdr:row>2</xdr:row>
      <xdr:rowOff>85725</xdr:rowOff>
    </xdr:from>
    <xdr:to>
      <xdr:col>61</xdr:col>
      <xdr:colOff>76200</xdr:colOff>
      <xdr:row>4</xdr:row>
      <xdr:rowOff>0</xdr:rowOff>
    </xdr:to>
    <xdr:sp>
      <xdr:nvSpPr>
        <xdr:cNvPr id="86" name="Line 88"/>
        <xdr:cNvSpPr>
          <a:spLocks/>
        </xdr:cNvSpPr>
      </xdr:nvSpPr>
      <xdr:spPr>
        <a:xfrm>
          <a:off x="11115675" y="7239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123825</xdr:colOff>
      <xdr:row>3</xdr:row>
      <xdr:rowOff>47625</xdr:rowOff>
    </xdr:from>
    <xdr:to>
      <xdr:col>60</xdr:col>
      <xdr:colOff>123825</xdr:colOff>
      <xdr:row>3</xdr:row>
      <xdr:rowOff>142875</xdr:rowOff>
    </xdr:to>
    <xdr:sp>
      <xdr:nvSpPr>
        <xdr:cNvPr id="87" name="Line 89"/>
        <xdr:cNvSpPr>
          <a:spLocks/>
        </xdr:cNvSpPr>
      </xdr:nvSpPr>
      <xdr:spPr>
        <a:xfrm>
          <a:off x="10982325" y="8286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104775</xdr:colOff>
      <xdr:row>2</xdr:row>
      <xdr:rowOff>85725</xdr:rowOff>
    </xdr:from>
    <xdr:to>
      <xdr:col>64</xdr:col>
      <xdr:colOff>104775</xdr:colOff>
      <xdr:row>3</xdr:row>
      <xdr:rowOff>142875</xdr:rowOff>
    </xdr:to>
    <xdr:sp>
      <xdr:nvSpPr>
        <xdr:cNvPr id="88" name="Line 90"/>
        <xdr:cNvSpPr>
          <a:spLocks/>
        </xdr:cNvSpPr>
      </xdr:nvSpPr>
      <xdr:spPr>
        <a:xfrm>
          <a:off x="11687175" y="723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47625</xdr:colOff>
      <xdr:row>3</xdr:row>
      <xdr:rowOff>38100</xdr:rowOff>
    </xdr:from>
    <xdr:to>
      <xdr:col>65</xdr:col>
      <xdr:colOff>47625</xdr:colOff>
      <xdr:row>4</xdr:row>
      <xdr:rowOff>0</xdr:rowOff>
    </xdr:to>
    <xdr:sp>
      <xdr:nvSpPr>
        <xdr:cNvPr id="89" name="Line 91"/>
        <xdr:cNvSpPr>
          <a:spLocks/>
        </xdr:cNvSpPr>
      </xdr:nvSpPr>
      <xdr:spPr>
        <a:xfrm>
          <a:off x="11811000" y="8191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2</xdr:row>
      <xdr:rowOff>0</xdr:rowOff>
    </xdr:from>
    <xdr:to>
      <xdr:col>64</xdr:col>
      <xdr:colOff>85725</xdr:colOff>
      <xdr:row>3</xdr:row>
      <xdr:rowOff>19050</xdr:rowOff>
    </xdr:to>
    <xdr:sp>
      <xdr:nvSpPr>
        <xdr:cNvPr id="90" name="Line 92"/>
        <xdr:cNvSpPr>
          <a:spLocks/>
        </xdr:cNvSpPr>
      </xdr:nvSpPr>
      <xdr:spPr>
        <a:xfrm flipV="1">
          <a:off x="11496675" y="638175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2</xdr:row>
      <xdr:rowOff>0</xdr:rowOff>
    </xdr:from>
    <xdr:to>
      <xdr:col>64</xdr:col>
      <xdr:colOff>0</xdr:colOff>
      <xdr:row>2</xdr:row>
      <xdr:rowOff>0</xdr:rowOff>
    </xdr:to>
    <xdr:sp>
      <xdr:nvSpPr>
        <xdr:cNvPr id="91" name="Line 93"/>
        <xdr:cNvSpPr>
          <a:spLocks/>
        </xdr:cNvSpPr>
      </xdr:nvSpPr>
      <xdr:spPr>
        <a:xfrm>
          <a:off x="11220450" y="6381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2</xdr:row>
      <xdr:rowOff>0</xdr:rowOff>
    </xdr:from>
    <xdr:to>
      <xdr:col>63</xdr:col>
      <xdr:colOff>95250</xdr:colOff>
      <xdr:row>4</xdr:row>
      <xdr:rowOff>0</xdr:rowOff>
    </xdr:to>
    <xdr:sp>
      <xdr:nvSpPr>
        <xdr:cNvPr id="92" name="Line 94"/>
        <xdr:cNvSpPr>
          <a:spLocks/>
        </xdr:cNvSpPr>
      </xdr:nvSpPr>
      <xdr:spPr>
        <a:xfrm>
          <a:off x="11496675" y="638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2</xdr:row>
      <xdr:rowOff>9525</xdr:rowOff>
    </xdr:from>
    <xdr:to>
      <xdr:col>64</xdr:col>
      <xdr:colOff>0</xdr:colOff>
      <xdr:row>4</xdr:row>
      <xdr:rowOff>0</xdr:rowOff>
    </xdr:to>
    <xdr:sp>
      <xdr:nvSpPr>
        <xdr:cNvPr id="93" name="Line 95"/>
        <xdr:cNvSpPr>
          <a:spLocks/>
        </xdr:cNvSpPr>
      </xdr:nvSpPr>
      <xdr:spPr>
        <a:xfrm>
          <a:off x="11582400" y="6477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95250</xdr:colOff>
      <xdr:row>2</xdr:row>
      <xdr:rowOff>0</xdr:rowOff>
    </xdr:from>
    <xdr:to>
      <xdr:col>62</xdr:col>
      <xdr:colOff>95250</xdr:colOff>
      <xdr:row>4</xdr:row>
      <xdr:rowOff>0</xdr:rowOff>
    </xdr:to>
    <xdr:sp>
      <xdr:nvSpPr>
        <xdr:cNvPr id="94" name="Line 97"/>
        <xdr:cNvSpPr>
          <a:spLocks/>
        </xdr:cNvSpPr>
      </xdr:nvSpPr>
      <xdr:spPr>
        <a:xfrm>
          <a:off x="11315700" y="638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2</xdr:row>
      <xdr:rowOff>0</xdr:rowOff>
    </xdr:from>
    <xdr:to>
      <xdr:col>63</xdr:col>
      <xdr:colOff>0</xdr:colOff>
      <xdr:row>4</xdr:row>
      <xdr:rowOff>0</xdr:rowOff>
    </xdr:to>
    <xdr:sp>
      <xdr:nvSpPr>
        <xdr:cNvPr id="95" name="Line 98"/>
        <xdr:cNvSpPr>
          <a:spLocks/>
        </xdr:cNvSpPr>
      </xdr:nvSpPr>
      <xdr:spPr>
        <a:xfrm>
          <a:off x="11401425" y="638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5</xdr:row>
      <xdr:rowOff>9525</xdr:rowOff>
    </xdr:from>
    <xdr:to>
      <xdr:col>64</xdr:col>
      <xdr:colOff>0</xdr:colOff>
      <xdr:row>6</xdr:row>
      <xdr:rowOff>38100</xdr:rowOff>
    </xdr:to>
    <xdr:sp>
      <xdr:nvSpPr>
        <xdr:cNvPr id="96" name="Line 99"/>
        <xdr:cNvSpPr>
          <a:spLocks/>
        </xdr:cNvSpPr>
      </xdr:nvSpPr>
      <xdr:spPr>
        <a:xfrm>
          <a:off x="11582400" y="1085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161925</xdr:colOff>
      <xdr:row>5</xdr:row>
      <xdr:rowOff>114300</xdr:rowOff>
    </xdr:from>
    <xdr:to>
      <xdr:col>62</xdr:col>
      <xdr:colOff>28575</xdr:colOff>
      <xdr:row>6</xdr:row>
      <xdr:rowOff>19050</xdr:rowOff>
    </xdr:to>
    <xdr:sp>
      <xdr:nvSpPr>
        <xdr:cNvPr id="97" name="Line 100"/>
        <xdr:cNvSpPr>
          <a:spLocks/>
        </xdr:cNvSpPr>
      </xdr:nvSpPr>
      <xdr:spPr>
        <a:xfrm flipH="1">
          <a:off x="11201400" y="119062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152400</xdr:colOff>
      <xdr:row>5</xdr:row>
      <xdr:rowOff>114300</xdr:rowOff>
    </xdr:from>
    <xdr:to>
      <xdr:col>64</xdr:col>
      <xdr:colOff>28575</xdr:colOff>
      <xdr:row>6</xdr:row>
      <xdr:rowOff>19050</xdr:rowOff>
    </xdr:to>
    <xdr:sp>
      <xdr:nvSpPr>
        <xdr:cNvPr id="98" name="Line 101"/>
        <xdr:cNvSpPr>
          <a:spLocks/>
        </xdr:cNvSpPr>
      </xdr:nvSpPr>
      <xdr:spPr>
        <a:xfrm flipH="1">
          <a:off x="11553825" y="119062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133350</xdr:colOff>
      <xdr:row>4</xdr:row>
      <xdr:rowOff>0</xdr:rowOff>
    </xdr:from>
    <xdr:to>
      <xdr:col>68</xdr:col>
      <xdr:colOff>57150</xdr:colOff>
      <xdr:row>4</xdr:row>
      <xdr:rowOff>104775</xdr:rowOff>
    </xdr:to>
    <xdr:sp>
      <xdr:nvSpPr>
        <xdr:cNvPr id="99" name="AutoShape 102"/>
        <xdr:cNvSpPr>
          <a:spLocks/>
        </xdr:cNvSpPr>
      </xdr:nvSpPr>
      <xdr:spPr>
        <a:xfrm>
          <a:off x="12258675" y="9334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133350</xdr:colOff>
      <xdr:row>4</xdr:row>
      <xdr:rowOff>0</xdr:rowOff>
    </xdr:from>
    <xdr:to>
      <xdr:col>74</xdr:col>
      <xdr:colOff>57150</xdr:colOff>
      <xdr:row>4</xdr:row>
      <xdr:rowOff>104775</xdr:rowOff>
    </xdr:to>
    <xdr:sp>
      <xdr:nvSpPr>
        <xdr:cNvPr id="100" name="AutoShape 103"/>
        <xdr:cNvSpPr>
          <a:spLocks/>
        </xdr:cNvSpPr>
      </xdr:nvSpPr>
      <xdr:spPr>
        <a:xfrm>
          <a:off x="13344525" y="9334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4</xdr:row>
      <xdr:rowOff>0</xdr:rowOff>
    </xdr:from>
    <xdr:to>
      <xdr:col>74</xdr:col>
      <xdr:colOff>9525</xdr:colOff>
      <xdr:row>4</xdr:row>
      <xdr:rowOff>0</xdr:rowOff>
    </xdr:to>
    <xdr:sp>
      <xdr:nvSpPr>
        <xdr:cNvPr id="101" name="Line 104"/>
        <xdr:cNvSpPr>
          <a:spLocks/>
        </xdr:cNvSpPr>
      </xdr:nvSpPr>
      <xdr:spPr>
        <a:xfrm>
          <a:off x="12306300" y="933450"/>
          <a:ext cx="1095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47625</xdr:rowOff>
    </xdr:to>
    <xdr:sp>
      <xdr:nvSpPr>
        <xdr:cNvPr id="102" name="Line 105"/>
        <xdr:cNvSpPr>
          <a:spLocks/>
        </xdr:cNvSpPr>
      </xdr:nvSpPr>
      <xdr:spPr>
        <a:xfrm>
          <a:off x="12306300" y="10858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152400</xdr:colOff>
      <xdr:row>7</xdr:row>
      <xdr:rowOff>114300</xdr:rowOff>
    </xdr:from>
    <xdr:to>
      <xdr:col>68</xdr:col>
      <xdr:colOff>28575</xdr:colOff>
      <xdr:row>8</xdr:row>
      <xdr:rowOff>28575</xdr:rowOff>
    </xdr:to>
    <xdr:sp>
      <xdr:nvSpPr>
        <xdr:cNvPr id="103" name="Line 106"/>
        <xdr:cNvSpPr>
          <a:spLocks/>
        </xdr:cNvSpPr>
      </xdr:nvSpPr>
      <xdr:spPr>
        <a:xfrm flipH="1">
          <a:off x="12277725" y="147637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5</xdr:row>
      <xdr:rowOff>19050</xdr:rowOff>
    </xdr:from>
    <xdr:to>
      <xdr:col>74</xdr:col>
      <xdr:colOff>0</xdr:colOff>
      <xdr:row>8</xdr:row>
      <xdr:rowOff>57150</xdr:rowOff>
    </xdr:to>
    <xdr:sp>
      <xdr:nvSpPr>
        <xdr:cNvPr id="104" name="Line 107"/>
        <xdr:cNvSpPr>
          <a:spLocks/>
        </xdr:cNvSpPr>
      </xdr:nvSpPr>
      <xdr:spPr>
        <a:xfrm>
          <a:off x="13392150" y="10953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152400</xdr:colOff>
      <xdr:row>7</xdr:row>
      <xdr:rowOff>123825</xdr:rowOff>
    </xdr:from>
    <xdr:to>
      <xdr:col>74</xdr:col>
      <xdr:colOff>19050</xdr:colOff>
      <xdr:row>8</xdr:row>
      <xdr:rowOff>28575</xdr:rowOff>
    </xdr:to>
    <xdr:sp>
      <xdr:nvSpPr>
        <xdr:cNvPr id="105" name="Line 108"/>
        <xdr:cNvSpPr>
          <a:spLocks/>
        </xdr:cNvSpPr>
      </xdr:nvSpPr>
      <xdr:spPr>
        <a:xfrm flipH="1">
          <a:off x="13363575" y="14859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133350</xdr:colOff>
      <xdr:row>8</xdr:row>
      <xdr:rowOff>0</xdr:rowOff>
    </xdr:from>
    <xdr:to>
      <xdr:col>74</xdr:col>
      <xdr:colOff>57150</xdr:colOff>
      <xdr:row>8</xdr:row>
      <xdr:rowOff>0</xdr:rowOff>
    </xdr:to>
    <xdr:sp>
      <xdr:nvSpPr>
        <xdr:cNvPr id="106" name="Line 109"/>
        <xdr:cNvSpPr>
          <a:spLocks/>
        </xdr:cNvSpPr>
      </xdr:nvSpPr>
      <xdr:spPr>
        <a:xfrm>
          <a:off x="12258675" y="15049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133350</xdr:colOff>
      <xdr:row>6</xdr:row>
      <xdr:rowOff>0</xdr:rowOff>
    </xdr:from>
    <xdr:to>
      <xdr:col>74</xdr:col>
      <xdr:colOff>57150</xdr:colOff>
      <xdr:row>6</xdr:row>
      <xdr:rowOff>0</xdr:rowOff>
    </xdr:to>
    <xdr:sp>
      <xdr:nvSpPr>
        <xdr:cNvPr id="107" name="Line 110"/>
        <xdr:cNvSpPr>
          <a:spLocks/>
        </xdr:cNvSpPr>
      </xdr:nvSpPr>
      <xdr:spPr>
        <a:xfrm>
          <a:off x="12258675" y="12192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5</xdr:row>
      <xdr:rowOff>19050</xdr:rowOff>
    </xdr:from>
    <xdr:to>
      <xdr:col>70</xdr:col>
      <xdr:colOff>0</xdr:colOff>
      <xdr:row>6</xdr:row>
      <xdr:rowOff>38100</xdr:rowOff>
    </xdr:to>
    <xdr:sp>
      <xdr:nvSpPr>
        <xdr:cNvPr id="108" name="Line 111"/>
        <xdr:cNvSpPr>
          <a:spLocks/>
        </xdr:cNvSpPr>
      </xdr:nvSpPr>
      <xdr:spPr>
        <a:xfrm>
          <a:off x="12668250" y="1095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152400</xdr:colOff>
      <xdr:row>5</xdr:row>
      <xdr:rowOff>114300</xdr:rowOff>
    </xdr:from>
    <xdr:to>
      <xdr:col>68</xdr:col>
      <xdr:colOff>28575</xdr:colOff>
      <xdr:row>6</xdr:row>
      <xdr:rowOff>19050</xdr:rowOff>
    </xdr:to>
    <xdr:sp>
      <xdr:nvSpPr>
        <xdr:cNvPr id="109" name="Line 112"/>
        <xdr:cNvSpPr>
          <a:spLocks/>
        </xdr:cNvSpPr>
      </xdr:nvSpPr>
      <xdr:spPr>
        <a:xfrm flipH="1">
          <a:off x="12277725" y="119062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161925</xdr:colOff>
      <xdr:row>5</xdr:row>
      <xdr:rowOff>123825</xdr:rowOff>
    </xdr:from>
    <xdr:to>
      <xdr:col>74</xdr:col>
      <xdr:colOff>28575</xdr:colOff>
      <xdr:row>6</xdr:row>
      <xdr:rowOff>28575</xdr:rowOff>
    </xdr:to>
    <xdr:sp>
      <xdr:nvSpPr>
        <xdr:cNvPr id="110" name="Line 113"/>
        <xdr:cNvSpPr>
          <a:spLocks/>
        </xdr:cNvSpPr>
      </xdr:nvSpPr>
      <xdr:spPr>
        <a:xfrm flipH="1">
          <a:off x="13373100" y="12001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9525</xdr:colOff>
      <xdr:row>2</xdr:row>
      <xdr:rowOff>0</xdr:rowOff>
    </xdr:from>
    <xdr:to>
      <xdr:col>70</xdr:col>
      <xdr:colOff>0</xdr:colOff>
      <xdr:row>3</xdr:row>
      <xdr:rowOff>142875</xdr:rowOff>
    </xdr:to>
    <xdr:sp>
      <xdr:nvSpPr>
        <xdr:cNvPr id="111" name="Line 114"/>
        <xdr:cNvSpPr>
          <a:spLocks/>
        </xdr:cNvSpPr>
      </xdr:nvSpPr>
      <xdr:spPr>
        <a:xfrm flipV="1">
          <a:off x="12315825" y="638175"/>
          <a:ext cx="3524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</xdr:row>
      <xdr:rowOff>0</xdr:rowOff>
    </xdr:from>
    <xdr:to>
      <xdr:col>74</xdr:col>
      <xdr:colOff>9525</xdr:colOff>
      <xdr:row>4</xdr:row>
      <xdr:rowOff>0</xdr:rowOff>
    </xdr:to>
    <xdr:sp>
      <xdr:nvSpPr>
        <xdr:cNvPr id="112" name="Line 115"/>
        <xdr:cNvSpPr>
          <a:spLocks/>
        </xdr:cNvSpPr>
      </xdr:nvSpPr>
      <xdr:spPr>
        <a:xfrm>
          <a:off x="13030200" y="638175"/>
          <a:ext cx="3714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2</xdr:row>
      <xdr:rowOff>9525</xdr:rowOff>
    </xdr:from>
    <xdr:to>
      <xdr:col>70</xdr:col>
      <xdr:colOff>0</xdr:colOff>
      <xdr:row>3</xdr:row>
      <xdr:rowOff>142875</xdr:rowOff>
    </xdr:to>
    <xdr:sp>
      <xdr:nvSpPr>
        <xdr:cNvPr id="113" name="Line 116"/>
        <xdr:cNvSpPr>
          <a:spLocks/>
        </xdr:cNvSpPr>
      </xdr:nvSpPr>
      <xdr:spPr>
        <a:xfrm>
          <a:off x="12668250" y="6477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76200</xdr:colOff>
      <xdr:row>2</xdr:row>
      <xdr:rowOff>85725</xdr:rowOff>
    </xdr:from>
    <xdr:to>
      <xdr:col>69</xdr:col>
      <xdr:colOff>76200</xdr:colOff>
      <xdr:row>4</xdr:row>
      <xdr:rowOff>0</xdr:rowOff>
    </xdr:to>
    <xdr:sp>
      <xdr:nvSpPr>
        <xdr:cNvPr id="114" name="Line 117"/>
        <xdr:cNvSpPr>
          <a:spLocks/>
        </xdr:cNvSpPr>
      </xdr:nvSpPr>
      <xdr:spPr>
        <a:xfrm>
          <a:off x="12563475" y="7239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123825</xdr:colOff>
      <xdr:row>3</xdr:row>
      <xdr:rowOff>47625</xdr:rowOff>
    </xdr:from>
    <xdr:to>
      <xdr:col>68</xdr:col>
      <xdr:colOff>123825</xdr:colOff>
      <xdr:row>3</xdr:row>
      <xdr:rowOff>142875</xdr:rowOff>
    </xdr:to>
    <xdr:sp>
      <xdr:nvSpPr>
        <xdr:cNvPr id="115" name="Line 118"/>
        <xdr:cNvSpPr>
          <a:spLocks/>
        </xdr:cNvSpPr>
      </xdr:nvSpPr>
      <xdr:spPr>
        <a:xfrm>
          <a:off x="12430125" y="8286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104775</xdr:colOff>
      <xdr:row>2</xdr:row>
      <xdr:rowOff>85725</xdr:rowOff>
    </xdr:from>
    <xdr:to>
      <xdr:col>72</xdr:col>
      <xdr:colOff>104775</xdr:colOff>
      <xdr:row>3</xdr:row>
      <xdr:rowOff>142875</xdr:rowOff>
    </xdr:to>
    <xdr:sp>
      <xdr:nvSpPr>
        <xdr:cNvPr id="116" name="Line 119"/>
        <xdr:cNvSpPr>
          <a:spLocks/>
        </xdr:cNvSpPr>
      </xdr:nvSpPr>
      <xdr:spPr>
        <a:xfrm>
          <a:off x="13134975" y="723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47625</xdr:colOff>
      <xdr:row>3</xdr:row>
      <xdr:rowOff>38100</xdr:rowOff>
    </xdr:from>
    <xdr:to>
      <xdr:col>73</xdr:col>
      <xdr:colOff>47625</xdr:colOff>
      <xdr:row>4</xdr:row>
      <xdr:rowOff>0</xdr:rowOff>
    </xdr:to>
    <xdr:sp>
      <xdr:nvSpPr>
        <xdr:cNvPr id="117" name="Line 120"/>
        <xdr:cNvSpPr>
          <a:spLocks/>
        </xdr:cNvSpPr>
      </xdr:nvSpPr>
      <xdr:spPr>
        <a:xfrm>
          <a:off x="13258800" y="8191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95250</xdr:colOff>
      <xdr:row>1</xdr:row>
      <xdr:rowOff>133350</xdr:rowOff>
    </xdr:from>
    <xdr:to>
      <xdr:col>72</xdr:col>
      <xdr:colOff>104775</xdr:colOff>
      <xdr:row>3</xdr:row>
      <xdr:rowOff>9525</xdr:rowOff>
    </xdr:to>
    <xdr:sp>
      <xdr:nvSpPr>
        <xdr:cNvPr id="118" name="Line 121"/>
        <xdr:cNvSpPr>
          <a:spLocks/>
        </xdr:cNvSpPr>
      </xdr:nvSpPr>
      <xdr:spPr>
        <a:xfrm flipV="1">
          <a:off x="12944475" y="628650"/>
          <a:ext cx="190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2</xdr:row>
      <xdr:rowOff>0</xdr:rowOff>
    </xdr:from>
    <xdr:to>
      <xdr:col>72</xdr:col>
      <xdr:colOff>0</xdr:colOff>
      <xdr:row>2</xdr:row>
      <xdr:rowOff>0</xdr:rowOff>
    </xdr:to>
    <xdr:sp>
      <xdr:nvSpPr>
        <xdr:cNvPr id="119" name="Line 122"/>
        <xdr:cNvSpPr>
          <a:spLocks/>
        </xdr:cNvSpPr>
      </xdr:nvSpPr>
      <xdr:spPr>
        <a:xfrm>
          <a:off x="12668250" y="6381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95250</xdr:colOff>
      <xdr:row>2</xdr:row>
      <xdr:rowOff>0</xdr:rowOff>
    </xdr:from>
    <xdr:to>
      <xdr:col>71</xdr:col>
      <xdr:colOff>95250</xdr:colOff>
      <xdr:row>4</xdr:row>
      <xdr:rowOff>0</xdr:rowOff>
    </xdr:to>
    <xdr:sp>
      <xdr:nvSpPr>
        <xdr:cNvPr id="120" name="Line 123"/>
        <xdr:cNvSpPr>
          <a:spLocks/>
        </xdr:cNvSpPr>
      </xdr:nvSpPr>
      <xdr:spPr>
        <a:xfrm>
          <a:off x="12944475" y="638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</xdr:row>
      <xdr:rowOff>9525</xdr:rowOff>
    </xdr:from>
    <xdr:to>
      <xdr:col>72</xdr:col>
      <xdr:colOff>0</xdr:colOff>
      <xdr:row>3</xdr:row>
      <xdr:rowOff>142875</xdr:rowOff>
    </xdr:to>
    <xdr:sp>
      <xdr:nvSpPr>
        <xdr:cNvPr id="121" name="Line 124"/>
        <xdr:cNvSpPr>
          <a:spLocks/>
        </xdr:cNvSpPr>
      </xdr:nvSpPr>
      <xdr:spPr>
        <a:xfrm>
          <a:off x="13030200" y="6477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2</xdr:row>
      <xdr:rowOff>0</xdr:rowOff>
    </xdr:from>
    <xdr:to>
      <xdr:col>70</xdr:col>
      <xdr:colOff>95250</xdr:colOff>
      <xdr:row>4</xdr:row>
      <xdr:rowOff>0</xdr:rowOff>
    </xdr:to>
    <xdr:sp>
      <xdr:nvSpPr>
        <xdr:cNvPr id="122" name="Line 125"/>
        <xdr:cNvSpPr>
          <a:spLocks/>
        </xdr:cNvSpPr>
      </xdr:nvSpPr>
      <xdr:spPr>
        <a:xfrm>
          <a:off x="12763500" y="638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123" name="Line 126"/>
        <xdr:cNvSpPr>
          <a:spLocks/>
        </xdr:cNvSpPr>
      </xdr:nvSpPr>
      <xdr:spPr>
        <a:xfrm>
          <a:off x="12849225" y="638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5</xdr:row>
      <xdr:rowOff>9525</xdr:rowOff>
    </xdr:from>
    <xdr:to>
      <xdr:col>72</xdr:col>
      <xdr:colOff>0</xdr:colOff>
      <xdr:row>6</xdr:row>
      <xdr:rowOff>38100</xdr:rowOff>
    </xdr:to>
    <xdr:sp>
      <xdr:nvSpPr>
        <xdr:cNvPr id="124" name="Line 127"/>
        <xdr:cNvSpPr>
          <a:spLocks/>
        </xdr:cNvSpPr>
      </xdr:nvSpPr>
      <xdr:spPr>
        <a:xfrm>
          <a:off x="13030200" y="1085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161925</xdr:colOff>
      <xdr:row>5</xdr:row>
      <xdr:rowOff>114300</xdr:rowOff>
    </xdr:from>
    <xdr:to>
      <xdr:col>70</xdr:col>
      <xdr:colOff>28575</xdr:colOff>
      <xdr:row>6</xdr:row>
      <xdr:rowOff>19050</xdr:rowOff>
    </xdr:to>
    <xdr:sp>
      <xdr:nvSpPr>
        <xdr:cNvPr id="125" name="Line 128"/>
        <xdr:cNvSpPr>
          <a:spLocks/>
        </xdr:cNvSpPr>
      </xdr:nvSpPr>
      <xdr:spPr>
        <a:xfrm flipH="1">
          <a:off x="12649200" y="119062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152400</xdr:colOff>
      <xdr:row>5</xdr:row>
      <xdr:rowOff>114300</xdr:rowOff>
    </xdr:from>
    <xdr:to>
      <xdr:col>72</xdr:col>
      <xdr:colOff>28575</xdr:colOff>
      <xdr:row>6</xdr:row>
      <xdr:rowOff>19050</xdr:rowOff>
    </xdr:to>
    <xdr:sp>
      <xdr:nvSpPr>
        <xdr:cNvPr id="126" name="Line 129"/>
        <xdr:cNvSpPr>
          <a:spLocks/>
        </xdr:cNvSpPr>
      </xdr:nvSpPr>
      <xdr:spPr>
        <a:xfrm flipH="1">
          <a:off x="13001625" y="119062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19</xdr:row>
      <xdr:rowOff>0</xdr:rowOff>
    </xdr:from>
    <xdr:to>
      <xdr:col>12</xdr:col>
      <xdr:colOff>57150</xdr:colOff>
      <xdr:row>19</xdr:row>
      <xdr:rowOff>104775</xdr:rowOff>
    </xdr:to>
    <xdr:sp>
      <xdr:nvSpPr>
        <xdr:cNvPr id="127" name="AutoShape 130"/>
        <xdr:cNvSpPr>
          <a:spLocks/>
        </xdr:cNvSpPr>
      </xdr:nvSpPr>
      <xdr:spPr>
        <a:xfrm>
          <a:off x="2124075" y="312420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19</xdr:row>
      <xdr:rowOff>0</xdr:rowOff>
    </xdr:from>
    <xdr:to>
      <xdr:col>15</xdr:col>
      <xdr:colOff>57150</xdr:colOff>
      <xdr:row>19</xdr:row>
      <xdr:rowOff>104775</xdr:rowOff>
    </xdr:to>
    <xdr:sp>
      <xdr:nvSpPr>
        <xdr:cNvPr id="128" name="AutoShape 131"/>
        <xdr:cNvSpPr>
          <a:spLocks/>
        </xdr:cNvSpPr>
      </xdr:nvSpPr>
      <xdr:spPr>
        <a:xfrm>
          <a:off x="2667000" y="312420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19</xdr:row>
      <xdr:rowOff>0</xdr:rowOff>
    </xdr:from>
    <xdr:to>
      <xdr:col>18</xdr:col>
      <xdr:colOff>57150</xdr:colOff>
      <xdr:row>19</xdr:row>
      <xdr:rowOff>114300</xdr:rowOff>
    </xdr:to>
    <xdr:sp>
      <xdr:nvSpPr>
        <xdr:cNvPr id="129" name="AutoShape 132"/>
        <xdr:cNvSpPr>
          <a:spLocks/>
        </xdr:cNvSpPr>
      </xdr:nvSpPr>
      <xdr:spPr>
        <a:xfrm>
          <a:off x="3209925" y="3124200"/>
          <a:ext cx="1047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19050</xdr:rowOff>
    </xdr:from>
    <xdr:to>
      <xdr:col>12</xdr:col>
      <xdr:colOff>0</xdr:colOff>
      <xdr:row>22</xdr:row>
      <xdr:rowOff>47625</xdr:rowOff>
    </xdr:to>
    <xdr:sp>
      <xdr:nvSpPr>
        <xdr:cNvPr id="130" name="Line 133"/>
        <xdr:cNvSpPr>
          <a:spLocks/>
        </xdr:cNvSpPr>
      </xdr:nvSpPr>
      <xdr:spPr>
        <a:xfrm>
          <a:off x="2171700" y="3429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22</xdr:row>
      <xdr:rowOff>0</xdr:rowOff>
    </xdr:from>
    <xdr:to>
      <xdr:col>18</xdr:col>
      <xdr:colOff>57150</xdr:colOff>
      <xdr:row>22</xdr:row>
      <xdr:rowOff>0</xdr:rowOff>
    </xdr:to>
    <xdr:sp>
      <xdr:nvSpPr>
        <xdr:cNvPr id="131" name="Line 134"/>
        <xdr:cNvSpPr>
          <a:spLocks/>
        </xdr:cNvSpPr>
      </xdr:nvSpPr>
      <xdr:spPr>
        <a:xfrm>
          <a:off x="2133600" y="3552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28575</xdr:rowOff>
    </xdr:from>
    <xdr:to>
      <xdr:col>18</xdr:col>
      <xdr:colOff>0</xdr:colOff>
      <xdr:row>22</xdr:row>
      <xdr:rowOff>47625</xdr:rowOff>
    </xdr:to>
    <xdr:sp>
      <xdr:nvSpPr>
        <xdr:cNvPr id="132" name="Line 135"/>
        <xdr:cNvSpPr>
          <a:spLocks/>
        </xdr:cNvSpPr>
      </xdr:nvSpPr>
      <xdr:spPr>
        <a:xfrm>
          <a:off x="3257550" y="3438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21</xdr:row>
      <xdr:rowOff>114300</xdr:rowOff>
    </xdr:from>
    <xdr:to>
      <xdr:col>12</xdr:col>
      <xdr:colOff>28575</xdr:colOff>
      <xdr:row>22</xdr:row>
      <xdr:rowOff>28575</xdr:rowOff>
    </xdr:to>
    <xdr:sp>
      <xdr:nvSpPr>
        <xdr:cNvPr id="133" name="Line 136"/>
        <xdr:cNvSpPr>
          <a:spLocks/>
        </xdr:cNvSpPr>
      </xdr:nvSpPr>
      <xdr:spPr>
        <a:xfrm flipH="1">
          <a:off x="2143125" y="352425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21</xdr:row>
      <xdr:rowOff>114300</xdr:rowOff>
    </xdr:from>
    <xdr:to>
      <xdr:col>18</xdr:col>
      <xdr:colOff>28575</xdr:colOff>
      <xdr:row>22</xdr:row>
      <xdr:rowOff>28575</xdr:rowOff>
    </xdr:to>
    <xdr:sp>
      <xdr:nvSpPr>
        <xdr:cNvPr id="134" name="Line 137"/>
        <xdr:cNvSpPr>
          <a:spLocks/>
        </xdr:cNvSpPr>
      </xdr:nvSpPr>
      <xdr:spPr>
        <a:xfrm flipH="1">
          <a:off x="3228975" y="352425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28575</xdr:rowOff>
    </xdr:from>
    <xdr:to>
      <xdr:col>15</xdr:col>
      <xdr:colOff>0</xdr:colOff>
      <xdr:row>22</xdr:row>
      <xdr:rowOff>38100</xdr:rowOff>
    </xdr:to>
    <xdr:sp>
      <xdr:nvSpPr>
        <xdr:cNvPr id="135" name="Line 138"/>
        <xdr:cNvSpPr>
          <a:spLocks/>
        </xdr:cNvSpPr>
      </xdr:nvSpPr>
      <xdr:spPr>
        <a:xfrm>
          <a:off x="2714625" y="3438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21</xdr:row>
      <xdr:rowOff>123825</xdr:rowOff>
    </xdr:from>
    <xdr:to>
      <xdr:col>15</xdr:col>
      <xdr:colOff>19050</xdr:colOff>
      <xdr:row>22</xdr:row>
      <xdr:rowOff>28575</xdr:rowOff>
    </xdr:to>
    <xdr:sp>
      <xdr:nvSpPr>
        <xdr:cNvPr id="136" name="Line 139"/>
        <xdr:cNvSpPr>
          <a:spLocks/>
        </xdr:cNvSpPr>
      </xdr:nvSpPr>
      <xdr:spPr>
        <a:xfrm flipH="1">
          <a:off x="2686050" y="353377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27</xdr:col>
      <xdr:colOff>0</xdr:colOff>
      <xdr:row>4</xdr:row>
      <xdr:rowOff>0</xdr:rowOff>
    </xdr:to>
    <xdr:sp>
      <xdr:nvSpPr>
        <xdr:cNvPr id="137" name="Line 140"/>
        <xdr:cNvSpPr>
          <a:spLocks/>
        </xdr:cNvSpPr>
      </xdr:nvSpPr>
      <xdr:spPr>
        <a:xfrm>
          <a:off x="4886325" y="790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9525</xdr:rowOff>
    </xdr:from>
    <xdr:to>
      <xdr:col>28</xdr:col>
      <xdr:colOff>0</xdr:colOff>
      <xdr:row>4</xdr:row>
      <xdr:rowOff>0</xdr:rowOff>
    </xdr:to>
    <xdr:sp>
      <xdr:nvSpPr>
        <xdr:cNvPr id="138" name="Line 141"/>
        <xdr:cNvSpPr>
          <a:spLocks/>
        </xdr:cNvSpPr>
      </xdr:nvSpPr>
      <xdr:spPr>
        <a:xfrm>
          <a:off x="5067300" y="790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</xdr:row>
      <xdr:rowOff>9525</xdr:rowOff>
    </xdr:from>
    <xdr:to>
      <xdr:col>31</xdr:col>
      <xdr:colOff>0</xdr:colOff>
      <xdr:row>4</xdr:row>
      <xdr:rowOff>0</xdr:rowOff>
    </xdr:to>
    <xdr:sp>
      <xdr:nvSpPr>
        <xdr:cNvPr id="139" name="Line 142"/>
        <xdr:cNvSpPr>
          <a:spLocks/>
        </xdr:cNvSpPr>
      </xdr:nvSpPr>
      <xdr:spPr>
        <a:xfrm>
          <a:off x="5610225" y="790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</xdr:row>
      <xdr:rowOff>9525</xdr:rowOff>
    </xdr:from>
    <xdr:to>
      <xdr:col>30</xdr:col>
      <xdr:colOff>0</xdr:colOff>
      <xdr:row>4</xdr:row>
      <xdr:rowOff>0</xdr:rowOff>
    </xdr:to>
    <xdr:sp>
      <xdr:nvSpPr>
        <xdr:cNvPr id="140" name="Line 143"/>
        <xdr:cNvSpPr>
          <a:spLocks/>
        </xdr:cNvSpPr>
      </xdr:nvSpPr>
      <xdr:spPr>
        <a:xfrm>
          <a:off x="5429250" y="790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9525</xdr:rowOff>
    </xdr:from>
    <xdr:to>
      <xdr:col>29</xdr:col>
      <xdr:colOff>0</xdr:colOff>
      <xdr:row>4</xdr:row>
      <xdr:rowOff>0</xdr:rowOff>
    </xdr:to>
    <xdr:sp>
      <xdr:nvSpPr>
        <xdr:cNvPr id="141" name="Line 144"/>
        <xdr:cNvSpPr>
          <a:spLocks/>
        </xdr:cNvSpPr>
      </xdr:nvSpPr>
      <xdr:spPr>
        <a:xfrm>
          <a:off x="5248275" y="790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25</xdr:row>
      <xdr:rowOff>0</xdr:rowOff>
    </xdr:from>
    <xdr:to>
      <xdr:col>12</xdr:col>
      <xdr:colOff>57150</xdr:colOff>
      <xdr:row>25</xdr:row>
      <xdr:rowOff>104775</xdr:rowOff>
    </xdr:to>
    <xdr:sp>
      <xdr:nvSpPr>
        <xdr:cNvPr id="142" name="AutoShape 145"/>
        <xdr:cNvSpPr>
          <a:spLocks/>
        </xdr:cNvSpPr>
      </xdr:nvSpPr>
      <xdr:spPr>
        <a:xfrm>
          <a:off x="2124075" y="39909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25</xdr:row>
      <xdr:rowOff>0</xdr:rowOff>
    </xdr:from>
    <xdr:to>
      <xdr:col>15</xdr:col>
      <xdr:colOff>57150</xdr:colOff>
      <xdr:row>25</xdr:row>
      <xdr:rowOff>104775</xdr:rowOff>
    </xdr:to>
    <xdr:sp>
      <xdr:nvSpPr>
        <xdr:cNvPr id="143" name="AutoShape 146"/>
        <xdr:cNvSpPr>
          <a:spLocks/>
        </xdr:cNvSpPr>
      </xdr:nvSpPr>
      <xdr:spPr>
        <a:xfrm>
          <a:off x="2667000" y="39909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25</xdr:row>
      <xdr:rowOff>0</xdr:rowOff>
    </xdr:from>
    <xdr:to>
      <xdr:col>18</xdr:col>
      <xdr:colOff>57150</xdr:colOff>
      <xdr:row>25</xdr:row>
      <xdr:rowOff>114300</xdr:rowOff>
    </xdr:to>
    <xdr:sp>
      <xdr:nvSpPr>
        <xdr:cNvPr id="144" name="AutoShape 147"/>
        <xdr:cNvSpPr>
          <a:spLocks/>
        </xdr:cNvSpPr>
      </xdr:nvSpPr>
      <xdr:spPr>
        <a:xfrm>
          <a:off x="3209925" y="3990975"/>
          <a:ext cx="1047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19050</xdr:rowOff>
    </xdr:from>
    <xdr:to>
      <xdr:col>12</xdr:col>
      <xdr:colOff>0</xdr:colOff>
      <xdr:row>28</xdr:row>
      <xdr:rowOff>47625</xdr:rowOff>
    </xdr:to>
    <xdr:sp>
      <xdr:nvSpPr>
        <xdr:cNvPr id="145" name="Line 148"/>
        <xdr:cNvSpPr>
          <a:spLocks/>
        </xdr:cNvSpPr>
      </xdr:nvSpPr>
      <xdr:spPr>
        <a:xfrm>
          <a:off x="2171700" y="429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28</xdr:row>
      <xdr:rowOff>0</xdr:rowOff>
    </xdr:from>
    <xdr:to>
      <xdr:col>18</xdr:col>
      <xdr:colOff>57150</xdr:colOff>
      <xdr:row>28</xdr:row>
      <xdr:rowOff>0</xdr:rowOff>
    </xdr:to>
    <xdr:sp>
      <xdr:nvSpPr>
        <xdr:cNvPr id="146" name="Line 149"/>
        <xdr:cNvSpPr>
          <a:spLocks/>
        </xdr:cNvSpPr>
      </xdr:nvSpPr>
      <xdr:spPr>
        <a:xfrm>
          <a:off x="2133600" y="44196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28575</xdr:rowOff>
    </xdr:from>
    <xdr:to>
      <xdr:col>18</xdr:col>
      <xdr:colOff>0</xdr:colOff>
      <xdr:row>28</xdr:row>
      <xdr:rowOff>47625</xdr:rowOff>
    </xdr:to>
    <xdr:sp>
      <xdr:nvSpPr>
        <xdr:cNvPr id="147" name="Line 150"/>
        <xdr:cNvSpPr>
          <a:spLocks/>
        </xdr:cNvSpPr>
      </xdr:nvSpPr>
      <xdr:spPr>
        <a:xfrm>
          <a:off x="3257550" y="4305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27</xdr:row>
      <xdr:rowOff>114300</xdr:rowOff>
    </xdr:from>
    <xdr:to>
      <xdr:col>12</xdr:col>
      <xdr:colOff>28575</xdr:colOff>
      <xdr:row>28</xdr:row>
      <xdr:rowOff>28575</xdr:rowOff>
    </xdr:to>
    <xdr:sp>
      <xdr:nvSpPr>
        <xdr:cNvPr id="148" name="Line 151"/>
        <xdr:cNvSpPr>
          <a:spLocks/>
        </xdr:cNvSpPr>
      </xdr:nvSpPr>
      <xdr:spPr>
        <a:xfrm flipH="1">
          <a:off x="2143125" y="43910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27</xdr:row>
      <xdr:rowOff>114300</xdr:rowOff>
    </xdr:from>
    <xdr:to>
      <xdr:col>18</xdr:col>
      <xdr:colOff>28575</xdr:colOff>
      <xdr:row>28</xdr:row>
      <xdr:rowOff>28575</xdr:rowOff>
    </xdr:to>
    <xdr:sp>
      <xdr:nvSpPr>
        <xdr:cNvPr id="149" name="Line 152"/>
        <xdr:cNvSpPr>
          <a:spLocks/>
        </xdr:cNvSpPr>
      </xdr:nvSpPr>
      <xdr:spPr>
        <a:xfrm flipH="1">
          <a:off x="3228975" y="43910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28575</xdr:rowOff>
    </xdr:from>
    <xdr:to>
      <xdr:col>15</xdr:col>
      <xdr:colOff>0</xdr:colOff>
      <xdr:row>28</xdr:row>
      <xdr:rowOff>38100</xdr:rowOff>
    </xdr:to>
    <xdr:sp>
      <xdr:nvSpPr>
        <xdr:cNvPr id="150" name="Line 153"/>
        <xdr:cNvSpPr>
          <a:spLocks/>
        </xdr:cNvSpPr>
      </xdr:nvSpPr>
      <xdr:spPr>
        <a:xfrm>
          <a:off x="2714625" y="43053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27</xdr:row>
      <xdr:rowOff>123825</xdr:rowOff>
    </xdr:from>
    <xdr:to>
      <xdr:col>15</xdr:col>
      <xdr:colOff>19050</xdr:colOff>
      <xdr:row>28</xdr:row>
      <xdr:rowOff>28575</xdr:rowOff>
    </xdr:to>
    <xdr:sp>
      <xdr:nvSpPr>
        <xdr:cNvPr id="151" name="Line 154"/>
        <xdr:cNvSpPr>
          <a:spLocks/>
        </xdr:cNvSpPr>
      </xdr:nvSpPr>
      <xdr:spPr>
        <a:xfrm flipH="1">
          <a:off x="2686050" y="44005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32</xdr:row>
      <xdr:rowOff>0</xdr:rowOff>
    </xdr:from>
    <xdr:to>
      <xdr:col>12</xdr:col>
      <xdr:colOff>57150</xdr:colOff>
      <xdr:row>32</xdr:row>
      <xdr:rowOff>104775</xdr:rowOff>
    </xdr:to>
    <xdr:sp>
      <xdr:nvSpPr>
        <xdr:cNvPr id="152" name="AutoShape 155"/>
        <xdr:cNvSpPr>
          <a:spLocks/>
        </xdr:cNvSpPr>
      </xdr:nvSpPr>
      <xdr:spPr>
        <a:xfrm>
          <a:off x="2124075" y="50482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32</xdr:row>
      <xdr:rowOff>0</xdr:rowOff>
    </xdr:from>
    <xdr:to>
      <xdr:col>15</xdr:col>
      <xdr:colOff>57150</xdr:colOff>
      <xdr:row>32</xdr:row>
      <xdr:rowOff>104775</xdr:rowOff>
    </xdr:to>
    <xdr:sp>
      <xdr:nvSpPr>
        <xdr:cNvPr id="153" name="AutoShape 156"/>
        <xdr:cNvSpPr>
          <a:spLocks/>
        </xdr:cNvSpPr>
      </xdr:nvSpPr>
      <xdr:spPr>
        <a:xfrm>
          <a:off x="2667000" y="50482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32</xdr:row>
      <xdr:rowOff>9525</xdr:rowOff>
    </xdr:from>
    <xdr:to>
      <xdr:col>18</xdr:col>
      <xdr:colOff>57150</xdr:colOff>
      <xdr:row>32</xdr:row>
      <xdr:rowOff>114300</xdr:rowOff>
    </xdr:to>
    <xdr:sp>
      <xdr:nvSpPr>
        <xdr:cNvPr id="154" name="AutoShape 157"/>
        <xdr:cNvSpPr>
          <a:spLocks/>
        </xdr:cNvSpPr>
      </xdr:nvSpPr>
      <xdr:spPr>
        <a:xfrm>
          <a:off x="3209925" y="50577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19050</xdr:rowOff>
    </xdr:from>
    <xdr:to>
      <xdr:col>12</xdr:col>
      <xdr:colOff>0</xdr:colOff>
      <xdr:row>35</xdr:row>
      <xdr:rowOff>47625</xdr:rowOff>
    </xdr:to>
    <xdr:sp>
      <xdr:nvSpPr>
        <xdr:cNvPr id="155" name="Line 158"/>
        <xdr:cNvSpPr>
          <a:spLocks/>
        </xdr:cNvSpPr>
      </xdr:nvSpPr>
      <xdr:spPr>
        <a:xfrm>
          <a:off x="2171700" y="53911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35</xdr:row>
      <xdr:rowOff>0</xdr:rowOff>
    </xdr:from>
    <xdr:to>
      <xdr:col>18</xdr:col>
      <xdr:colOff>57150</xdr:colOff>
      <xdr:row>35</xdr:row>
      <xdr:rowOff>0</xdr:rowOff>
    </xdr:to>
    <xdr:sp>
      <xdr:nvSpPr>
        <xdr:cNvPr id="156" name="Line 159"/>
        <xdr:cNvSpPr>
          <a:spLocks/>
        </xdr:cNvSpPr>
      </xdr:nvSpPr>
      <xdr:spPr>
        <a:xfrm>
          <a:off x="1552575" y="5534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28575</xdr:rowOff>
    </xdr:from>
    <xdr:to>
      <xdr:col>18</xdr:col>
      <xdr:colOff>0</xdr:colOff>
      <xdr:row>35</xdr:row>
      <xdr:rowOff>47625</xdr:rowOff>
    </xdr:to>
    <xdr:sp>
      <xdr:nvSpPr>
        <xdr:cNvPr id="157" name="Line 160"/>
        <xdr:cNvSpPr>
          <a:spLocks/>
        </xdr:cNvSpPr>
      </xdr:nvSpPr>
      <xdr:spPr>
        <a:xfrm>
          <a:off x="3257550" y="54006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34</xdr:row>
      <xdr:rowOff>114300</xdr:rowOff>
    </xdr:from>
    <xdr:to>
      <xdr:col>12</xdr:col>
      <xdr:colOff>28575</xdr:colOff>
      <xdr:row>35</xdr:row>
      <xdr:rowOff>28575</xdr:rowOff>
    </xdr:to>
    <xdr:sp>
      <xdr:nvSpPr>
        <xdr:cNvPr id="158" name="Line 161"/>
        <xdr:cNvSpPr>
          <a:spLocks/>
        </xdr:cNvSpPr>
      </xdr:nvSpPr>
      <xdr:spPr>
        <a:xfrm flipH="1">
          <a:off x="2143125" y="54864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34</xdr:row>
      <xdr:rowOff>114300</xdr:rowOff>
    </xdr:from>
    <xdr:to>
      <xdr:col>18</xdr:col>
      <xdr:colOff>28575</xdr:colOff>
      <xdr:row>35</xdr:row>
      <xdr:rowOff>28575</xdr:rowOff>
    </xdr:to>
    <xdr:sp>
      <xdr:nvSpPr>
        <xdr:cNvPr id="159" name="Line 162"/>
        <xdr:cNvSpPr>
          <a:spLocks/>
        </xdr:cNvSpPr>
      </xdr:nvSpPr>
      <xdr:spPr>
        <a:xfrm flipH="1">
          <a:off x="3228975" y="54864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28575</xdr:rowOff>
    </xdr:from>
    <xdr:to>
      <xdr:col>15</xdr:col>
      <xdr:colOff>0</xdr:colOff>
      <xdr:row>35</xdr:row>
      <xdr:rowOff>38100</xdr:rowOff>
    </xdr:to>
    <xdr:sp>
      <xdr:nvSpPr>
        <xdr:cNvPr id="160" name="Line 163"/>
        <xdr:cNvSpPr>
          <a:spLocks/>
        </xdr:cNvSpPr>
      </xdr:nvSpPr>
      <xdr:spPr>
        <a:xfrm>
          <a:off x="2714625" y="54006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34</xdr:row>
      <xdr:rowOff>123825</xdr:rowOff>
    </xdr:from>
    <xdr:to>
      <xdr:col>15</xdr:col>
      <xdr:colOff>19050</xdr:colOff>
      <xdr:row>35</xdr:row>
      <xdr:rowOff>28575</xdr:rowOff>
    </xdr:to>
    <xdr:sp>
      <xdr:nvSpPr>
        <xdr:cNvPr id="161" name="Line 164"/>
        <xdr:cNvSpPr>
          <a:spLocks/>
        </xdr:cNvSpPr>
      </xdr:nvSpPr>
      <xdr:spPr>
        <a:xfrm flipH="1">
          <a:off x="2686050" y="5495925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32</xdr:row>
      <xdr:rowOff>0</xdr:rowOff>
    </xdr:from>
    <xdr:to>
      <xdr:col>9</xdr:col>
      <xdr:colOff>57150</xdr:colOff>
      <xdr:row>32</xdr:row>
      <xdr:rowOff>104775</xdr:rowOff>
    </xdr:to>
    <xdr:sp>
      <xdr:nvSpPr>
        <xdr:cNvPr id="162" name="AutoShape 165"/>
        <xdr:cNvSpPr>
          <a:spLocks/>
        </xdr:cNvSpPr>
      </xdr:nvSpPr>
      <xdr:spPr>
        <a:xfrm>
          <a:off x="1581150" y="50482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19050</xdr:rowOff>
    </xdr:from>
    <xdr:to>
      <xdr:col>9</xdr:col>
      <xdr:colOff>0</xdr:colOff>
      <xdr:row>35</xdr:row>
      <xdr:rowOff>47625</xdr:rowOff>
    </xdr:to>
    <xdr:sp>
      <xdr:nvSpPr>
        <xdr:cNvPr id="163" name="Line 166"/>
        <xdr:cNvSpPr>
          <a:spLocks/>
        </xdr:cNvSpPr>
      </xdr:nvSpPr>
      <xdr:spPr>
        <a:xfrm>
          <a:off x="1628775" y="53911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34</xdr:row>
      <xdr:rowOff>114300</xdr:rowOff>
    </xdr:from>
    <xdr:to>
      <xdr:col>9</xdr:col>
      <xdr:colOff>28575</xdr:colOff>
      <xdr:row>35</xdr:row>
      <xdr:rowOff>28575</xdr:rowOff>
    </xdr:to>
    <xdr:sp>
      <xdr:nvSpPr>
        <xdr:cNvPr id="164" name="Line 167"/>
        <xdr:cNvSpPr>
          <a:spLocks/>
        </xdr:cNvSpPr>
      </xdr:nvSpPr>
      <xdr:spPr>
        <a:xfrm flipH="1">
          <a:off x="1600200" y="54864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40</xdr:row>
      <xdr:rowOff>0</xdr:rowOff>
    </xdr:from>
    <xdr:to>
      <xdr:col>12</xdr:col>
      <xdr:colOff>57150</xdr:colOff>
      <xdr:row>40</xdr:row>
      <xdr:rowOff>104775</xdr:rowOff>
    </xdr:to>
    <xdr:sp>
      <xdr:nvSpPr>
        <xdr:cNvPr id="165" name="AutoShape 168"/>
        <xdr:cNvSpPr>
          <a:spLocks/>
        </xdr:cNvSpPr>
      </xdr:nvSpPr>
      <xdr:spPr>
        <a:xfrm>
          <a:off x="2124075" y="63531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40</xdr:row>
      <xdr:rowOff>0</xdr:rowOff>
    </xdr:from>
    <xdr:to>
      <xdr:col>15</xdr:col>
      <xdr:colOff>57150</xdr:colOff>
      <xdr:row>40</xdr:row>
      <xdr:rowOff>104775</xdr:rowOff>
    </xdr:to>
    <xdr:sp>
      <xdr:nvSpPr>
        <xdr:cNvPr id="166" name="AutoShape 169"/>
        <xdr:cNvSpPr>
          <a:spLocks/>
        </xdr:cNvSpPr>
      </xdr:nvSpPr>
      <xdr:spPr>
        <a:xfrm>
          <a:off x="2667000" y="63531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40</xdr:row>
      <xdr:rowOff>9525</xdr:rowOff>
    </xdr:from>
    <xdr:to>
      <xdr:col>18</xdr:col>
      <xdr:colOff>57150</xdr:colOff>
      <xdr:row>40</xdr:row>
      <xdr:rowOff>114300</xdr:rowOff>
    </xdr:to>
    <xdr:sp>
      <xdr:nvSpPr>
        <xdr:cNvPr id="167" name="AutoShape 170"/>
        <xdr:cNvSpPr>
          <a:spLocks/>
        </xdr:cNvSpPr>
      </xdr:nvSpPr>
      <xdr:spPr>
        <a:xfrm>
          <a:off x="3209925" y="636270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19050</xdr:rowOff>
    </xdr:from>
    <xdr:to>
      <xdr:col>12</xdr:col>
      <xdr:colOff>0</xdr:colOff>
      <xdr:row>43</xdr:row>
      <xdr:rowOff>47625</xdr:rowOff>
    </xdr:to>
    <xdr:sp>
      <xdr:nvSpPr>
        <xdr:cNvPr id="168" name="Line 171"/>
        <xdr:cNvSpPr>
          <a:spLocks/>
        </xdr:cNvSpPr>
      </xdr:nvSpPr>
      <xdr:spPr>
        <a:xfrm>
          <a:off x="2171700" y="6696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43</xdr:row>
      <xdr:rowOff>0</xdr:rowOff>
    </xdr:from>
    <xdr:to>
      <xdr:col>18</xdr:col>
      <xdr:colOff>57150</xdr:colOff>
      <xdr:row>43</xdr:row>
      <xdr:rowOff>0</xdr:rowOff>
    </xdr:to>
    <xdr:sp>
      <xdr:nvSpPr>
        <xdr:cNvPr id="169" name="Line 172"/>
        <xdr:cNvSpPr>
          <a:spLocks/>
        </xdr:cNvSpPr>
      </xdr:nvSpPr>
      <xdr:spPr>
        <a:xfrm>
          <a:off x="1552575" y="6838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42</xdr:row>
      <xdr:rowOff>28575</xdr:rowOff>
    </xdr:from>
    <xdr:to>
      <xdr:col>18</xdr:col>
      <xdr:colOff>0</xdr:colOff>
      <xdr:row>43</xdr:row>
      <xdr:rowOff>47625</xdr:rowOff>
    </xdr:to>
    <xdr:sp>
      <xdr:nvSpPr>
        <xdr:cNvPr id="170" name="Line 173"/>
        <xdr:cNvSpPr>
          <a:spLocks/>
        </xdr:cNvSpPr>
      </xdr:nvSpPr>
      <xdr:spPr>
        <a:xfrm>
          <a:off x="3257550" y="67056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42</xdr:row>
      <xdr:rowOff>114300</xdr:rowOff>
    </xdr:from>
    <xdr:to>
      <xdr:col>12</xdr:col>
      <xdr:colOff>28575</xdr:colOff>
      <xdr:row>43</xdr:row>
      <xdr:rowOff>28575</xdr:rowOff>
    </xdr:to>
    <xdr:sp>
      <xdr:nvSpPr>
        <xdr:cNvPr id="171" name="Line 174"/>
        <xdr:cNvSpPr>
          <a:spLocks/>
        </xdr:cNvSpPr>
      </xdr:nvSpPr>
      <xdr:spPr>
        <a:xfrm flipH="1">
          <a:off x="2143125" y="679132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42</xdr:row>
      <xdr:rowOff>114300</xdr:rowOff>
    </xdr:from>
    <xdr:to>
      <xdr:col>18</xdr:col>
      <xdr:colOff>28575</xdr:colOff>
      <xdr:row>43</xdr:row>
      <xdr:rowOff>28575</xdr:rowOff>
    </xdr:to>
    <xdr:sp>
      <xdr:nvSpPr>
        <xdr:cNvPr id="172" name="Line 175"/>
        <xdr:cNvSpPr>
          <a:spLocks/>
        </xdr:cNvSpPr>
      </xdr:nvSpPr>
      <xdr:spPr>
        <a:xfrm flipH="1">
          <a:off x="3228975" y="679132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38100</xdr:rowOff>
    </xdr:to>
    <xdr:sp>
      <xdr:nvSpPr>
        <xdr:cNvPr id="173" name="Line 176"/>
        <xdr:cNvSpPr>
          <a:spLocks/>
        </xdr:cNvSpPr>
      </xdr:nvSpPr>
      <xdr:spPr>
        <a:xfrm>
          <a:off x="2714625" y="67056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42</xdr:row>
      <xdr:rowOff>123825</xdr:rowOff>
    </xdr:from>
    <xdr:to>
      <xdr:col>15</xdr:col>
      <xdr:colOff>19050</xdr:colOff>
      <xdr:row>43</xdr:row>
      <xdr:rowOff>28575</xdr:rowOff>
    </xdr:to>
    <xdr:sp>
      <xdr:nvSpPr>
        <xdr:cNvPr id="174" name="Line 177"/>
        <xdr:cNvSpPr>
          <a:spLocks/>
        </xdr:cNvSpPr>
      </xdr:nvSpPr>
      <xdr:spPr>
        <a:xfrm flipH="1">
          <a:off x="2686050" y="6800850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40</xdr:row>
      <xdr:rowOff>0</xdr:rowOff>
    </xdr:from>
    <xdr:to>
      <xdr:col>9</xdr:col>
      <xdr:colOff>57150</xdr:colOff>
      <xdr:row>40</xdr:row>
      <xdr:rowOff>104775</xdr:rowOff>
    </xdr:to>
    <xdr:sp>
      <xdr:nvSpPr>
        <xdr:cNvPr id="175" name="AutoShape 178"/>
        <xdr:cNvSpPr>
          <a:spLocks/>
        </xdr:cNvSpPr>
      </xdr:nvSpPr>
      <xdr:spPr>
        <a:xfrm>
          <a:off x="1581150" y="63531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19050</xdr:rowOff>
    </xdr:from>
    <xdr:to>
      <xdr:col>9</xdr:col>
      <xdr:colOff>0</xdr:colOff>
      <xdr:row>43</xdr:row>
      <xdr:rowOff>47625</xdr:rowOff>
    </xdr:to>
    <xdr:sp>
      <xdr:nvSpPr>
        <xdr:cNvPr id="176" name="Line 179"/>
        <xdr:cNvSpPr>
          <a:spLocks/>
        </xdr:cNvSpPr>
      </xdr:nvSpPr>
      <xdr:spPr>
        <a:xfrm>
          <a:off x="1628775" y="6696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42</xdr:row>
      <xdr:rowOff>114300</xdr:rowOff>
    </xdr:from>
    <xdr:to>
      <xdr:col>9</xdr:col>
      <xdr:colOff>28575</xdr:colOff>
      <xdr:row>43</xdr:row>
      <xdr:rowOff>28575</xdr:rowOff>
    </xdr:to>
    <xdr:sp>
      <xdr:nvSpPr>
        <xdr:cNvPr id="177" name="Line 180"/>
        <xdr:cNvSpPr>
          <a:spLocks/>
        </xdr:cNvSpPr>
      </xdr:nvSpPr>
      <xdr:spPr>
        <a:xfrm flipH="1">
          <a:off x="1600200" y="679132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46</xdr:row>
      <xdr:rowOff>0</xdr:rowOff>
    </xdr:from>
    <xdr:to>
      <xdr:col>12</xdr:col>
      <xdr:colOff>57150</xdr:colOff>
      <xdr:row>46</xdr:row>
      <xdr:rowOff>104775</xdr:rowOff>
    </xdr:to>
    <xdr:sp>
      <xdr:nvSpPr>
        <xdr:cNvPr id="178" name="AutoShape 181"/>
        <xdr:cNvSpPr>
          <a:spLocks/>
        </xdr:cNvSpPr>
      </xdr:nvSpPr>
      <xdr:spPr>
        <a:xfrm>
          <a:off x="2124075" y="73342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46</xdr:row>
      <xdr:rowOff>0</xdr:rowOff>
    </xdr:from>
    <xdr:to>
      <xdr:col>15</xdr:col>
      <xdr:colOff>57150</xdr:colOff>
      <xdr:row>46</xdr:row>
      <xdr:rowOff>104775</xdr:rowOff>
    </xdr:to>
    <xdr:sp>
      <xdr:nvSpPr>
        <xdr:cNvPr id="179" name="AutoShape 182"/>
        <xdr:cNvSpPr>
          <a:spLocks/>
        </xdr:cNvSpPr>
      </xdr:nvSpPr>
      <xdr:spPr>
        <a:xfrm>
          <a:off x="2667000" y="73342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46</xdr:row>
      <xdr:rowOff>9525</xdr:rowOff>
    </xdr:from>
    <xdr:to>
      <xdr:col>18</xdr:col>
      <xdr:colOff>57150</xdr:colOff>
      <xdr:row>46</xdr:row>
      <xdr:rowOff>114300</xdr:rowOff>
    </xdr:to>
    <xdr:sp>
      <xdr:nvSpPr>
        <xdr:cNvPr id="180" name="AutoShape 183"/>
        <xdr:cNvSpPr>
          <a:spLocks/>
        </xdr:cNvSpPr>
      </xdr:nvSpPr>
      <xdr:spPr>
        <a:xfrm>
          <a:off x="3209925" y="73437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48</xdr:row>
      <xdr:rowOff>19050</xdr:rowOff>
    </xdr:from>
    <xdr:to>
      <xdr:col>12</xdr:col>
      <xdr:colOff>0</xdr:colOff>
      <xdr:row>49</xdr:row>
      <xdr:rowOff>47625</xdr:rowOff>
    </xdr:to>
    <xdr:sp>
      <xdr:nvSpPr>
        <xdr:cNvPr id="181" name="Line 184"/>
        <xdr:cNvSpPr>
          <a:spLocks/>
        </xdr:cNvSpPr>
      </xdr:nvSpPr>
      <xdr:spPr>
        <a:xfrm>
          <a:off x="2171700" y="76771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49</xdr:row>
      <xdr:rowOff>0</xdr:rowOff>
    </xdr:from>
    <xdr:to>
      <xdr:col>18</xdr:col>
      <xdr:colOff>57150</xdr:colOff>
      <xdr:row>49</xdr:row>
      <xdr:rowOff>0</xdr:rowOff>
    </xdr:to>
    <xdr:sp>
      <xdr:nvSpPr>
        <xdr:cNvPr id="182" name="Line 185"/>
        <xdr:cNvSpPr>
          <a:spLocks/>
        </xdr:cNvSpPr>
      </xdr:nvSpPr>
      <xdr:spPr>
        <a:xfrm>
          <a:off x="1552575" y="7820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48</xdr:row>
      <xdr:rowOff>28575</xdr:rowOff>
    </xdr:from>
    <xdr:to>
      <xdr:col>18</xdr:col>
      <xdr:colOff>0</xdr:colOff>
      <xdr:row>49</xdr:row>
      <xdr:rowOff>47625</xdr:rowOff>
    </xdr:to>
    <xdr:sp>
      <xdr:nvSpPr>
        <xdr:cNvPr id="183" name="Line 186"/>
        <xdr:cNvSpPr>
          <a:spLocks/>
        </xdr:cNvSpPr>
      </xdr:nvSpPr>
      <xdr:spPr>
        <a:xfrm>
          <a:off x="3257550" y="76866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48</xdr:row>
      <xdr:rowOff>114300</xdr:rowOff>
    </xdr:from>
    <xdr:to>
      <xdr:col>12</xdr:col>
      <xdr:colOff>28575</xdr:colOff>
      <xdr:row>49</xdr:row>
      <xdr:rowOff>28575</xdr:rowOff>
    </xdr:to>
    <xdr:sp>
      <xdr:nvSpPr>
        <xdr:cNvPr id="184" name="Line 187"/>
        <xdr:cNvSpPr>
          <a:spLocks/>
        </xdr:cNvSpPr>
      </xdr:nvSpPr>
      <xdr:spPr>
        <a:xfrm flipH="1">
          <a:off x="2143125" y="77724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48</xdr:row>
      <xdr:rowOff>114300</xdr:rowOff>
    </xdr:from>
    <xdr:to>
      <xdr:col>18</xdr:col>
      <xdr:colOff>28575</xdr:colOff>
      <xdr:row>49</xdr:row>
      <xdr:rowOff>28575</xdr:rowOff>
    </xdr:to>
    <xdr:sp>
      <xdr:nvSpPr>
        <xdr:cNvPr id="185" name="Line 188"/>
        <xdr:cNvSpPr>
          <a:spLocks/>
        </xdr:cNvSpPr>
      </xdr:nvSpPr>
      <xdr:spPr>
        <a:xfrm flipH="1">
          <a:off x="3228975" y="77724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28575</xdr:rowOff>
    </xdr:from>
    <xdr:to>
      <xdr:col>15</xdr:col>
      <xdr:colOff>0</xdr:colOff>
      <xdr:row>49</xdr:row>
      <xdr:rowOff>38100</xdr:rowOff>
    </xdr:to>
    <xdr:sp>
      <xdr:nvSpPr>
        <xdr:cNvPr id="186" name="Line 189"/>
        <xdr:cNvSpPr>
          <a:spLocks/>
        </xdr:cNvSpPr>
      </xdr:nvSpPr>
      <xdr:spPr>
        <a:xfrm>
          <a:off x="2714625" y="76866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48</xdr:row>
      <xdr:rowOff>123825</xdr:rowOff>
    </xdr:from>
    <xdr:to>
      <xdr:col>15</xdr:col>
      <xdr:colOff>19050</xdr:colOff>
      <xdr:row>49</xdr:row>
      <xdr:rowOff>28575</xdr:rowOff>
    </xdr:to>
    <xdr:sp>
      <xdr:nvSpPr>
        <xdr:cNvPr id="187" name="Line 190"/>
        <xdr:cNvSpPr>
          <a:spLocks/>
        </xdr:cNvSpPr>
      </xdr:nvSpPr>
      <xdr:spPr>
        <a:xfrm flipH="1">
          <a:off x="2686050" y="7781925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46</xdr:row>
      <xdr:rowOff>0</xdr:rowOff>
    </xdr:from>
    <xdr:to>
      <xdr:col>9</xdr:col>
      <xdr:colOff>57150</xdr:colOff>
      <xdr:row>46</xdr:row>
      <xdr:rowOff>104775</xdr:rowOff>
    </xdr:to>
    <xdr:sp>
      <xdr:nvSpPr>
        <xdr:cNvPr id="188" name="AutoShape 191"/>
        <xdr:cNvSpPr>
          <a:spLocks/>
        </xdr:cNvSpPr>
      </xdr:nvSpPr>
      <xdr:spPr>
        <a:xfrm>
          <a:off x="1581150" y="73342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19050</xdr:rowOff>
    </xdr:from>
    <xdr:to>
      <xdr:col>9</xdr:col>
      <xdr:colOff>0</xdr:colOff>
      <xdr:row>49</xdr:row>
      <xdr:rowOff>47625</xdr:rowOff>
    </xdr:to>
    <xdr:sp>
      <xdr:nvSpPr>
        <xdr:cNvPr id="189" name="Line 192"/>
        <xdr:cNvSpPr>
          <a:spLocks/>
        </xdr:cNvSpPr>
      </xdr:nvSpPr>
      <xdr:spPr>
        <a:xfrm>
          <a:off x="1628775" y="76771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48</xdr:row>
      <xdr:rowOff>114300</xdr:rowOff>
    </xdr:from>
    <xdr:to>
      <xdr:col>9</xdr:col>
      <xdr:colOff>28575</xdr:colOff>
      <xdr:row>49</xdr:row>
      <xdr:rowOff>28575</xdr:rowOff>
    </xdr:to>
    <xdr:sp>
      <xdr:nvSpPr>
        <xdr:cNvPr id="190" name="Line 193"/>
        <xdr:cNvSpPr>
          <a:spLocks/>
        </xdr:cNvSpPr>
      </xdr:nvSpPr>
      <xdr:spPr>
        <a:xfrm flipH="1">
          <a:off x="1600200" y="77724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52</xdr:row>
      <xdr:rowOff>0</xdr:rowOff>
    </xdr:from>
    <xdr:to>
      <xdr:col>12</xdr:col>
      <xdr:colOff>57150</xdr:colOff>
      <xdr:row>52</xdr:row>
      <xdr:rowOff>104775</xdr:rowOff>
    </xdr:to>
    <xdr:sp>
      <xdr:nvSpPr>
        <xdr:cNvPr id="191" name="AutoShape 194"/>
        <xdr:cNvSpPr>
          <a:spLocks/>
        </xdr:cNvSpPr>
      </xdr:nvSpPr>
      <xdr:spPr>
        <a:xfrm>
          <a:off x="2124075" y="831532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52</xdr:row>
      <xdr:rowOff>0</xdr:rowOff>
    </xdr:from>
    <xdr:to>
      <xdr:col>15</xdr:col>
      <xdr:colOff>57150</xdr:colOff>
      <xdr:row>52</xdr:row>
      <xdr:rowOff>104775</xdr:rowOff>
    </xdr:to>
    <xdr:sp>
      <xdr:nvSpPr>
        <xdr:cNvPr id="192" name="AutoShape 195"/>
        <xdr:cNvSpPr>
          <a:spLocks/>
        </xdr:cNvSpPr>
      </xdr:nvSpPr>
      <xdr:spPr>
        <a:xfrm>
          <a:off x="2667000" y="831532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52</xdr:row>
      <xdr:rowOff>9525</xdr:rowOff>
    </xdr:from>
    <xdr:to>
      <xdr:col>18</xdr:col>
      <xdr:colOff>57150</xdr:colOff>
      <xdr:row>52</xdr:row>
      <xdr:rowOff>114300</xdr:rowOff>
    </xdr:to>
    <xdr:sp>
      <xdr:nvSpPr>
        <xdr:cNvPr id="193" name="AutoShape 196"/>
        <xdr:cNvSpPr>
          <a:spLocks/>
        </xdr:cNvSpPr>
      </xdr:nvSpPr>
      <xdr:spPr>
        <a:xfrm>
          <a:off x="3209925" y="83248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54</xdr:row>
      <xdr:rowOff>19050</xdr:rowOff>
    </xdr:from>
    <xdr:to>
      <xdr:col>12</xdr:col>
      <xdr:colOff>0</xdr:colOff>
      <xdr:row>55</xdr:row>
      <xdr:rowOff>47625</xdr:rowOff>
    </xdr:to>
    <xdr:sp>
      <xdr:nvSpPr>
        <xdr:cNvPr id="194" name="Line 197"/>
        <xdr:cNvSpPr>
          <a:spLocks/>
        </xdr:cNvSpPr>
      </xdr:nvSpPr>
      <xdr:spPr>
        <a:xfrm>
          <a:off x="2171700" y="86582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55</xdr:row>
      <xdr:rowOff>0</xdr:rowOff>
    </xdr:from>
    <xdr:to>
      <xdr:col>18</xdr:col>
      <xdr:colOff>57150</xdr:colOff>
      <xdr:row>55</xdr:row>
      <xdr:rowOff>0</xdr:rowOff>
    </xdr:to>
    <xdr:sp>
      <xdr:nvSpPr>
        <xdr:cNvPr id="195" name="Line 198"/>
        <xdr:cNvSpPr>
          <a:spLocks/>
        </xdr:cNvSpPr>
      </xdr:nvSpPr>
      <xdr:spPr>
        <a:xfrm>
          <a:off x="1552575" y="8801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28575</xdr:rowOff>
    </xdr:from>
    <xdr:to>
      <xdr:col>18</xdr:col>
      <xdr:colOff>0</xdr:colOff>
      <xdr:row>55</xdr:row>
      <xdr:rowOff>47625</xdr:rowOff>
    </xdr:to>
    <xdr:sp>
      <xdr:nvSpPr>
        <xdr:cNvPr id="196" name="Line 199"/>
        <xdr:cNvSpPr>
          <a:spLocks/>
        </xdr:cNvSpPr>
      </xdr:nvSpPr>
      <xdr:spPr>
        <a:xfrm>
          <a:off x="3257550" y="8667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54</xdr:row>
      <xdr:rowOff>114300</xdr:rowOff>
    </xdr:from>
    <xdr:to>
      <xdr:col>12</xdr:col>
      <xdr:colOff>28575</xdr:colOff>
      <xdr:row>55</xdr:row>
      <xdr:rowOff>28575</xdr:rowOff>
    </xdr:to>
    <xdr:sp>
      <xdr:nvSpPr>
        <xdr:cNvPr id="197" name="Line 200"/>
        <xdr:cNvSpPr>
          <a:spLocks/>
        </xdr:cNvSpPr>
      </xdr:nvSpPr>
      <xdr:spPr>
        <a:xfrm flipH="1">
          <a:off x="2143125" y="875347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54</xdr:row>
      <xdr:rowOff>114300</xdr:rowOff>
    </xdr:from>
    <xdr:to>
      <xdr:col>18</xdr:col>
      <xdr:colOff>28575</xdr:colOff>
      <xdr:row>55</xdr:row>
      <xdr:rowOff>28575</xdr:rowOff>
    </xdr:to>
    <xdr:sp>
      <xdr:nvSpPr>
        <xdr:cNvPr id="198" name="Line 201"/>
        <xdr:cNvSpPr>
          <a:spLocks/>
        </xdr:cNvSpPr>
      </xdr:nvSpPr>
      <xdr:spPr>
        <a:xfrm flipH="1">
          <a:off x="3228975" y="875347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54</xdr:row>
      <xdr:rowOff>28575</xdr:rowOff>
    </xdr:from>
    <xdr:to>
      <xdr:col>15</xdr:col>
      <xdr:colOff>0</xdr:colOff>
      <xdr:row>55</xdr:row>
      <xdr:rowOff>38100</xdr:rowOff>
    </xdr:to>
    <xdr:sp>
      <xdr:nvSpPr>
        <xdr:cNvPr id="199" name="Line 202"/>
        <xdr:cNvSpPr>
          <a:spLocks/>
        </xdr:cNvSpPr>
      </xdr:nvSpPr>
      <xdr:spPr>
        <a:xfrm>
          <a:off x="2714625" y="8667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54</xdr:row>
      <xdr:rowOff>123825</xdr:rowOff>
    </xdr:from>
    <xdr:to>
      <xdr:col>15</xdr:col>
      <xdr:colOff>19050</xdr:colOff>
      <xdr:row>55</xdr:row>
      <xdr:rowOff>28575</xdr:rowOff>
    </xdr:to>
    <xdr:sp>
      <xdr:nvSpPr>
        <xdr:cNvPr id="200" name="Line 203"/>
        <xdr:cNvSpPr>
          <a:spLocks/>
        </xdr:cNvSpPr>
      </xdr:nvSpPr>
      <xdr:spPr>
        <a:xfrm flipH="1">
          <a:off x="2686050" y="8763000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52</xdr:row>
      <xdr:rowOff>0</xdr:rowOff>
    </xdr:from>
    <xdr:to>
      <xdr:col>9</xdr:col>
      <xdr:colOff>57150</xdr:colOff>
      <xdr:row>52</xdr:row>
      <xdr:rowOff>104775</xdr:rowOff>
    </xdr:to>
    <xdr:sp>
      <xdr:nvSpPr>
        <xdr:cNvPr id="201" name="AutoShape 204"/>
        <xdr:cNvSpPr>
          <a:spLocks/>
        </xdr:cNvSpPr>
      </xdr:nvSpPr>
      <xdr:spPr>
        <a:xfrm>
          <a:off x="1581150" y="831532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19050</xdr:rowOff>
    </xdr:from>
    <xdr:to>
      <xdr:col>9</xdr:col>
      <xdr:colOff>0</xdr:colOff>
      <xdr:row>55</xdr:row>
      <xdr:rowOff>47625</xdr:rowOff>
    </xdr:to>
    <xdr:sp>
      <xdr:nvSpPr>
        <xdr:cNvPr id="202" name="Line 205"/>
        <xdr:cNvSpPr>
          <a:spLocks/>
        </xdr:cNvSpPr>
      </xdr:nvSpPr>
      <xdr:spPr>
        <a:xfrm>
          <a:off x="1628775" y="86582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54</xdr:row>
      <xdr:rowOff>114300</xdr:rowOff>
    </xdr:from>
    <xdr:to>
      <xdr:col>9</xdr:col>
      <xdr:colOff>28575</xdr:colOff>
      <xdr:row>55</xdr:row>
      <xdr:rowOff>28575</xdr:rowOff>
    </xdr:to>
    <xdr:sp>
      <xdr:nvSpPr>
        <xdr:cNvPr id="203" name="Line 206"/>
        <xdr:cNvSpPr>
          <a:spLocks/>
        </xdr:cNvSpPr>
      </xdr:nvSpPr>
      <xdr:spPr>
        <a:xfrm flipH="1">
          <a:off x="1600200" y="875347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59</xdr:row>
      <xdr:rowOff>0</xdr:rowOff>
    </xdr:from>
    <xdr:to>
      <xdr:col>12</xdr:col>
      <xdr:colOff>57150</xdr:colOff>
      <xdr:row>59</xdr:row>
      <xdr:rowOff>104775</xdr:rowOff>
    </xdr:to>
    <xdr:sp>
      <xdr:nvSpPr>
        <xdr:cNvPr id="204" name="AutoShape 207"/>
        <xdr:cNvSpPr>
          <a:spLocks/>
        </xdr:cNvSpPr>
      </xdr:nvSpPr>
      <xdr:spPr>
        <a:xfrm>
          <a:off x="2124075" y="945832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59</xdr:row>
      <xdr:rowOff>0</xdr:rowOff>
    </xdr:from>
    <xdr:to>
      <xdr:col>15</xdr:col>
      <xdr:colOff>57150</xdr:colOff>
      <xdr:row>59</xdr:row>
      <xdr:rowOff>104775</xdr:rowOff>
    </xdr:to>
    <xdr:sp>
      <xdr:nvSpPr>
        <xdr:cNvPr id="205" name="AutoShape 208"/>
        <xdr:cNvSpPr>
          <a:spLocks/>
        </xdr:cNvSpPr>
      </xdr:nvSpPr>
      <xdr:spPr>
        <a:xfrm>
          <a:off x="2667000" y="945832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59</xdr:row>
      <xdr:rowOff>9525</xdr:rowOff>
    </xdr:from>
    <xdr:to>
      <xdr:col>18</xdr:col>
      <xdr:colOff>57150</xdr:colOff>
      <xdr:row>59</xdr:row>
      <xdr:rowOff>114300</xdr:rowOff>
    </xdr:to>
    <xdr:sp>
      <xdr:nvSpPr>
        <xdr:cNvPr id="206" name="AutoShape 209"/>
        <xdr:cNvSpPr>
          <a:spLocks/>
        </xdr:cNvSpPr>
      </xdr:nvSpPr>
      <xdr:spPr>
        <a:xfrm>
          <a:off x="3209925" y="94678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61</xdr:row>
      <xdr:rowOff>19050</xdr:rowOff>
    </xdr:from>
    <xdr:to>
      <xdr:col>12</xdr:col>
      <xdr:colOff>0</xdr:colOff>
      <xdr:row>62</xdr:row>
      <xdr:rowOff>47625</xdr:rowOff>
    </xdr:to>
    <xdr:sp>
      <xdr:nvSpPr>
        <xdr:cNvPr id="207" name="Line 210"/>
        <xdr:cNvSpPr>
          <a:spLocks/>
        </xdr:cNvSpPr>
      </xdr:nvSpPr>
      <xdr:spPr>
        <a:xfrm>
          <a:off x="2171700" y="98012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62</xdr:row>
      <xdr:rowOff>0</xdr:rowOff>
    </xdr:from>
    <xdr:to>
      <xdr:col>18</xdr:col>
      <xdr:colOff>57150</xdr:colOff>
      <xdr:row>62</xdr:row>
      <xdr:rowOff>0</xdr:rowOff>
    </xdr:to>
    <xdr:sp>
      <xdr:nvSpPr>
        <xdr:cNvPr id="208" name="Line 211"/>
        <xdr:cNvSpPr>
          <a:spLocks/>
        </xdr:cNvSpPr>
      </xdr:nvSpPr>
      <xdr:spPr>
        <a:xfrm>
          <a:off x="1552575" y="9944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61</xdr:row>
      <xdr:rowOff>28575</xdr:rowOff>
    </xdr:from>
    <xdr:to>
      <xdr:col>18</xdr:col>
      <xdr:colOff>0</xdr:colOff>
      <xdr:row>62</xdr:row>
      <xdr:rowOff>47625</xdr:rowOff>
    </xdr:to>
    <xdr:sp>
      <xdr:nvSpPr>
        <xdr:cNvPr id="209" name="Line 212"/>
        <xdr:cNvSpPr>
          <a:spLocks/>
        </xdr:cNvSpPr>
      </xdr:nvSpPr>
      <xdr:spPr>
        <a:xfrm>
          <a:off x="3257550" y="9810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61</xdr:row>
      <xdr:rowOff>114300</xdr:rowOff>
    </xdr:from>
    <xdr:to>
      <xdr:col>12</xdr:col>
      <xdr:colOff>28575</xdr:colOff>
      <xdr:row>62</xdr:row>
      <xdr:rowOff>28575</xdr:rowOff>
    </xdr:to>
    <xdr:sp>
      <xdr:nvSpPr>
        <xdr:cNvPr id="210" name="Line 213"/>
        <xdr:cNvSpPr>
          <a:spLocks/>
        </xdr:cNvSpPr>
      </xdr:nvSpPr>
      <xdr:spPr>
        <a:xfrm flipH="1">
          <a:off x="2143125" y="989647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61</xdr:row>
      <xdr:rowOff>114300</xdr:rowOff>
    </xdr:from>
    <xdr:to>
      <xdr:col>18</xdr:col>
      <xdr:colOff>28575</xdr:colOff>
      <xdr:row>62</xdr:row>
      <xdr:rowOff>28575</xdr:rowOff>
    </xdr:to>
    <xdr:sp>
      <xdr:nvSpPr>
        <xdr:cNvPr id="211" name="Line 214"/>
        <xdr:cNvSpPr>
          <a:spLocks/>
        </xdr:cNvSpPr>
      </xdr:nvSpPr>
      <xdr:spPr>
        <a:xfrm flipH="1">
          <a:off x="3228975" y="989647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28575</xdr:rowOff>
    </xdr:from>
    <xdr:to>
      <xdr:col>15</xdr:col>
      <xdr:colOff>0</xdr:colOff>
      <xdr:row>62</xdr:row>
      <xdr:rowOff>38100</xdr:rowOff>
    </xdr:to>
    <xdr:sp>
      <xdr:nvSpPr>
        <xdr:cNvPr id="212" name="Line 215"/>
        <xdr:cNvSpPr>
          <a:spLocks/>
        </xdr:cNvSpPr>
      </xdr:nvSpPr>
      <xdr:spPr>
        <a:xfrm>
          <a:off x="2714625" y="9810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61</xdr:row>
      <xdr:rowOff>123825</xdr:rowOff>
    </xdr:from>
    <xdr:to>
      <xdr:col>15</xdr:col>
      <xdr:colOff>19050</xdr:colOff>
      <xdr:row>62</xdr:row>
      <xdr:rowOff>28575</xdr:rowOff>
    </xdr:to>
    <xdr:sp>
      <xdr:nvSpPr>
        <xdr:cNvPr id="213" name="Line 216"/>
        <xdr:cNvSpPr>
          <a:spLocks/>
        </xdr:cNvSpPr>
      </xdr:nvSpPr>
      <xdr:spPr>
        <a:xfrm flipH="1">
          <a:off x="2686050" y="9906000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59</xdr:row>
      <xdr:rowOff>0</xdr:rowOff>
    </xdr:from>
    <xdr:to>
      <xdr:col>9</xdr:col>
      <xdr:colOff>57150</xdr:colOff>
      <xdr:row>59</xdr:row>
      <xdr:rowOff>104775</xdr:rowOff>
    </xdr:to>
    <xdr:sp>
      <xdr:nvSpPr>
        <xdr:cNvPr id="214" name="AutoShape 217"/>
        <xdr:cNvSpPr>
          <a:spLocks/>
        </xdr:cNvSpPr>
      </xdr:nvSpPr>
      <xdr:spPr>
        <a:xfrm>
          <a:off x="1581150" y="945832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19050</xdr:rowOff>
    </xdr:from>
    <xdr:to>
      <xdr:col>9</xdr:col>
      <xdr:colOff>0</xdr:colOff>
      <xdr:row>62</xdr:row>
      <xdr:rowOff>47625</xdr:rowOff>
    </xdr:to>
    <xdr:sp>
      <xdr:nvSpPr>
        <xdr:cNvPr id="215" name="Line 218"/>
        <xdr:cNvSpPr>
          <a:spLocks/>
        </xdr:cNvSpPr>
      </xdr:nvSpPr>
      <xdr:spPr>
        <a:xfrm>
          <a:off x="1628775" y="98012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61</xdr:row>
      <xdr:rowOff>114300</xdr:rowOff>
    </xdr:from>
    <xdr:to>
      <xdr:col>9</xdr:col>
      <xdr:colOff>28575</xdr:colOff>
      <xdr:row>62</xdr:row>
      <xdr:rowOff>28575</xdr:rowOff>
    </xdr:to>
    <xdr:sp>
      <xdr:nvSpPr>
        <xdr:cNvPr id="216" name="Line 219"/>
        <xdr:cNvSpPr>
          <a:spLocks/>
        </xdr:cNvSpPr>
      </xdr:nvSpPr>
      <xdr:spPr>
        <a:xfrm flipH="1">
          <a:off x="1600200" y="989647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67</xdr:row>
      <xdr:rowOff>0</xdr:rowOff>
    </xdr:from>
    <xdr:to>
      <xdr:col>12</xdr:col>
      <xdr:colOff>57150</xdr:colOff>
      <xdr:row>67</xdr:row>
      <xdr:rowOff>104775</xdr:rowOff>
    </xdr:to>
    <xdr:sp>
      <xdr:nvSpPr>
        <xdr:cNvPr id="217" name="AutoShape 220"/>
        <xdr:cNvSpPr>
          <a:spLocks/>
        </xdr:cNvSpPr>
      </xdr:nvSpPr>
      <xdr:spPr>
        <a:xfrm>
          <a:off x="2124075" y="107632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67</xdr:row>
      <xdr:rowOff>0</xdr:rowOff>
    </xdr:from>
    <xdr:to>
      <xdr:col>15</xdr:col>
      <xdr:colOff>57150</xdr:colOff>
      <xdr:row>67</xdr:row>
      <xdr:rowOff>104775</xdr:rowOff>
    </xdr:to>
    <xdr:sp>
      <xdr:nvSpPr>
        <xdr:cNvPr id="218" name="AutoShape 221"/>
        <xdr:cNvSpPr>
          <a:spLocks/>
        </xdr:cNvSpPr>
      </xdr:nvSpPr>
      <xdr:spPr>
        <a:xfrm>
          <a:off x="2667000" y="107632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67</xdr:row>
      <xdr:rowOff>9525</xdr:rowOff>
    </xdr:from>
    <xdr:to>
      <xdr:col>18</xdr:col>
      <xdr:colOff>57150</xdr:colOff>
      <xdr:row>67</xdr:row>
      <xdr:rowOff>114300</xdr:rowOff>
    </xdr:to>
    <xdr:sp>
      <xdr:nvSpPr>
        <xdr:cNvPr id="219" name="AutoShape 222"/>
        <xdr:cNvSpPr>
          <a:spLocks/>
        </xdr:cNvSpPr>
      </xdr:nvSpPr>
      <xdr:spPr>
        <a:xfrm>
          <a:off x="3209925" y="107727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69</xdr:row>
      <xdr:rowOff>19050</xdr:rowOff>
    </xdr:from>
    <xdr:to>
      <xdr:col>12</xdr:col>
      <xdr:colOff>0</xdr:colOff>
      <xdr:row>70</xdr:row>
      <xdr:rowOff>47625</xdr:rowOff>
    </xdr:to>
    <xdr:sp>
      <xdr:nvSpPr>
        <xdr:cNvPr id="220" name="Line 223"/>
        <xdr:cNvSpPr>
          <a:spLocks/>
        </xdr:cNvSpPr>
      </xdr:nvSpPr>
      <xdr:spPr>
        <a:xfrm>
          <a:off x="2171700" y="111061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70</xdr:row>
      <xdr:rowOff>0</xdr:rowOff>
    </xdr:from>
    <xdr:to>
      <xdr:col>18</xdr:col>
      <xdr:colOff>57150</xdr:colOff>
      <xdr:row>70</xdr:row>
      <xdr:rowOff>0</xdr:rowOff>
    </xdr:to>
    <xdr:sp>
      <xdr:nvSpPr>
        <xdr:cNvPr id="221" name="Line 224"/>
        <xdr:cNvSpPr>
          <a:spLocks/>
        </xdr:cNvSpPr>
      </xdr:nvSpPr>
      <xdr:spPr>
        <a:xfrm>
          <a:off x="1038225" y="1124902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69</xdr:row>
      <xdr:rowOff>28575</xdr:rowOff>
    </xdr:from>
    <xdr:to>
      <xdr:col>18</xdr:col>
      <xdr:colOff>0</xdr:colOff>
      <xdr:row>70</xdr:row>
      <xdr:rowOff>47625</xdr:rowOff>
    </xdr:to>
    <xdr:sp>
      <xdr:nvSpPr>
        <xdr:cNvPr id="222" name="Line 225"/>
        <xdr:cNvSpPr>
          <a:spLocks/>
        </xdr:cNvSpPr>
      </xdr:nvSpPr>
      <xdr:spPr>
        <a:xfrm>
          <a:off x="3257550" y="111156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69</xdr:row>
      <xdr:rowOff>114300</xdr:rowOff>
    </xdr:from>
    <xdr:to>
      <xdr:col>12</xdr:col>
      <xdr:colOff>28575</xdr:colOff>
      <xdr:row>70</xdr:row>
      <xdr:rowOff>28575</xdr:rowOff>
    </xdr:to>
    <xdr:sp>
      <xdr:nvSpPr>
        <xdr:cNvPr id="223" name="Line 226"/>
        <xdr:cNvSpPr>
          <a:spLocks/>
        </xdr:cNvSpPr>
      </xdr:nvSpPr>
      <xdr:spPr>
        <a:xfrm flipH="1">
          <a:off x="2143125" y="112014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69</xdr:row>
      <xdr:rowOff>114300</xdr:rowOff>
    </xdr:from>
    <xdr:to>
      <xdr:col>18</xdr:col>
      <xdr:colOff>28575</xdr:colOff>
      <xdr:row>70</xdr:row>
      <xdr:rowOff>28575</xdr:rowOff>
    </xdr:to>
    <xdr:sp>
      <xdr:nvSpPr>
        <xdr:cNvPr id="224" name="Line 227"/>
        <xdr:cNvSpPr>
          <a:spLocks/>
        </xdr:cNvSpPr>
      </xdr:nvSpPr>
      <xdr:spPr>
        <a:xfrm flipH="1">
          <a:off x="3228975" y="112014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69</xdr:row>
      <xdr:rowOff>28575</xdr:rowOff>
    </xdr:from>
    <xdr:to>
      <xdr:col>15</xdr:col>
      <xdr:colOff>0</xdr:colOff>
      <xdr:row>70</xdr:row>
      <xdr:rowOff>38100</xdr:rowOff>
    </xdr:to>
    <xdr:sp>
      <xdr:nvSpPr>
        <xdr:cNvPr id="225" name="Line 228"/>
        <xdr:cNvSpPr>
          <a:spLocks/>
        </xdr:cNvSpPr>
      </xdr:nvSpPr>
      <xdr:spPr>
        <a:xfrm>
          <a:off x="2714625" y="111156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69</xdr:row>
      <xdr:rowOff>123825</xdr:rowOff>
    </xdr:from>
    <xdr:to>
      <xdr:col>15</xdr:col>
      <xdr:colOff>19050</xdr:colOff>
      <xdr:row>70</xdr:row>
      <xdr:rowOff>28575</xdr:rowOff>
    </xdr:to>
    <xdr:sp>
      <xdr:nvSpPr>
        <xdr:cNvPr id="226" name="Line 229"/>
        <xdr:cNvSpPr>
          <a:spLocks/>
        </xdr:cNvSpPr>
      </xdr:nvSpPr>
      <xdr:spPr>
        <a:xfrm flipH="1">
          <a:off x="2686050" y="11210925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67</xdr:row>
      <xdr:rowOff>0</xdr:rowOff>
    </xdr:from>
    <xdr:to>
      <xdr:col>9</xdr:col>
      <xdr:colOff>57150</xdr:colOff>
      <xdr:row>67</xdr:row>
      <xdr:rowOff>104775</xdr:rowOff>
    </xdr:to>
    <xdr:sp>
      <xdr:nvSpPr>
        <xdr:cNvPr id="227" name="AutoShape 230"/>
        <xdr:cNvSpPr>
          <a:spLocks/>
        </xdr:cNvSpPr>
      </xdr:nvSpPr>
      <xdr:spPr>
        <a:xfrm>
          <a:off x="1581150" y="107632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19050</xdr:rowOff>
    </xdr:from>
    <xdr:to>
      <xdr:col>9</xdr:col>
      <xdr:colOff>0</xdr:colOff>
      <xdr:row>70</xdr:row>
      <xdr:rowOff>47625</xdr:rowOff>
    </xdr:to>
    <xdr:sp>
      <xdr:nvSpPr>
        <xdr:cNvPr id="228" name="Line 231"/>
        <xdr:cNvSpPr>
          <a:spLocks/>
        </xdr:cNvSpPr>
      </xdr:nvSpPr>
      <xdr:spPr>
        <a:xfrm>
          <a:off x="1628775" y="111061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69</xdr:row>
      <xdr:rowOff>114300</xdr:rowOff>
    </xdr:from>
    <xdr:to>
      <xdr:col>9</xdr:col>
      <xdr:colOff>28575</xdr:colOff>
      <xdr:row>70</xdr:row>
      <xdr:rowOff>28575</xdr:rowOff>
    </xdr:to>
    <xdr:sp>
      <xdr:nvSpPr>
        <xdr:cNvPr id="229" name="Line 232"/>
        <xdr:cNvSpPr>
          <a:spLocks/>
        </xdr:cNvSpPr>
      </xdr:nvSpPr>
      <xdr:spPr>
        <a:xfrm flipH="1">
          <a:off x="1600200" y="112014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67</xdr:row>
      <xdr:rowOff>0</xdr:rowOff>
    </xdr:from>
    <xdr:to>
      <xdr:col>6</xdr:col>
      <xdr:colOff>57150</xdr:colOff>
      <xdr:row>67</xdr:row>
      <xdr:rowOff>104775</xdr:rowOff>
    </xdr:to>
    <xdr:sp>
      <xdr:nvSpPr>
        <xdr:cNvPr id="230" name="AutoShape 233"/>
        <xdr:cNvSpPr>
          <a:spLocks/>
        </xdr:cNvSpPr>
      </xdr:nvSpPr>
      <xdr:spPr>
        <a:xfrm>
          <a:off x="1038225" y="107632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19050</xdr:rowOff>
    </xdr:from>
    <xdr:to>
      <xdr:col>6</xdr:col>
      <xdr:colOff>0</xdr:colOff>
      <xdr:row>70</xdr:row>
      <xdr:rowOff>47625</xdr:rowOff>
    </xdr:to>
    <xdr:sp>
      <xdr:nvSpPr>
        <xdr:cNvPr id="231" name="Line 234"/>
        <xdr:cNvSpPr>
          <a:spLocks/>
        </xdr:cNvSpPr>
      </xdr:nvSpPr>
      <xdr:spPr>
        <a:xfrm>
          <a:off x="1085850" y="111061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114300</xdr:rowOff>
    </xdr:from>
    <xdr:to>
      <xdr:col>6</xdr:col>
      <xdr:colOff>28575</xdr:colOff>
      <xdr:row>70</xdr:row>
      <xdr:rowOff>28575</xdr:rowOff>
    </xdr:to>
    <xdr:sp>
      <xdr:nvSpPr>
        <xdr:cNvPr id="232" name="Line 235"/>
        <xdr:cNvSpPr>
          <a:spLocks/>
        </xdr:cNvSpPr>
      </xdr:nvSpPr>
      <xdr:spPr>
        <a:xfrm flipH="1">
          <a:off x="1057275" y="112014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78</xdr:row>
      <xdr:rowOff>0</xdr:rowOff>
    </xdr:from>
    <xdr:to>
      <xdr:col>12</xdr:col>
      <xdr:colOff>57150</xdr:colOff>
      <xdr:row>78</xdr:row>
      <xdr:rowOff>104775</xdr:rowOff>
    </xdr:to>
    <xdr:sp>
      <xdr:nvSpPr>
        <xdr:cNvPr id="233" name="AutoShape 236"/>
        <xdr:cNvSpPr>
          <a:spLocks/>
        </xdr:cNvSpPr>
      </xdr:nvSpPr>
      <xdr:spPr>
        <a:xfrm>
          <a:off x="2124075" y="125539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78</xdr:row>
      <xdr:rowOff>0</xdr:rowOff>
    </xdr:from>
    <xdr:to>
      <xdr:col>15</xdr:col>
      <xdr:colOff>57150</xdr:colOff>
      <xdr:row>78</xdr:row>
      <xdr:rowOff>104775</xdr:rowOff>
    </xdr:to>
    <xdr:sp>
      <xdr:nvSpPr>
        <xdr:cNvPr id="234" name="AutoShape 237"/>
        <xdr:cNvSpPr>
          <a:spLocks/>
        </xdr:cNvSpPr>
      </xdr:nvSpPr>
      <xdr:spPr>
        <a:xfrm>
          <a:off x="2667000" y="125539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78</xdr:row>
      <xdr:rowOff>9525</xdr:rowOff>
    </xdr:from>
    <xdr:to>
      <xdr:col>18</xdr:col>
      <xdr:colOff>57150</xdr:colOff>
      <xdr:row>78</xdr:row>
      <xdr:rowOff>114300</xdr:rowOff>
    </xdr:to>
    <xdr:sp>
      <xdr:nvSpPr>
        <xdr:cNvPr id="235" name="AutoShape 238"/>
        <xdr:cNvSpPr>
          <a:spLocks/>
        </xdr:cNvSpPr>
      </xdr:nvSpPr>
      <xdr:spPr>
        <a:xfrm>
          <a:off x="3209925" y="125634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80</xdr:row>
      <xdr:rowOff>19050</xdr:rowOff>
    </xdr:from>
    <xdr:to>
      <xdr:col>12</xdr:col>
      <xdr:colOff>0</xdr:colOff>
      <xdr:row>81</xdr:row>
      <xdr:rowOff>47625</xdr:rowOff>
    </xdr:to>
    <xdr:sp>
      <xdr:nvSpPr>
        <xdr:cNvPr id="236" name="Line 239"/>
        <xdr:cNvSpPr>
          <a:spLocks/>
        </xdr:cNvSpPr>
      </xdr:nvSpPr>
      <xdr:spPr>
        <a:xfrm>
          <a:off x="2171700" y="12896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81</xdr:row>
      <xdr:rowOff>0</xdr:rowOff>
    </xdr:from>
    <xdr:to>
      <xdr:col>18</xdr:col>
      <xdr:colOff>57150</xdr:colOff>
      <xdr:row>81</xdr:row>
      <xdr:rowOff>0</xdr:rowOff>
    </xdr:to>
    <xdr:sp>
      <xdr:nvSpPr>
        <xdr:cNvPr id="237" name="Line 240"/>
        <xdr:cNvSpPr>
          <a:spLocks/>
        </xdr:cNvSpPr>
      </xdr:nvSpPr>
      <xdr:spPr>
        <a:xfrm>
          <a:off x="1038225" y="1303972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80</xdr:row>
      <xdr:rowOff>28575</xdr:rowOff>
    </xdr:from>
    <xdr:to>
      <xdr:col>18</xdr:col>
      <xdr:colOff>0</xdr:colOff>
      <xdr:row>81</xdr:row>
      <xdr:rowOff>47625</xdr:rowOff>
    </xdr:to>
    <xdr:sp>
      <xdr:nvSpPr>
        <xdr:cNvPr id="238" name="Line 241"/>
        <xdr:cNvSpPr>
          <a:spLocks/>
        </xdr:cNvSpPr>
      </xdr:nvSpPr>
      <xdr:spPr>
        <a:xfrm>
          <a:off x="3257550" y="12906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80</xdr:row>
      <xdr:rowOff>114300</xdr:rowOff>
    </xdr:from>
    <xdr:to>
      <xdr:col>12</xdr:col>
      <xdr:colOff>28575</xdr:colOff>
      <xdr:row>81</xdr:row>
      <xdr:rowOff>28575</xdr:rowOff>
    </xdr:to>
    <xdr:sp>
      <xdr:nvSpPr>
        <xdr:cNvPr id="239" name="Line 242"/>
        <xdr:cNvSpPr>
          <a:spLocks/>
        </xdr:cNvSpPr>
      </xdr:nvSpPr>
      <xdr:spPr>
        <a:xfrm flipH="1">
          <a:off x="2143125" y="129921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80</xdr:row>
      <xdr:rowOff>114300</xdr:rowOff>
    </xdr:from>
    <xdr:to>
      <xdr:col>18</xdr:col>
      <xdr:colOff>28575</xdr:colOff>
      <xdr:row>81</xdr:row>
      <xdr:rowOff>28575</xdr:rowOff>
    </xdr:to>
    <xdr:sp>
      <xdr:nvSpPr>
        <xdr:cNvPr id="240" name="Line 243"/>
        <xdr:cNvSpPr>
          <a:spLocks/>
        </xdr:cNvSpPr>
      </xdr:nvSpPr>
      <xdr:spPr>
        <a:xfrm flipH="1">
          <a:off x="3228975" y="129921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28575</xdr:rowOff>
    </xdr:from>
    <xdr:to>
      <xdr:col>15</xdr:col>
      <xdr:colOff>0</xdr:colOff>
      <xdr:row>81</xdr:row>
      <xdr:rowOff>38100</xdr:rowOff>
    </xdr:to>
    <xdr:sp>
      <xdr:nvSpPr>
        <xdr:cNvPr id="241" name="Line 244"/>
        <xdr:cNvSpPr>
          <a:spLocks/>
        </xdr:cNvSpPr>
      </xdr:nvSpPr>
      <xdr:spPr>
        <a:xfrm>
          <a:off x="2714625" y="12906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80</xdr:row>
      <xdr:rowOff>123825</xdr:rowOff>
    </xdr:from>
    <xdr:to>
      <xdr:col>15</xdr:col>
      <xdr:colOff>19050</xdr:colOff>
      <xdr:row>81</xdr:row>
      <xdr:rowOff>28575</xdr:rowOff>
    </xdr:to>
    <xdr:sp>
      <xdr:nvSpPr>
        <xdr:cNvPr id="242" name="Line 245"/>
        <xdr:cNvSpPr>
          <a:spLocks/>
        </xdr:cNvSpPr>
      </xdr:nvSpPr>
      <xdr:spPr>
        <a:xfrm flipH="1">
          <a:off x="2686050" y="13001625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78</xdr:row>
      <xdr:rowOff>0</xdr:rowOff>
    </xdr:from>
    <xdr:to>
      <xdr:col>9</xdr:col>
      <xdr:colOff>57150</xdr:colOff>
      <xdr:row>78</xdr:row>
      <xdr:rowOff>104775</xdr:rowOff>
    </xdr:to>
    <xdr:sp>
      <xdr:nvSpPr>
        <xdr:cNvPr id="243" name="AutoShape 246"/>
        <xdr:cNvSpPr>
          <a:spLocks/>
        </xdr:cNvSpPr>
      </xdr:nvSpPr>
      <xdr:spPr>
        <a:xfrm>
          <a:off x="1581150" y="125539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19050</xdr:rowOff>
    </xdr:from>
    <xdr:to>
      <xdr:col>9</xdr:col>
      <xdr:colOff>0</xdr:colOff>
      <xdr:row>81</xdr:row>
      <xdr:rowOff>47625</xdr:rowOff>
    </xdr:to>
    <xdr:sp>
      <xdr:nvSpPr>
        <xdr:cNvPr id="244" name="Line 247"/>
        <xdr:cNvSpPr>
          <a:spLocks/>
        </xdr:cNvSpPr>
      </xdr:nvSpPr>
      <xdr:spPr>
        <a:xfrm>
          <a:off x="1628775" y="12896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80</xdr:row>
      <xdr:rowOff>114300</xdr:rowOff>
    </xdr:from>
    <xdr:to>
      <xdr:col>9</xdr:col>
      <xdr:colOff>28575</xdr:colOff>
      <xdr:row>81</xdr:row>
      <xdr:rowOff>28575</xdr:rowOff>
    </xdr:to>
    <xdr:sp>
      <xdr:nvSpPr>
        <xdr:cNvPr id="245" name="Line 248"/>
        <xdr:cNvSpPr>
          <a:spLocks/>
        </xdr:cNvSpPr>
      </xdr:nvSpPr>
      <xdr:spPr>
        <a:xfrm flipH="1">
          <a:off x="1600200" y="129921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78</xdr:row>
      <xdr:rowOff>0</xdr:rowOff>
    </xdr:from>
    <xdr:to>
      <xdr:col>6</xdr:col>
      <xdr:colOff>57150</xdr:colOff>
      <xdr:row>78</xdr:row>
      <xdr:rowOff>104775</xdr:rowOff>
    </xdr:to>
    <xdr:sp>
      <xdr:nvSpPr>
        <xdr:cNvPr id="246" name="AutoShape 249"/>
        <xdr:cNvSpPr>
          <a:spLocks/>
        </xdr:cNvSpPr>
      </xdr:nvSpPr>
      <xdr:spPr>
        <a:xfrm>
          <a:off x="1038225" y="125539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19050</xdr:rowOff>
    </xdr:from>
    <xdr:to>
      <xdr:col>6</xdr:col>
      <xdr:colOff>0</xdr:colOff>
      <xdr:row>81</xdr:row>
      <xdr:rowOff>47625</xdr:rowOff>
    </xdr:to>
    <xdr:sp>
      <xdr:nvSpPr>
        <xdr:cNvPr id="247" name="Line 250"/>
        <xdr:cNvSpPr>
          <a:spLocks/>
        </xdr:cNvSpPr>
      </xdr:nvSpPr>
      <xdr:spPr>
        <a:xfrm>
          <a:off x="1085850" y="12896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80</xdr:row>
      <xdr:rowOff>114300</xdr:rowOff>
    </xdr:from>
    <xdr:to>
      <xdr:col>6</xdr:col>
      <xdr:colOff>28575</xdr:colOff>
      <xdr:row>81</xdr:row>
      <xdr:rowOff>28575</xdr:rowOff>
    </xdr:to>
    <xdr:sp>
      <xdr:nvSpPr>
        <xdr:cNvPr id="248" name="Line 251"/>
        <xdr:cNvSpPr>
          <a:spLocks/>
        </xdr:cNvSpPr>
      </xdr:nvSpPr>
      <xdr:spPr>
        <a:xfrm flipH="1">
          <a:off x="1057275" y="129921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85</xdr:row>
      <xdr:rowOff>0</xdr:rowOff>
    </xdr:from>
    <xdr:to>
      <xdr:col>12</xdr:col>
      <xdr:colOff>57150</xdr:colOff>
      <xdr:row>85</xdr:row>
      <xdr:rowOff>104775</xdr:rowOff>
    </xdr:to>
    <xdr:sp>
      <xdr:nvSpPr>
        <xdr:cNvPr id="249" name="AutoShape 252"/>
        <xdr:cNvSpPr>
          <a:spLocks/>
        </xdr:cNvSpPr>
      </xdr:nvSpPr>
      <xdr:spPr>
        <a:xfrm>
          <a:off x="2124075" y="136969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85</xdr:row>
      <xdr:rowOff>0</xdr:rowOff>
    </xdr:from>
    <xdr:to>
      <xdr:col>15</xdr:col>
      <xdr:colOff>57150</xdr:colOff>
      <xdr:row>85</xdr:row>
      <xdr:rowOff>104775</xdr:rowOff>
    </xdr:to>
    <xdr:sp>
      <xdr:nvSpPr>
        <xdr:cNvPr id="250" name="AutoShape 253"/>
        <xdr:cNvSpPr>
          <a:spLocks/>
        </xdr:cNvSpPr>
      </xdr:nvSpPr>
      <xdr:spPr>
        <a:xfrm>
          <a:off x="2667000" y="136969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85</xdr:row>
      <xdr:rowOff>9525</xdr:rowOff>
    </xdr:from>
    <xdr:to>
      <xdr:col>18</xdr:col>
      <xdr:colOff>57150</xdr:colOff>
      <xdr:row>85</xdr:row>
      <xdr:rowOff>114300</xdr:rowOff>
    </xdr:to>
    <xdr:sp>
      <xdr:nvSpPr>
        <xdr:cNvPr id="251" name="AutoShape 254"/>
        <xdr:cNvSpPr>
          <a:spLocks/>
        </xdr:cNvSpPr>
      </xdr:nvSpPr>
      <xdr:spPr>
        <a:xfrm>
          <a:off x="3209925" y="137064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87</xdr:row>
      <xdr:rowOff>19050</xdr:rowOff>
    </xdr:from>
    <xdr:to>
      <xdr:col>12</xdr:col>
      <xdr:colOff>0</xdr:colOff>
      <xdr:row>88</xdr:row>
      <xdr:rowOff>47625</xdr:rowOff>
    </xdr:to>
    <xdr:sp>
      <xdr:nvSpPr>
        <xdr:cNvPr id="252" name="Line 255"/>
        <xdr:cNvSpPr>
          <a:spLocks/>
        </xdr:cNvSpPr>
      </xdr:nvSpPr>
      <xdr:spPr>
        <a:xfrm>
          <a:off x="2171700" y="14039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88</xdr:row>
      <xdr:rowOff>0</xdr:rowOff>
    </xdr:from>
    <xdr:to>
      <xdr:col>18</xdr:col>
      <xdr:colOff>57150</xdr:colOff>
      <xdr:row>88</xdr:row>
      <xdr:rowOff>0</xdr:rowOff>
    </xdr:to>
    <xdr:sp>
      <xdr:nvSpPr>
        <xdr:cNvPr id="253" name="Line 256"/>
        <xdr:cNvSpPr>
          <a:spLocks/>
        </xdr:cNvSpPr>
      </xdr:nvSpPr>
      <xdr:spPr>
        <a:xfrm>
          <a:off x="1038225" y="1418272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87</xdr:row>
      <xdr:rowOff>28575</xdr:rowOff>
    </xdr:from>
    <xdr:to>
      <xdr:col>18</xdr:col>
      <xdr:colOff>0</xdr:colOff>
      <xdr:row>88</xdr:row>
      <xdr:rowOff>47625</xdr:rowOff>
    </xdr:to>
    <xdr:sp>
      <xdr:nvSpPr>
        <xdr:cNvPr id="254" name="Line 257"/>
        <xdr:cNvSpPr>
          <a:spLocks/>
        </xdr:cNvSpPr>
      </xdr:nvSpPr>
      <xdr:spPr>
        <a:xfrm>
          <a:off x="3257550" y="14049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87</xdr:row>
      <xdr:rowOff>114300</xdr:rowOff>
    </xdr:from>
    <xdr:to>
      <xdr:col>12</xdr:col>
      <xdr:colOff>28575</xdr:colOff>
      <xdr:row>88</xdr:row>
      <xdr:rowOff>28575</xdr:rowOff>
    </xdr:to>
    <xdr:sp>
      <xdr:nvSpPr>
        <xdr:cNvPr id="255" name="Line 258"/>
        <xdr:cNvSpPr>
          <a:spLocks/>
        </xdr:cNvSpPr>
      </xdr:nvSpPr>
      <xdr:spPr>
        <a:xfrm flipH="1">
          <a:off x="2143125" y="141351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87</xdr:row>
      <xdr:rowOff>114300</xdr:rowOff>
    </xdr:from>
    <xdr:to>
      <xdr:col>18</xdr:col>
      <xdr:colOff>28575</xdr:colOff>
      <xdr:row>88</xdr:row>
      <xdr:rowOff>28575</xdr:rowOff>
    </xdr:to>
    <xdr:sp>
      <xdr:nvSpPr>
        <xdr:cNvPr id="256" name="Line 259"/>
        <xdr:cNvSpPr>
          <a:spLocks/>
        </xdr:cNvSpPr>
      </xdr:nvSpPr>
      <xdr:spPr>
        <a:xfrm flipH="1">
          <a:off x="3228975" y="141351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87</xdr:row>
      <xdr:rowOff>28575</xdr:rowOff>
    </xdr:from>
    <xdr:to>
      <xdr:col>15</xdr:col>
      <xdr:colOff>0</xdr:colOff>
      <xdr:row>88</xdr:row>
      <xdr:rowOff>38100</xdr:rowOff>
    </xdr:to>
    <xdr:sp>
      <xdr:nvSpPr>
        <xdr:cNvPr id="257" name="Line 260"/>
        <xdr:cNvSpPr>
          <a:spLocks/>
        </xdr:cNvSpPr>
      </xdr:nvSpPr>
      <xdr:spPr>
        <a:xfrm>
          <a:off x="2714625" y="14049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87</xdr:row>
      <xdr:rowOff>123825</xdr:rowOff>
    </xdr:from>
    <xdr:to>
      <xdr:col>15</xdr:col>
      <xdr:colOff>19050</xdr:colOff>
      <xdr:row>88</xdr:row>
      <xdr:rowOff>28575</xdr:rowOff>
    </xdr:to>
    <xdr:sp>
      <xdr:nvSpPr>
        <xdr:cNvPr id="258" name="Line 261"/>
        <xdr:cNvSpPr>
          <a:spLocks/>
        </xdr:cNvSpPr>
      </xdr:nvSpPr>
      <xdr:spPr>
        <a:xfrm flipH="1">
          <a:off x="2686050" y="14144625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85</xdr:row>
      <xdr:rowOff>0</xdr:rowOff>
    </xdr:from>
    <xdr:to>
      <xdr:col>9</xdr:col>
      <xdr:colOff>57150</xdr:colOff>
      <xdr:row>85</xdr:row>
      <xdr:rowOff>104775</xdr:rowOff>
    </xdr:to>
    <xdr:sp>
      <xdr:nvSpPr>
        <xdr:cNvPr id="259" name="AutoShape 262"/>
        <xdr:cNvSpPr>
          <a:spLocks/>
        </xdr:cNvSpPr>
      </xdr:nvSpPr>
      <xdr:spPr>
        <a:xfrm>
          <a:off x="1581150" y="136969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19050</xdr:rowOff>
    </xdr:from>
    <xdr:to>
      <xdr:col>9</xdr:col>
      <xdr:colOff>0</xdr:colOff>
      <xdr:row>88</xdr:row>
      <xdr:rowOff>47625</xdr:rowOff>
    </xdr:to>
    <xdr:sp>
      <xdr:nvSpPr>
        <xdr:cNvPr id="260" name="Line 263"/>
        <xdr:cNvSpPr>
          <a:spLocks/>
        </xdr:cNvSpPr>
      </xdr:nvSpPr>
      <xdr:spPr>
        <a:xfrm>
          <a:off x="1628775" y="14039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87</xdr:row>
      <xdr:rowOff>114300</xdr:rowOff>
    </xdr:from>
    <xdr:to>
      <xdr:col>9</xdr:col>
      <xdr:colOff>28575</xdr:colOff>
      <xdr:row>88</xdr:row>
      <xdr:rowOff>28575</xdr:rowOff>
    </xdr:to>
    <xdr:sp>
      <xdr:nvSpPr>
        <xdr:cNvPr id="261" name="Line 264"/>
        <xdr:cNvSpPr>
          <a:spLocks/>
        </xdr:cNvSpPr>
      </xdr:nvSpPr>
      <xdr:spPr>
        <a:xfrm flipH="1">
          <a:off x="1600200" y="141351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85</xdr:row>
      <xdr:rowOff>0</xdr:rowOff>
    </xdr:from>
    <xdr:to>
      <xdr:col>6</xdr:col>
      <xdr:colOff>57150</xdr:colOff>
      <xdr:row>85</xdr:row>
      <xdr:rowOff>104775</xdr:rowOff>
    </xdr:to>
    <xdr:sp>
      <xdr:nvSpPr>
        <xdr:cNvPr id="262" name="AutoShape 265"/>
        <xdr:cNvSpPr>
          <a:spLocks/>
        </xdr:cNvSpPr>
      </xdr:nvSpPr>
      <xdr:spPr>
        <a:xfrm>
          <a:off x="1038225" y="136969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87</xdr:row>
      <xdr:rowOff>19050</xdr:rowOff>
    </xdr:from>
    <xdr:to>
      <xdr:col>6</xdr:col>
      <xdr:colOff>0</xdr:colOff>
      <xdr:row>88</xdr:row>
      <xdr:rowOff>47625</xdr:rowOff>
    </xdr:to>
    <xdr:sp>
      <xdr:nvSpPr>
        <xdr:cNvPr id="263" name="Line 266"/>
        <xdr:cNvSpPr>
          <a:spLocks/>
        </xdr:cNvSpPr>
      </xdr:nvSpPr>
      <xdr:spPr>
        <a:xfrm>
          <a:off x="1085850" y="14039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87</xdr:row>
      <xdr:rowOff>114300</xdr:rowOff>
    </xdr:from>
    <xdr:to>
      <xdr:col>6</xdr:col>
      <xdr:colOff>28575</xdr:colOff>
      <xdr:row>88</xdr:row>
      <xdr:rowOff>28575</xdr:rowOff>
    </xdr:to>
    <xdr:sp>
      <xdr:nvSpPr>
        <xdr:cNvPr id="264" name="Line 267"/>
        <xdr:cNvSpPr>
          <a:spLocks/>
        </xdr:cNvSpPr>
      </xdr:nvSpPr>
      <xdr:spPr>
        <a:xfrm flipH="1">
          <a:off x="1057275" y="141351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92</xdr:row>
      <xdr:rowOff>0</xdr:rowOff>
    </xdr:from>
    <xdr:to>
      <xdr:col>12</xdr:col>
      <xdr:colOff>57150</xdr:colOff>
      <xdr:row>92</xdr:row>
      <xdr:rowOff>104775</xdr:rowOff>
    </xdr:to>
    <xdr:sp>
      <xdr:nvSpPr>
        <xdr:cNvPr id="265" name="AutoShape 268"/>
        <xdr:cNvSpPr>
          <a:spLocks/>
        </xdr:cNvSpPr>
      </xdr:nvSpPr>
      <xdr:spPr>
        <a:xfrm>
          <a:off x="2124075" y="148399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92</xdr:row>
      <xdr:rowOff>0</xdr:rowOff>
    </xdr:from>
    <xdr:to>
      <xdr:col>15</xdr:col>
      <xdr:colOff>57150</xdr:colOff>
      <xdr:row>92</xdr:row>
      <xdr:rowOff>104775</xdr:rowOff>
    </xdr:to>
    <xdr:sp>
      <xdr:nvSpPr>
        <xdr:cNvPr id="266" name="AutoShape 269"/>
        <xdr:cNvSpPr>
          <a:spLocks/>
        </xdr:cNvSpPr>
      </xdr:nvSpPr>
      <xdr:spPr>
        <a:xfrm>
          <a:off x="2667000" y="148399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92</xdr:row>
      <xdr:rowOff>9525</xdr:rowOff>
    </xdr:from>
    <xdr:to>
      <xdr:col>18</xdr:col>
      <xdr:colOff>57150</xdr:colOff>
      <xdr:row>92</xdr:row>
      <xdr:rowOff>114300</xdr:rowOff>
    </xdr:to>
    <xdr:sp>
      <xdr:nvSpPr>
        <xdr:cNvPr id="267" name="AutoShape 270"/>
        <xdr:cNvSpPr>
          <a:spLocks/>
        </xdr:cNvSpPr>
      </xdr:nvSpPr>
      <xdr:spPr>
        <a:xfrm>
          <a:off x="3209925" y="148494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94</xdr:row>
      <xdr:rowOff>19050</xdr:rowOff>
    </xdr:from>
    <xdr:to>
      <xdr:col>12</xdr:col>
      <xdr:colOff>0</xdr:colOff>
      <xdr:row>95</xdr:row>
      <xdr:rowOff>47625</xdr:rowOff>
    </xdr:to>
    <xdr:sp>
      <xdr:nvSpPr>
        <xdr:cNvPr id="268" name="Line 271"/>
        <xdr:cNvSpPr>
          <a:spLocks/>
        </xdr:cNvSpPr>
      </xdr:nvSpPr>
      <xdr:spPr>
        <a:xfrm>
          <a:off x="2171700" y="15182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95</xdr:row>
      <xdr:rowOff>0</xdr:rowOff>
    </xdr:from>
    <xdr:to>
      <xdr:col>18</xdr:col>
      <xdr:colOff>57150</xdr:colOff>
      <xdr:row>95</xdr:row>
      <xdr:rowOff>0</xdr:rowOff>
    </xdr:to>
    <xdr:sp>
      <xdr:nvSpPr>
        <xdr:cNvPr id="269" name="Line 272"/>
        <xdr:cNvSpPr>
          <a:spLocks/>
        </xdr:cNvSpPr>
      </xdr:nvSpPr>
      <xdr:spPr>
        <a:xfrm>
          <a:off x="1038225" y="1532572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94</xdr:row>
      <xdr:rowOff>28575</xdr:rowOff>
    </xdr:from>
    <xdr:to>
      <xdr:col>18</xdr:col>
      <xdr:colOff>0</xdr:colOff>
      <xdr:row>95</xdr:row>
      <xdr:rowOff>47625</xdr:rowOff>
    </xdr:to>
    <xdr:sp>
      <xdr:nvSpPr>
        <xdr:cNvPr id="270" name="Line 273"/>
        <xdr:cNvSpPr>
          <a:spLocks/>
        </xdr:cNvSpPr>
      </xdr:nvSpPr>
      <xdr:spPr>
        <a:xfrm>
          <a:off x="3257550" y="15192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94</xdr:row>
      <xdr:rowOff>114300</xdr:rowOff>
    </xdr:from>
    <xdr:to>
      <xdr:col>12</xdr:col>
      <xdr:colOff>28575</xdr:colOff>
      <xdr:row>95</xdr:row>
      <xdr:rowOff>28575</xdr:rowOff>
    </xdr:to>
    <xdr:sp>
      <xdr:nvSpPr>
        <xdr:cNvPr id="271" name="Line 274"/>
        <xdr:cNvSpPr>
          <a:spLocks/>
        </xdr:cNvSpPr>
      </xdr:nvSpPr>
      <xdr:spPr>
        <a:xfrm flipH="1">
          <a:off x="2143125" y="152781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94</xdr:row>
      <xdr:rowOff>114300</xdr:rowOff>
    </xdr:from>
    <xdr:to>
      <xdr:col>18</xdr:col>
      <xdr:colOff>28575</xdr:colOff>
      <xdr:row>95</xdr:row>
      <xdr:rowOff>28575</xdr:rowOff>
    </xdr:to>
    <xdr:sp>
      <xdr:nvSpPr>
        <xdr:cNvPr id="272" name="Line 275"/>
        <xdr:cNvSpPr>
          <a:spLocks/>
        </xdr:cNvSpPr>
      </xdr:nvSpPr>
      <xdr:spPr>
        <a:xfrm flipH="1">
          <a:off x="3228975" y="152781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94</xdr:row>
      <xdr:rowOff>28575</xdr:rowOff>
    </xdr:from>
    <xdr:to>
      <xdr:col>15</xdr:col>
      <xdr:colOff>0</xdr:colOff>
      <xdr:row>95</xdr:row>
      <xdr:rowOff>38100</xdr:rowOff>
    </xdr:to>
    <xdr:sp>
      <xdr:nvSpPr>
        <xdr:cNvPr id="273" name="Line 276"/>
        <xdr:cNvSpPr>
          <a:spLocks/>
        </xdr:cNvSpPr>
      </xdr:nvSpPr>
      <xdr:spPr>
        <a:xfrm>
          <a:off x="2714625" y="15192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94</xdr:row>
      <xdr:rowOff>123825</xdr:rowOff>
    </xdr:from>
    <xdr:to>
      <xdr:col>15</xdr:col>
      <xdr:colOff>19050</xdr:colOff>
      <xdr:row>95</xdr:row>
      <xdr:rowOff>28575</xdr:rowOff>
    </xdr:to>
    <xdr:sp>
      <xdr:nvSpPr>
        <xdr:cNvPr id="274" name="Line 277"/>
        <xdr:cNvSpPr>
          <a:spLocks/>
        </xdr:cNvSpPr>
      </xdr:nvSpPr>
      <xdr:spPr>
        <a:xfrm flipH="1">
          <a:off x="2686050" y="15287625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92</xdr:row>
      <xdr:rowOff>0</xdr:rowOff>
    </xdr:from>
    <xdr:to>
      <xdr:col>9</xdr:col>
      <xdr:colOff>57150</xdr:colOff>
      <xdr:row>92</xdr:row>
      <xdr:rowOff>104775</xdr:rowOff>
    </xdr:to>
    <xdr:sp>
      <xdr:nvSpPr>
        <xdr:cNvPr id="275" name="AutoShape 278"/>
        <xdr:cNvSpPr>
          <a:spLocks/>
        </xdr:cNvSpPr>
      </xdr:nvSpPr>
      <xdr:spPr>
        <a:xfrm>
          <a:off x="1581150" y="148399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94</xdr:row>
      <xdr:rowOff>19050</xdr:rowOff>
    </xdr:from>
    <xdr:to>
      <xdr:col>9</xdr:col>
      <xdr:colOff>0</xdr:colOff>
      <xdr:row>95</xdr:row>
      <xdr:rowOff>47625</xdr:rowOff>
    </xdr:to>
    <xdr:sp>
      <xdr:nvSpPr>
        <xdr:cNvPr id="276" name="Line 279"/>
        <xdr:cNvSpPr>
          <a:spLocks/>
        </xdr:cNvSpPr>
      </xdr:nvSpPr>
      <xdr:spPr>
        <a:xfrm>
          <a:off x="1628775" y="15182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94</xdr:row>
      <xdr:rowOff>114300</xdr:rowOff>
    </xdr:from>
    <xdr:to>
      <xdr:col>9</xdr:col>
      <xdr:colOff>28575</xdr:colOff>
      <xdr:row>95</xdr:row>
      <xdr:rowOff>28575</xdr:rowOff>
    </xdr:to>
    <xdr:sp>
      <xdr:nvSpPr>
        <xdr:cNvPr id="277" name="Line 280"/>
        <xdr:cNvSpPr>
          <a:spLocks/>
        </xdr:cNvSpPr>
      </xdr:nvSpPr>
      <xdr:spPr>
        <a:xfrm flipH="1">
          <a:off x="1600200" y="152781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92</xdr:row>
      <xdr:rowOff>0</xdr:rowOff>
    </xdr:from>
    <xdr:to>
      <xdr:col>6</xdr:col>
      <xdr:colOff>57150</xdr:colOff>
      <xdr:row>92</xdr:row>
      <xdr:rowOff>104775</xdr:rowOff>
    </xdr:to>
    <xdr:sp>
      <xdr:nvSpPr>
        <xdr:cNvPr id="278" name="AutoShape 281"/>
        <xdr:cNvSpPr>
          <a:spLocks/>
        </xdr:cNvSpPr>
      </xdr:nvSpPr>
      <xdr:spPr>
        <a:xfrm>
          <a:off x="1038225" y="148399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94</xdr:row>
      <xdr:rowOff>19050</xdr:rowOff>
    </xdr:from>
    <xdr:to>
      <xdr:col>6</xdr:col>
      <xdr:colOff>0</xdr:colOff>
      <xdr:row>95</xdr:row>
      <xdr:rowOff>47625</xdr:rowOff>
    </xdr:to>
    <xdr:sp>
      <xdr:nvSpPr>
        <xdr:cNvPr id="279" name="Line 282"/>
        <xdr:cNvSpPr>
          <a:spLocks/>
        </xdr:cNvSpPr>
      </xdr:nvSpPr>
      <xdr:spPr>
        <a:xfrm>
          <a:off x="1085850" y="15182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94</xdr:row>
      <xdr:rowOff>114300</xdr:rowOff>
    </xdr:from>
    <xdr:to>
      <xdr:col>6</xdr:col>
      <xdr:colOff>28575</xdr:colOff>
      <xdr:row>95</xdr:row>
      <xdr:rowOff>28575</xdr:rowOff>
    </xdr:to>
    <xdr:sp>
      <xdr:nvSpPr>
        <xdr:cNvPr id="280" name="Line 283"/>
        <xdr:cNvSpPr>
          <a:spLocks/>
        </xdr:cNvSpPr>
      </xdr:nvSpPr>
      <xdr:spPr>
        <a:xfrm flipH="1">
          <a:off x="1057275" y="152781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99</xdr:row>
      <xdr:rowOff>0</xdr:rowOff>
    </xdr:from>
    <xdr:to>
      <xdr:col>12</xdr:col>
      <xdr:colOff>57150</xdr:colOff>
      <xdr:row>99</xdr:row>
      <xdr:rowOff>104775</xdr:rowOff>
    </xdr:to>
    <xdr:sp>
      <xdr:nvSpPr>
        <xdr:cNvPr id="281" name="AutoShape 284"/>
        <xdr:cNvSpPr>
          <a:spLocks/>
        </xdr:cNvSpPr>
      </xdr:nvSpPr>
      <xdr:spPr>
        <a:xfrm>
          <a:off x="2124075" y="159829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99</xdr:row>
      <xdr:rowOff>0</xdr:rowOff>
    </xdr:from>
    <xdr:to>
      <xdr:col>15</xdr:col>
      <xdr:colOff>57150</xdr:colOff>
      <xdr:row>99</xdr:row>
      <xdr:rowOff>104775</xdr:rowOff>
    </xdr:to>
    <xdr:sp>
      <xdr:nvSpPr>
        <xdr:cNvPr id="282" name="AutoShape 285"/>
        <xdr:cNvSpPr>
          <a:spLocks/>
        </xdr:cNvSpPr>
      </xdr:nvSpPr>
      <xdr:spPr>
        <a:xfrm>
          <a:off x="2667000" y="159829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99</xdr:row>
      <xdr:rowOff>9525</xdr:rowOff>
    </xdr:from>
    <xdr:to>
      <xdr:col>18</xdr:col>
      <xdr:colOff>57150</xdr:colOff>
      <xdr:row>99</xdr:row>
      <xdr:rowOff>114300</xdr:rowOff>
    </xdr:to>
    <xdr:sp>
      <xdr:nvSpPr>
        <xdr:cNvPr id="283" name="AutoShape 286"/>
        <xdr:cNvSpPr>
          <a:spLocks/>
        </xdr:cNvSpPr>
      </xdr:nvSpPr>
      <xdr:spPr>
        <a:xfrm>
          <a:off x="3209925" y="159924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101</xdr:row>
      <xdr:rowOff>19050</xdr:rowOff>
    </xdr:from>
    <xdr:to>
      <xdr:col>12</xdr:col>
      <xdr:colOff>0</xdr:colOff>
      <xdr:row>102</xdr:row>
      <xdr:rowOff>47625</xdr:rowOff>
    </xdr:to>
    <xdr:sp>
      <xdr:nvSpPr>
        <xdr:cNvPr id="284" name="Line 287"/>
        <xdr:cNvSpPr>
          <a:spLocks/>
        </xdr:cNvSpPr>
      </xdr:nvSpPr>
      <xdr:spPr>
        <a:xfrm>
          <a:off x="2171700" y="16325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102</xdr:row>
      <xdr:rowOff>0</xdr:rowOff>
    </xdr:from>
    <xdr:to>
      <xdr:col>18</xdr:col>
      <xdr:colOff>57150</xdr:colOff>
      <xdr:row>102</xdr:row>
      <xdr:rowOff>0</xdr:rowOff>
    </xdr:to>
    <xdr:sp>
      <xdr:nvSpPr>
        <xdr:cNvPr id="285" name="Line 288"/>
        <xdr:cNvSpPr>
          <a:spLocks/>
        </xdr:cNvSpPr>
      </xdr:nvSpPr>
      <xdr:spPr>
        <a:xfrm>
          <a:off x="1038225" y="1646872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101</xdr:row>
      <xdr:rowOff>28575</xdr:rowOff>
    </xdr:from>
    <xdr:to>
      <xdr:col>18</xdr:col>
      <xdr:colOff>0</xdr:colOff>
      <xdr:row>102</xdr:row>
      <xdr:rowOff>47625</xdr:rowOff>
    </xdr:to>
    <xdr:sp>
      <xdr:nvSpPr>
        <xdr:cNvPr id="286" name="Line 289"/>
        <xdr:cNvSpPr>
          <a:spLocks/>
        </xdr:cNvSpPr>
      </xdr:nvSpPr>
      <xdr:spPr>
        <a:xfrm>
          <a:off x="3257550" y="16335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101</xdr:row>
      <xdr:rowOff>114300</xdr:rowOff>
    </xdr:from>
    <xdr:to>
      <xdr:col>12</xdr:col>
      <xdr:colOff>28575</xdr:colOff>
      <xdr:row>102</xdr:row>
      <xdr:rowOff>28575</xdr:rowOff>
    </xdr:to>
    <xdr:sp>
      <xdr:nvSpPr>
        <xdr:cNvPr id="287" name="Line 290"/>
        <xdr:cNvSpPr>
          <a:spLocks/>
        </xdr:cNvSpPr>
      </xdr:nvSpPr>
      <xdr:spPr>
        <a:xfrm flipH="1">
          <a:off x="2143125" y="164211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101</xdr:row>
      <xdr:rowOff>114300</xdr:rowOff>
    </xdr:from>
    <xdr:to>
      <xdr:col>18</xdr:col>
      <xdr:colOff>28575</xdr:colOff>
      <xdr:row>102</xdr:row>
      <xdr:rowOff>28575</xdr:rowOff>
    </xdr:to>
    <xdr:sp>
      <xdr:nvSpPr>
        <xdr:cNvPr id="288" name="Line 291"/>
        <xdr:cNvSpPr>
          <a:spLocks/>
        </xdr:cNvSpPr>
      </xdr:nvSpPr>
      <xdr:spPr>
        <a:xfrm flipH="1">
          <a:off x="3228975" y="164211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101</xdr:row>
      <xdr:rowOff>28575</xdr:rowOff>
    </xdr:from>
    <xdr:to>
      <xdr:col>15</xdr:col>
      <xdr:colOff>0</xdr:colOff>
      <xdr:row>102</xdr:row>
      <xdr:rowOff>38100</xdr:rowOff>
    </xdr:to>
    <xdr:sp>
      <xdr:nvSpPr>
        <xdr:cNvPr id="289" name="Line 292"/>
        <xdr:cNvSpPr>
          <a:spLocks/>
        </xdr:cNvSpPr>
      </xdr:nvSpPr>
      <xdr:spPr>
        <a:xfrm>
          <a:off x="2714625" y="16335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101</xdr:row>
      <xdr:rowOff>123825</xdr:rowOff>
    </xdr:from>
    <xdr:to>
      <xdr:col>15</xdr:col>
      <xdr:colOff>19050</xdr:colOff>
      <xdr:row>102</xdr:row>
      <xdr:rowOff>28575</xdr:rowOff>
    </xdr:to>
    <xdr:sp>
      <xdr:nvSpPr>
        <xdr:cNvPr id="290" name="Line 293"/>
        <xdr:cNvSpPr>
          <a:spLocks/>
        </xdr:cNvSpPr>
      </xdr:nvSpPr>
      <xdr:spPr>
        <a:xfrm flipH="1">
          <a:off x="2686050" y="16430625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99</xdr:row>
      <xdr:rowOff>0</xdr:rowOff>
    </xdr:from>
    <xdr:to>
      <xdr:col>9</xdr:col>
      <xdr:colOff>57150</xdr:colOff>
      <xdr:row>99</xdr:row>
      <xdr:rowOff>104775</xdr:rowOff>
    </xdr:to>
    <xdr:sp>
      <xdr:nvSpPr>
        <xdr:cNvPr id="291" name="AutoShape 294"/>
        <xdr:cNvSpPr>
          <a:spLocks/>
        </xdr:cNvSpPr>
      </xdr:nvSpPr>
      <xdr:spPr>
        <a:xfrm>
          <a:off x="1581150" y="159829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101</xdr:row>
      <xdr:rowOff>19050</xdr:rowOff>
    </xdr:from>
    <xdr:to>
      <xdr:col>9</xdr:col>
      <xdr:colOff>0</xdr:colOff>
      <xdr:row>102</xdr:row>
      <xdr:rowOff>47625</xdr:rowOff>
    </xdr:to>
    <xdr:sp>
      <xdr:nvSpPr>
        <xdr:cNvPr id="292" name="Line 295"/>
        <xdr:cNvSpPr>
          <a:spLocks/>
        </xdr:cNvSpPr>
      </xdr:nvSpPr>
      <xdr:spPr>
        <a:xfrm>
          <a:off x="1628775" y="16325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101</xdr:row>
      <xdr:rowOff>114300</xdr:rowOff>
    </xdr:from>
    <xdr:to>
      <xdr:col>9</xdr:col>
      <xdr:colOff>28575</xdr:colOff>
      <xdr:row>102</xdr:row>
      <xdr:rowOff>28575</xdr:rowOff>
    </xdr:to>
    <xdr:sp>
      <xdr:nvSpPr>
        <xdr:cNvPr id="293" name="Line 296"/>
        <xdr:cNvSpPr>
          <a:spLocks/>
        </xdr:cNvSpPr>
      </xdr:nvSpPr>
      <xdr:spPr>
        <a:xfrm flipH="1">
          <a:off x="1600200" y="164211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99</xdr:row>
      <xdr:rowOff>0</xdr:rowOff>
    </xdr:from>
    <xdr:to>
      <xdr:col>6</xdr:col>
      <xdr:colOff>57150</xdr:colOff>
      <xdr:row>99</xdr:row>
      <xdr:rowOff>104775</xdr:rowOff>
    </xdr:to>
    <xdr:sp>
      <xdr:nvSpPr>
        <xdr:cNvPr id="294" name="AutoShape 297"/>
        <xdr:cNvSpPr>
          <a:spLocks/>
        </xdr:cNvSpPr>
      </xdr:nvSpPr>
      <xdr:spPr>
        <a:xfrm>
          <a:off x="1038225" y="159829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19050</xdr:rowOff>
    </xdr:from>
    <xdr:to>
      <xdr:col>6</xdr:col>
      <xdr:colOff>0</xdr:colOff>
      <xdr:row>102</xdr:row>
      <xdr:rowOff>47625</xdr:rowOff>
    </xdr:to>
    <xdr:sp>
      <xdr:nvSpPr>
        <xdr:cNvPr id="295" name="Line 298"/>
        <xdr:cNvSpPr>
          <a:spLocks/>
        </xdr:cNvSpPr>
      </xdr:nvSpPr>
      <xdr:spPr>
        <a:xfrm>
          <a:off x="1085850" y="16325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101</xdr:row>
      <xdr:rowOff>114300</xdr:rowOff>
    </xdr:from>
    <xdr:to>
      <xdr:col>6</xdr:col>
      <xdr:colOff>28575</xdr:colOff>
      <xdr:row>102</xdr:row>
      <xdr:rowOff>28575</xdr:rowOff>
    </xdr:to>
    <xdr:sp>
      <xdr:nvSpPr>
        <xdr:cNvPr id="296" name="Line 299"/>
        <xdr:cNvSpPr>
          <a:spLocks/>
        </xdr:cNvSpPr>
      </xdr:nvSpPr>
      <xdr:spPr>
        <a:xfrm flipH="1">
          <a:off x="1057275" y="164211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107</xdr:row>
      <xdr:rowOff>0</xdr:rowOff>
    </xdr:from>
    <xdr:to>
      <xdr:col>12</xdr:col>
      <xdr:colOff>57150</xdr:colOff>
      <xdr:row>107</xdr:row>
      <xdr:rowOff>104775</xdr:rowOff>
    </xdr:to>
    <xdr:sp>
      <xdr:nvSpPr>
        <xdr:cNvPr id="297" name="AutoShape 300"/>
        <xdr:cNvSpPr>
          <a:spLocks/>
        </xdr:cNvSpPr>
      </xdr:nvSpPr>
      <xdr:spPr>
        <a:xfrm>
          <a:off x="2124075" y="172878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107</xdr:row>
      <xdr:rowOff>0</xdr:rowOff>
    </xdr:from>
    <xdr:to>
      <xdr:col>15</xdr:col>
      <xdr:colOff>57150</xdr:colOff>
      <xdr:row>107</xdr:row>
      <xdr:rowOff>104775</xdr:rowOff>
    </xdr:to>
    <xdr:sp>
      <xdr:nvSpPr>
        <xdr:cNvPr id="298" name="AutoShape 301"/>
        <xdr:cNvSpPr>
          <a:spLocks/>
        </xdr:cNvSpPr>
      </xdr:nvSpPr>
      <xdr:spPr>
        <a:xfrm>
          <a:off x="2667000" y="172878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107</xdr:row>
      <xdr:rowOff>9525</xdr:rowOff>
    </xdr:from>
    <xdr:to>
      <xdr:col>18</xdr:col>
      <xdr:colOff>57150</xdr:colOff>
      <xdr:row>107</xdr:row>
      <xdr:rowOff>114300</xdr:rowOff>
    </xdr:to>
    <xdr:sp>
      <xdr:nvSpPr>
        <xdr:cNvPr id="299" name="AutoShape 302"/>
        <xdr:cNvSpPr>
          <a:spLocks/>
        </xdr:cNvSpPr>
      </xdr:nvSpPr>
      <xdr:spPr>
        <a:xfrm>
          <a:off x="3209925" y="1729740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109</xdr:row>
      <xdr:rowOff>19050</xdr:rowOff>
    </xdr:from>
    <xdr:to>
      <xdr:col>12</xdr:col>
      <xdr:colOff>0</xdr:colOff>
      <xdr:row>110</xdr:row>
      <xdr:rowOff>47625</xdr:rowOff>
    </xdr:to>
    <xdr:sp>
      <xdr:nvSpPr>
        <xdr:cNvPr id="300" name="Line 303"/>
        <xdr:cNvSpPr>
          <a:spLocks/>
        </xdr:cNvSpPr>
      </xdr:nvSpPr>
      <xdr:spPr>
        <a:xfrm>
          <a:off x="2171700" y="17630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110</xdr:row>
      <xdr:rowOff>0</xdr:rowOff>
    </xdr:from>
    <xdr:to>
      <xdr:col>18</xdr:col>
      <xdr:colOff>57150</xdr:colOff>
      <xdr:row>110</xdr:row>
      <xdr:rowOff>0</xdr:rowOff>
    </xdr:to>
    <xdr:sp>
      <xdr:nvSpPr>
        <xdr:cNvPr id="301" name="Line 304"/>
        <xdr:cNvSpPr>
          <a:spLocks/>
        </xdr:cNvSpPr>
      </xdr:nvSpPr>
      <xdr:spPr>
        <a:xfrm>
          <a:off x="1038225" y="177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28575</xdr:rowOff>
    </xdr:from>
    <xdr:to>
      <xdr:col>18</xdr:col>
      <xdr:colOff>0</xdr:colOff>
      <xdr:row>110</xdr:row>
      <xdr:rowOff>47625</xdr:rowOff>
    </xdr:to>
    <xdr:sp>
      <xdr:nvSpPr>
        <xdr:cNvPr id="302" name="Line 305"/>
        <xdr:cNvSpPr>
          <a:spLocks/>
        </xdr:cNvSpPr>
      </xdr:nvSpPr>
      <xdr:spPr>
        <a:xfrm>
          <a:off x="3257550" y="17640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109</xdr:row>
      <xdr:rowOff>114300</xdr:rowOff>
    </xdr:from>
    <xdr:to>
      <xdr:col>12</xdr:col>
      <xdr:colOff>28575</xdr:colOff>
      <xdr:row>110</xdr:row>
      <xdr:rowOff>28575</xdr:rowOff>
    </xdr:to>
    <xdr:sp>
      <xdr:nvSpPr>
        <xdr:cNvPr id="303" name="Line 306"/>
        <xdr:cNvSpPr>
          <a:spLocks/>
        </xdr:cNvSpPr>
      </xdr:nvSpPr>
      <xdr:spPr>
        <a:xfrm flipH="1">
          <a:off x="2143125" y="1772602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109</xdr:row>
      <xdr:rowOff>114300</xdr:rowOff>
    </xdr:from>
    <xdr:to>
      <xdr:col>18</xdr:col>
      <xdr:colOff>28575</xdr:colOff>
      <xdr:row>110</xdr:row>
      <xdr:rowOff>28575</xdr:rowOff>
    </xdr:to>
    <xdr:sp>
      <xdr:nvSpPr>
        <xdr:cNvPr id="304" name="Line 307"/>
        <xdr:cNvSpPr>
          <a:spLocks/>
        </xdr:cNvSpPr>
      </xdr:nvSpPr>
      <xdr:spPr>
        <a:xfrm flipH="1">
          <a:off x="3228975" y="1772602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109</xdr:row>
      <xdr:rowOff>28575</xdr:rowOff>
    </xdr:from>
    <xdr:to>
      <xdr:col>15</xdr:col>
      <xdr:colOff>0</xdr:colOff>
      <xdr:row>110</xdr:row>
      <xdr:rowOff>38100</xdr:rowOff>
    </xdr:to>
    <xdr:sp>
      <xdr:nvSpPr>
        <xdr:cNvPr id="305" name="Line 308"/>
        <xdr:cNvSpPr>
          <a:spLocks/>
        </xdr:cNvSpPr>
      </xdr:nvSpPr>
      <xdr:spPr>
        <a:xfrm>
          <a:off x="2714625" y="17640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109</xdr:row>
      <xdr:rowOff>123825</xdr:rowOff>
    </xdr:from>
    <xdr:to>
      <xdr:col>15</xdr:col>
      <xdr:colOff>19050</xdr:colOff>
      <xdr:row>110</xdr:row>
      <xdr:rowOff>28575</xdr:rowOff>
    </xdr:to>
    <xdr:sp>
      <xdr:nvSpPr>
        <xdr:cNvPr id="306" name="Line 309"/>
        <xdr:cNvSpPr>
          <a:spLocks/>
        </xdr:cNvSpPr>
      </xdr:nvSpPr>
      <xdr:spPr>
        <a:xfrm flipH="1">
          <a:off x="2686050" y="17735550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107</xdr:row>
      <xdr:rowOff>0</xdr:rowOff>
    </xdr:from>
    <xdr:to>
      <xdr:col>9</xdr:col>
      <xdr:colOff>57150</xdr:colOff>
      <xdr:row>107</xdr:row>
      <xdr:rowOff>104775</xdr:rowOff>
    </xdr:to>
    <xdr:sp>
      <xdr:nvSpPr>
        <xdr:cNvPr id="307" name="AutoShape 310"/>
        <xdr:cNvSpPr>
          <a:spLocks/>
        </xdr:cNvSpPr>
      </xdr:nvSpPr>
      <xdr:spPr>
        <a:xfrm>
          <a:off x="1581150" y="172878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109</xdr:row>
      <xdr:rowOff>19050</xdr:rowOff>
    </xdr:from>
    <xdr:to>
      <xdr:col>9</xdr:col>
      <xdr:colOff>0</xdr:colOff>
      <xdr:row>110</xdr:row>
      <xdr:rowOff>47625</xdr:rowOff>
    </xdr:to>
    <xdr:sp>
      <xdr:nvSpPr>
        <xdr:cNvPr id="308" name="Line 311"/>
        <xdr:cNvSpPr>
          <a:spLocks/>
        </xdr:cNvSpPr>
      </xdr:nvSpPr>
      <xdr:spPr>
        <a:xfrm>
          <a:off x="1628775" y="17630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109</xdr:row>
      <xdr:rowOff>114300</xdr:rowOff>
    </xdr:from>
    <xdr:to>
      <xdr:col>9</xdr:col>
      <xdr:colOff>28575</xdr:colOff>
      <xdr:row>110</xdr:row>
      <xdr:rowOff>28575</xdr:rowOff>
    </xdr:to>
    <xdr:sp>
      <xdr:nvSpPr>
        <xdr:cNvPr id="309" name="Line 312"/>
        <xdr:cNvSpPr>
          <a:spLocks/>
        </xdr:cNvSpPr>
      </xdr:nvSpPr>
      <xdr:spPr>
        <a:xfrm flipH="1">
          <a:off x="1600200" y="1772602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107</xdr:row>
      <xdr:rowOff>0</xdr:rowOff>
    </xdr:from>
    <xdr:to>
      <xdr:col>6</xdr:col>
      <xdr:colOff>57150</xdr:colOff>
      <xdr:row>107</xdr:row>
      <xdr:rowOff>104775</xdr:rowOff>
    </xdr:to>
    <xdr:sp>
      <xdr:nvSpPr>
        <xdr:cNvPr id="310" name="AutoShape 313"/>
        <xdr:cNvSpPr>
          <a:spLocks/>
        </xdr:cNvSpPr>
      </xdr:nvSpPr>
      <xdr:spPr>
        <a:xfrm>
          <a:off x="1038225" y="172878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109</xdr:row>
      <xdr:rowOff>19050</xdr:rowOff>
    </xdr:from>
    <xdr:to>
      <xdr:col>6</xdr:col>
      <xdr:colOff>0</xdr:colOff>
      <xdr:row>110</xdr:row>
      <xdr:rowOff>47625</xdr:rowOff>
    </xdr:to>
    <xdr:sp>
      <xdr:nvSpPr>
        <xdr:cNvPr id="311" name="Line 314"/>
        <xdr:cNvSpPr>
          <a:spLocks/>
        </xdr:cNvSpPr>
      </xdr:nvSpPr>
      <xdr:spPr>
        <a:xfrm>
          <a:off x="1085850" y="17630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109</xdr:row>
      <xdr:rowOff>114300</xdr:rowOff>
    </xdr:from>
    <xdr:to>
      <xdr:col>6</xdr:col>
      <xdr:colOff>28575</xdr:colOff>
      <xdr:row>110</xdr:row>
      <xdr:rowOff>28575</xdr:rowOff>
    </xdr:to>
    <xdr:sp>
      <xdr:nvSpPr>
        <xdr:cNvPr id="312" name="Line 315"/>
        <xdr:cNvSpPr>
          <a:spLocks/>
        </xdr:cNvSpPr>
      </xdr:nvSpPr>
      <xdr:spPr>
        <a:xfrm flipH="1">
          <a:off x="1057275" y="1772602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113</xdr:row>
      <xdr:rowOff>0</xdr:rowOff>
    </xdr:from>
    <xdr:to>
      <xdr:col>12</xdr:col>
      <xdr:colOff>57150</xdr:colOff>
      <xdr:row>113</xdr:row>
      <xdr:rowOff>104775</xdr:rowOff>
    </xdr:to>
    <xdr:sp>
      <xdr:nvSpPr>
        <xdr:cNvPr id="313" name="AutoShape 316"/>
        <xdr:cNvSpPr>
          <a:spLocks/>
        </xdr:cNvSpPr>
      </xdr:nvSpPr>
      <xdr:spPr>
        <a:xfrm>
          <a:off x="2124075" y="182689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113</xdr:row>
      <xdr:rowOff>0</xdr:rowOff>
    </xdr:from>
    <xdr:to>
      <xdr:col>15</xdr:col>
      <xdr:colOff>57150</xdr:colOff>
      <xdr:row>113</xdr:row>
      <xdr:rowOff>104775</xdr:rowOff>
    </xdr:to>
    <xdr:sp>
      <xdr:nvSpPr>
        <xdr:cNvPr id="314" name="AutoShape 317"/>
        <xdr:cNvSpPr>
          <a:spLocks/>
        </xdr:cNvSpPr>
      </xdr:nvSpPr>
      <xdr:spPr>
        <a:xfrm>
          <a:off x="2667000" y="182689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113</xdr:row>
      <xdr:rowOff>9525</xdr:rowOff>
    </xdr:from>
    <xdr:to>
      <xdr:col>18</xdr:col>
      <xdr:colOff>57150</xdr:colOff>
      <xdr:row>113</xdr:row>
      <xdr:rowOff>114300</xdr:rowOff>
    </xdr:to>
    <xdr:sp>
      <xdr:nvSpPr>
        <xdr:cNvPr id="315" name="AutoShape 318"/>
        <xdr:cNvSpPr>
          <a:spLocks/>
        </xdr:cNvSpPr>
      </xdr:nvSpPr>
      <xdr:spPr>
        <a:xfrm>
          <a:off x="3209925" y="182784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115</xdr:row>
      <xdr:rowOff>19050</xdr:rowOff>
    </xdr:from>
    <xdr:to>
      <xdr:col>12</xdr:col>
      <xdr:colOff>0</xdr:colOff>
      <xdr:row>116</xdr:row>
      <xdr:rowOff>47625</xdr:rowOff>
    </xdr:to>
    <xdr:sp>
      <xdr:nvSpPr>
        <xdr:cNvPr id="316" name="Line 319"/>
        <xdr:cNvSpPr>
          <a:spLocks/>
        </xdr:cNvSpPr>
      </xdr:nvSpPr>
      <xdr:spPr>
        <a:xfrm>
          <a:off x="2171700" y="18611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116</xdr:row>
      <xdr:rowOff>0</xdr:rowOff>
    </xdr:from>
    <xdr:to>
      <xdr:col>18</xdr:col>
      <xdr:colOff>57150</xdr:colOff>
      <xdr:row>116</xdr:row>
      <xdr:rowOff>0</xdr:rowOff>
    </xdr:to>
    <xdr:sp>
      <xdr:nvSpPr>
        <xdr:cNvPr id="317" name="Line 320"/>
        <xdr:cNvSpPr>
          <a:spLocks/>
        </xdr:cNvSpPr>
      </xdr:nvSpPr>
      <xdr:spPr>
        <a:xfrm>
          <a:off x="1038225" y="1875472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115</xdr:row>
      <xdr:rowOff>28575</xdr:rowOff>
    </xdr:from>
    <xdr:to>
      <xdr:col>18</xdr:col>
      <xdr:colOff>0</xdr:colOff>
      <xdr:row>116</xdr:row>
      <xdr:rowOff>47625</xdr:rowOff>
    </xdr:to>
    <xdr:sp>
      <xdr:nvSpPr>
        <xdr:cNvPr id="318" name="Line 321"/>
        <xdr:cNvSpPr>
          <a:spLocks/>
        </xdr:cNvSpPr>
      </xdr:nvSpPr>
      <xdr:spPr>
        <a:xfrm>
          <a:off x="3257550" y="18621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115</xdr:row>
      <xdr:rowOff>114300</xdr:rowOff>
    </xdr:from>
    <xdr:to>
      <xdr:col>12</xdr:col>
      <xdr:colOff>28575</xdr:colOff>
      <xdr:row>116</xdr:row>
      <xdr:rowOff>28575</xdr:rowOff>
    </xdr:to>
    <xdr:sp>
      <xdr:nvSpPr>
        <xdr:cNvPr id="319" name="Line 322"/>
        <xdr:cNvSpPr>
          <a:spLocks/>
        </xdr:cNvSpPr>
      </xdr:nvSpPr>
      <xdr:spPr>
        <a:xfrm flipH="1">
          <a:off x="2143125" y="187071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115</xdr:row>
      <xdr:rowOff>114300</xdr:rowOff>
    </xdr:from>
    <xdr:to>
      <xdr:col>18</xdr:col>
      <xdr:colOff>28575</xdr:colOff>
      <xdr:row>116</xdr:row>
      <xdr:rowOff>28575</xdr:rowOff>
    </xdr:to>
    <xdr:sp>
      <xdr:nvSpPr>
        <xdr:cNvPr id="320" name="Line 323"/>
        <xdr:cNvSpPr>
          <a:spLocks/>
        </xdr:cNvSpPr>
      </xdr:nvSpPr>
      <xdr:spPr>
        <a:xfrm flipH="1">
          <a:off x="3228975" y="187071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115</xdr:row>
      <xdr:rowOff>28575</xdr:rowOff>
    </xdr:from>
    <xdr:to>
      <xdr:col>15</xdr:col>
      <xdr:colOff>0</xdr:colOff>
      <xdr:row>116</xdr:row>
      <xdr:rowOff>38100</xdr:rowOff>
    </xdr:to>
    <xdr:sp>
      <xdr:nvSpPr>
        <xdr:cNvPr id="321" name="Line 324"/>
        <xdr:cNvSpPr>
          <a:spLocks/>
        </xdr:cNvSpPr>
      </xdr:nvSpPr>
      <xdr:spPr>
        <a:xfrm>
          <a:off x="2714625" y="18621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115</xdr:row>
      <xdr:rowOff>123825</xdr:rowOff>
    </xdr:from>
    <xdr:to>
      <xdr:col>15</xdr:col>
      <xdr:colOff>19050</xdr:colOff>
      <xdr:row>116</xdr:row>
      <xdr:rowOff>28575</xdr:rowOff>
    </xdr:to>
    <xdr:sp>
      <xdr:nvSpPr>
        <xdr:cNvPr id="322" name="Line 325"/>
        <xdr:cNvSpPr>
          <a:spLocks/>
        </xdr:cNvSpPr>
      </xdr:nvSpPr>
      <xdr:spPr>
        <a:xfrm flipH="1">
          <a:off x="2686050" y="18716625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113</xdr:row>
      <xdr:rowOff>0</xdr:rowOff>
    </xdr:from>
    <xdr:to>
      <xdr:col>9</xdr:col>
      <xdr:colOff>57150</xdr:colOff>
      <xdr:row>113</xdr:row>
      <xdr:rowOff>104775</xdr:rowOff>
    </xdr:to>
    <xdr:sp>
      <xdr:nvSpPr>
        <xdr:cNvPr id="323" name="AutoShape 326"/>
        <xdr:cNvSpPr>
          <a:spLocks/>
        </xdr:cNvSpPr>
      </xdr:nvSpPr>
      <xdr:spPr>
        <a:xfrm>
          <a:off x="1581150" y="182689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115</xdr:row>
      <xdr:rowOff>19050</xdr:rowOff>
    </xdr:from>
    <xdr:to>
      <xdr:col>9</xdr:col>
      <xdr:colOff>0</xdr:colOff>
      <xdr:row>116</xdr:row>
      <xdr:rowOff>47625</xdr:rowOff>
    </xdr:to>
    <xdr:sp>
      <xdr:nvSpPr>
        <xdr:cNvPr id="324" name="Line 327"/>
        <xdr:cNvSpPr>
          <a:spLocks/>
        </xdr:cNvSpPr>
      </xdr:nvSpPr>
      <xdr:spPr>
        <a:xfrm>
          <a:off x="1628775" y="18611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115</xdr:row>
      <xdr:rowOff>114300</xdr:rowOff>
    </xdr:from>
    <xdr:to>
      <xdr:col>9</xdr:col>
      <xdr:colOff>28575</xdr:colOff>
      <xdr:row>116</xdr:row>
      <xdr:rowOff>28575</xdr:rowOff>
    </xdr:to>
    <xdr:sp>
      <xdr:nvSpPr>
        <xdr:cNvPr id="325" name="Line 328"/>
        <xdr:cNvSpPr>
          <a:spLocks/>
        </xdr:cNvSpPr>
      </xdr:nvSpPr>
      <xdr:spPr>
        <a:xfrm flipH="1">
          <a:off x="1600200" y="187071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113</xdr:row>
      <xdr:rowOff>0</xdr:rowOff>
    </xdr:from>
    <xdr:to>
      <xdr:col>6</xdr:col>
      <xdr:colOff>57150</xdr:colOff>
      <xdr:row>113</xdr:row>
      <xdr:rowOff>104775</xdr:rowOff>
    </xdr:to>
    <xdr:sp>
      <xdr:nvSpPr>
        <xdr:cNvPr id="326" name="AutoShape 329"/>
        <xdr:cNvSpPr>
          <a:spLocks/>
        </xdr:cNvSpPr>
      </xdr:nvSpPr>
      <xdr:spPr>
        <a:xfrm>
          <a:off x="1038225" y="182689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115</xdr:row>
      <xdr:rowOff>19050</xdr:rowOff>
    </xdr:from>
    <xdr:to>
      <xdr:col>6</xdr:col>
      <xdr:colOff>0</xdr:colOff>
      <xdr:row>116</xdr:row>
      <xdr:rowOff>47625</xdr:rowOff>
    </xdr:to>
    <xdr:sp>
      <xdr:nvSpPr>
        <xdr:cNvPr id="327" name="Line 330"/>
        <xdr:cNvSpPr>
          <a:spLocks/>
        </xdr:cNvSpPr>
      </xdr:nvSpPr>
      <xdr:spPr>
        <a:xfrm>
          <a:off x="1085850" y="18611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115</xdr:row>
      <xdr:rowOff>114300</xdr:rowOff>
    </xdr:from>
    <xdr:to>
      <xdr:col>6</xdr:col>
      <xdr:colOff>28575</xdr:colOff>
      <xdr:row>116</xdr:row>
      <xdr:rowOff>28575</xdr:rowOff>
    </xdr:to>
    <xdr:sp>
      <xdr:nvSpPr>
        <xdr:cNvPr id="328" name="Line 331"/>
        <xdr:cNvSpPr>
          <a:spLocks/>
        </xdr:cNvSpPr>
      </xdr:nvSpPr>
      <xdr:spPr>
        <a:xfrm flipH="1">
          <a:off x="1057275" y="187071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123</xdr:row>
      <xdr:rowOff>0</xdr:rowOff>
    </xdr:from>
    <xdr:to>
      <xdr:col>12</xdr:col>
      <xdr:colOff>57150</xdr:colOff>
      <xdr:row>123</xdr:row>
      <xdr:rowOff>104775</xdr:rowOff>
    </xdr:to>
    <xdr:sp>
      <xdr:nvSpPr>
        <xdr:cNvPr id="329" name="AutoShape 332"/>
        <xdr:cNvSpPr>
          <a:spLocks/>
        </xdr:cNvSpPr>
      </xdr:nvSpPr>
      <xdr:spPr>
        <a:xfrm>
          <a:off x="2124075" y="198024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123</xdr:row>
      <xdr:rowOff>0</xdr:rowOff>
    </xdr:from>
    <xdr:to>
      <xdr:col>15</xdr:col>
      <xdr:colOff>57150</xdr:colOff>
      <xdr:row>123</xdr:row>
      <xdr:rowOff>104775</xdr:rowOff>
    </xdr:to>
    <xdr:sp>
      <xdr:nvSpPr>
        <xdr:cNvPr id="330" name="AutoShape 333"/>
        <xdr:cNvSpPr>
          <a:spLocks/>
        </xdr:cNvSpPr>
      </xdr:nvSpPr>
      <xdr:spPr>
        <a:xfrm>
          <a:off x="2667000" y="198024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123</xdr:row>
      <xdr:rowOff>9525</xdr:rowOff>
    </xdr:from>
    <xdr:to>
      <xdr:col>18</xdr:col>
      <xdr:colOff>57150</xdr:colOff>
      <xdr:row>123</xdr:row>
      <xdr:rowOff>114300</xdr:rowOff>
    </xdr:to>
    <xdr:sp>
      <xdr:nvSpPr>
        <xdr:cNvPr id="331" name="AutoShape 334"/>
        <xdr:cNvSpPr>
          <a:spLocks/>
        </xdr:cNvSpPr>
      </xdr:nvSpPr>
      <xdr:spPr>
        <a:xfrm>
          <a:off x="3209925" y="1981200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125</xdr:row>
      <xdr:rowOff>19050</xdr:rowOff>
    </xdr:from>
    <xdr:to>
      <xdr:col>12</xdr:col>
      <xdr:colOff>0</xdr:colOff>
      <xdr:row>126</xdr:row>
      <xdr:rowOff>47625</xdr:rowOff>
    </xdr:to>
    <xdr:sp>
      <xdr:nvSpPr>
        <xdr:cNvPr id="332" name="Line 335"/>
        <xdr:cNvSpPr>
          <a:spLocks/>
        </xdr:cNvSpPr>
      </xdr:nvSpPr>
      <xdr:spPr>
        <a:xfrm>
          <a:off x="2171700" y="20107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126</xdr:row>
      <xdr:rowOff>0</xdr:rowOff>
    </xdr:from>
    <xdr:to>
      <xdr:col>18</xdr:col>
      <xdr:colOff>57150</xdr:colOff>
      <xdr:row>126</xdr:row>
      <xdr:rowOff>0</xdr:rowOff>
    </xdr:to>
    <xdr:sp>
      <xdr:nvSpPr>
        <xdr:cNvPr id="333" name="Line 336"/>
        <xdr:cNvSpPr>
          <a:spLocks/>
        </xdr:cNvSpPr>
      </xdr:nvSpPr>
      <xdr:spPr>
        <a:xfrm>
          <a:off x="504825" y="2023110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125</xdr:row>
      <xdr:rowOff>28575</xdr:rowOff>
    </xdr:from>
    <xdr:to>
      <xdr:col>18</xdr:col>
      <xdr:colOff>0</xdr:colOff>
      <xdr:row>126</xdr:row>
      <xdr:rowOff>47625</xdr:rowOff>
    </xdr:to>
    <xdr:sp>
      <xdr:nvSpPr>
        <xdr:cNvPr id="334" name="Line 337"/>
        <xdr:cNvSpPr>
          <a:spLocks/>
        </xdr:cNvSpPr>
      </xdr:nvSpPr>
      <xdr:spPr>
        <a:xfrm>
          <a:off x="3257550" y="201168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125</xdr:row>
      <xdr:rowOff>114300</xdr:rowOff>
    </xdr:from>
    <xdr:to>
      <xdr:col>12</xdr:col>
      <xdr:colOff>28575</xdr:colOff>
      <xdr:row>126</xdr:row>
      <xdr:rowOff>28575</xdr:rowOff>
    </xdr:to>
    <xdr:sp>
      <xdr:nvSpPr>
        <xdr:cNvPr id="335" name="Line 338"/>
        <xdr:cNvSpPr>
          <a:spLocks/>
        </xdr:cNvSpPr>
      </xdr:nvSpPr>
      <xdr:spPr>
        <a:xfrm flipH="1">
          <a:off x="2143125" y="202025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125</xdr:row>
      <xdr:rowOff>114300</xdr:rowOff>
    </xdr:from>
    <xdr:to>
      <xdr:col>18</xdr:col>
      <xdr:colOff>28575</xdr:colOff>
      <xdr:row>126</xdr:row>
      <xdr:rowOff>28575</xdr:rowOff>
    </xdr:to>
    <xdr:sp>
      <xdr:nvSpPr>
        <xdr:cNvPr id="336" name="Line 339"/>
        <xdr:cNvSpPr>
          <a:spLocks/>
        </xdr:cNvSpPr>
      </xdr:nvSpPr>
      <xdr:spPr>
        <a:xfrm flipH="1">
          <a:off x="3228975" y="202025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125</xdr:row>
      <xdr:rowOff>28575</xdr:rowOff>
    </xdr:from>
    <xdr:to>
      <xdr:col>15</xdr:col>
      <xdr:colOff>0</xdr:colOff>
      <xdr:row>126</xdr:row>
      <xdr:rowOff>38100</xdr:rowOff>
    </xdr:to>
    <xdr:sp>
      <xdr:nvSpPr>
        <xdr:cNvPr id="337" name="Line 340"/>
        <xdr:cNvSpPr>
          <a:spLocks/>
        </xdr:cNvSpPr>
      </xdr:nvSpPr>
      <xdr:spPr>
        <a:xfrm>
          <a:off x="2714625" y="2011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125</xdr:row>
      <xdr:rowOff>123825</xdr:rowOff>
    </xdr:from>
    <xdr:to>
      <xdr:col>15</xdr:col>
      <xdr:colOff>19050</xdr:colOff>
      <xdr:row>126</xdr:row>
      <xdr:rowOff>28575</xdr:rowOff>
    </xdr:to>
    <xdr:sp>
      <xdr:nvSpPr>
        <xdr:cNvPr id="338" name="Line 341"/>
        <xdr:cNvSpPr>
          <a:spLocks/>
        </xdr:cNvSpPr>
      </xdr:nvSpPr>
      <xdr:spPr>
        <a:xfrm flipH="1">
          <a:off x="2686050" y="202120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123</xdr:row>
      <xdr:rowOff>0</xdr:rowOff>
    </xdr:from>
    <xdr:to>
      <xdr:col>9</xdr:col>
      <xdr:colOff>57150</xdr:colOff>
      <xdr:row>123</xdr:row>
      <xdr:rowOff>104775</xdr:rowOff>
    </xdr:to>
    <xdr:sp>
      <xdr:nvSpPr>
        <xdr:cNvPr id="339" name="AutoShape 342"/>
        <xdr:cNvSpPr>
          <a:spLocks/>
        </xdr:cNvSpPr>
      </xdr:nvSpPr>
      <xdr:spPr>
        <a:xfrm>
          <a:off x="1581150" y="198024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125</xdr:row>
      <xdr:rowOff>19050</xdr:rowOff>
    </xdr:from>
    <xdr:to>
      <xdr:col>9</xdr:col>
      <xdr:colOff>0</xdr:colOff>
      <xdr:row>126</xdr:row>
      <xdr:rowOff>47625</xdr:rowOff>
    </xdr:to>
    <xdr:sp>
      <xdr:nvSpPr>
        <xdr:cNvPr id="340" name="Line 343"/>
        <xdr:cNvSpPr>
          <a:spLocks/>
        </xdr:cNvSpPr>
      </xdr:nvSpPr>
      <xdr:spPr>
        <a:xfrm>
          <a:off x="1628775" y="20107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125</xdr:row>
      <xdr:rowOff>114300</xdr:rowOff>
    </xdr:from>
    <xdr:to>
      <xdr:col>9</xdr:col>
      <xdr:colOff>28575</xdr:colOff>
      <xdr:row>126</xdr:row>
      <xdr:rowOff>28575</xdr:rowOff>
    </xdr:to>
    <xdr:sp>
      <xdr:nvSpPr>
        <xdr:cNvPr id="341" name="Line 344"/>
        <xdr:cNvSpPr>
          <a:spLocks/>
        </xdr:cNvSpPr>
      </xdr:nvSpPr>
      <xdr:spPr>
        <a:xfrm flipH="1">
          <a:off x="1600200" y="202025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123</xdr:row>
      <xdr:rowOff>0</xdr:rowOff>
    </xdr:from>
    <xdr:to>
      <xdr:col>6</xdr:col>
      <xdr:colOff>57150</xdr:colOff>
      <xdr:row>123</xdr:row>
      <xdr:rowOff>104775</xdr:rowOff>
    </xdr:to>
    <xdr:sp>
      <xdr:nvSpPr>
        <xdr:cNvPr id="342" name="AutoShape 345"/>
        <xdr:cNvSpPr>
          <a:spLocks/>
        </xdr:cNvSpPr>
      </xdr:nvSpPr>
      <xdr:spPr>
        <a:xfrm>
          <a:off x="1038225" y="198024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125</xdr:row>
      <xdr:rowOff>19050</xdr:rowOff>
    </xdr:from>
    <xdr:to>
      <xdr:col>6</xdr:col>
      <xdr:colOff>0</xdr:colOff>
      <xdr:row>126</xdr:row>
      <xdr:rowOff>47625</xdr:rowOff>
    </xdr:to>
    <xdr:sp>
      <xdr:nvSpPr>
        <xdr:cNvPr id="343" name="Line 346"/>
        <xdr:cNvSpPr>
          <a:spLocks/>
        </xdr:cNvSpPr>
      </xdr:nvSpPr>
      <xdr:spPr>
        <a:xfrm>
          <a:off x="1085850" y="20107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125</xdr:row>
      <xdr:rowOff>114300</xdr:rowOff>
    </xdr:from>
    <xdr:to>
      <xdr:col>6</xdr:col>
      <xdr:colOff>28575</xdr:colOff>
      <xdr:row>126</xdr:row>
      <xdr:rowOff>28575</xdr:rowOff>
    </xdr:to>
    <xdr:sp>
      <xdr:nvSpPr>
        <xdr:cNvPr id="344" name="Line 347"/>
        <xdr:cNvSpPr>
          <a:spLocks/>
        </xdr:cNvSpPr>
      </xdr:nvSpPr>
      <xdr:spPr>
        <a:xfrm flipH="1">
          <a:off x="1057275" y="202025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123</xdr:row>
      <xdr:rowOff>0</xdr:rowOff>
    </xdr:from>
    <xdr:to>
      <xdr:col>3</xdr:col>
      <xdr:colOff>57150</xdr:colOff>
      <xdr:row>123</xdr:row>
      <xdr:rowOff>104775</xdr:rowOff>
    </xdr:to>
    <xdr:sp>
      <xdr:nvSpPr>
        <xdr:cNvPr id="345" name="AutoShape 348"/>
        <xdr:cNvSpPr>
          <a:spLocks/>
        </xdr:cNvSpPr>
      </xdr:nvSpPr>
      <xdr:spPr>
        <a:xfrm>
          <a:off x="495300" y="198024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19050</xdr:rowOff>
    </xdr:from>
    <xdr:to>
      <xdr:col>3</xdr:col>
      <xdr:colOff>0</xdr:colOff>
      <xdr:row>126</xdr:row>
      <xdr:rowOff>47625</xdr:rowOff>
    </xdr:to>
    <xdr:sp>
      <xdr:nvSpPr>
        <xdr:cNvPr id="346" name="Line 349"/>
        <xdr:cNvSpPr>
          <a:spLocks/>
        </xdr:cNvSpPr>
      </xdr:nvSpPr>
      <xdr:spPr>
        <a:xfrm>
          <a:off x="542925" y="20107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125</xdr:row>
      <xdr:rowOff>114300</xdr:rowOff>
    </xdr:from>
    <xdr:to>
      <xdr:col>3</xdr:col>
      <xdr:colOff>28575</xdr:colOff>
      <xdr:row>126</xdr:row>
      <xdr:rowOff>28575</xdr:rowOff>
    </xdr:to>
    <xdr:sp>
      <xdr:nvSpPr>
        <xdr:cNvPr id="347" name="Line 350"/>
        <xdr:cNvSpPr>
          <a:spLocks/>
        </xdr:cNvSpPr>
      </xdr:nvSpPr>
      <xdr:spPr>
        <a:xfrm flipH="1">
          <a:off x="514350" y="202025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133</xdr:row>
      <xdr:rowOff>0</xdr:rowOff>
    </xdr:from>
    <xdr:to>
      <xdr:col>12</xdr:col>
      <xdr:colOff>57150</xdr:colOff>
      <xdr:row>133</xdr:row>
      <xdr:rowOff>104775</xdr:rowOff>
    </xdr:to>
    <xdr:sp>
      <xdr:nvSpPr>
        <xdr:cNvPr id="348" name="AutoShape 351"/>
        <xdr:cNvSpPr>
          <a:spLocks/>
        </xdr:cNvSpPr>
      </xdr:nvSpPr>
      <xdr:spPr>
        <a:xfrm>
          <a:off x="2124075" y="212407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133</xdr:row>
      <xdr:rowOff>0</xdr:rowOff>
    </xdr:from>
    <xdr:to>
      <xdr:col>15</xdr:col>
      <xdr:colOff>57150</xdr:colOff>
      <xdr:row>133</xdr:row>
      <xdr:rowOff>104775</xdr:rowOff>
    </xdr:to>
    <xdr:sp>
      <xdr:nvSpPr>
        <xdr:cNvPr id="349" name="AutoShape 352"/>
        <xdr:cNvSpPr>
          <a:spLocks/>
        </xdr:cNvSpPr>
      </xdr:nvSpPr>
      <xdr:spPr>
        <a:xfrm>
          <a:off x="2667000" y="212407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133</xdr:row>
      <xdr:rowOff>9525</xdr:rowOff>
    </xdr:from>
    <xdr:to>
      <xdr:col>18</xdr:col>
      <xdr:colOff>57150</xdr:colOff>
      <xdr:row>133</xdr:row>
      <xdr:rowOff>114300</xdr:rowOff>
    </xdr:to>
    <xdr:sp>
      <xdr:nvSpPr>
        <xdr:cNvPr id="350" name="AutoShape 353"/>
        <xdr:cNvSpPr>
          <a:spLocks/>
        </xdr:cNvSpPr>
      </xdr:nvSpPr>
      <xdr:spPr>
        <a:xfrm>
          <a:off x="3209925" y="212502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135</xdr:row>
      <xdr:rowOff>19050</xdr:rowOff>
    </xdr:from>
    <xdr:to>
      <xdr:col>12</xdr:col>
      <xdr:colOff>0</xdr:colOff>
      <xdr:row>136</xdr:row>
      <xdr:rowOff>47625</xdr:rowOff>
    </xdr:to>
    <xdr:sp>
      <xdr:nvSpPr>
        <xdr:cNvPr id="351" name="Line 354"/>
        <xdr:cNvSpPr>
          <a:spLocks/>
        </xdr:cNvSpPr>
      </xdr:nvSpPr>
      <xdr:spPr>
        <a:xfrm>
          <a:off x="2171700" y="21545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136</xdr:row>
      <xdr:rowOff>0</xdr:rowOff>
    </xdr:from>
    <xdr:to>
      <xdr:col>18</xdr:col>
      <xdr:colOff>57150</xdr:colOff>
      <xdr:row>136</xdr:row>
      <xdr:rowOff>0</xdr:rowOff>
    </xdr:to>
    <xdr:sp>
      <xdr:nvSpPr>
        <xdr:cNvPr id="352" name="Line 355"/>
        <xdr:cNvSpPr>
          <a:spLocks/>
        </xdr:cNvSpPr>
      </xdr:nvSpPr>
      <xdr:spPr>
        <a:xfrm>
          <a:off x="504825" y="2166937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135</xdr:row>
      <xdr:rowOff>28575</xdr:rowOff>
    </xdr:from>
    <xdr:to>
      <xdr:col>18</xdr:col>
      <xdr:colOff>0</xdr:colOff>
      <xdr:row>136</xdr:row>
      <xdr:rowOff>47625</xdr:rowOff>
    </xdr:to>
    <xdr:sp>
      <xdr:nvSpPr>
        <xdr:cNvPr id="353" name="Line 356"/>
        <xdr:cNvSpPr>
          <a:spLocks/>
        </xdr:cNvSpPr>
      </xdr:nvSpPr>
      <xdr:spPr>
        <a:xfrm>
          <a:off x="3257550" y="21555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135</xdr:row>
      <xdr:rowOff>114300</xdr:rowOff>
    </xdr:from>
    <xdr:to>
      <xdr:col>12</xdr:col>
      <xdr:colOff>28575</xdr:colOff>
      <xdr:row>136</xdr:row>
      <xdr:rowOff>28575</xdr:rowOff>
    </xdr:to>
    <xdr:sp>
      <xdr:nvSpPr>
        <xdr:cNvPr id="354" name="Line 357"/>
        <xdr:cNvSpPr>
          <a:spLocks/>
        </xdr:cNvSpPr>
      </xdr:nvSpPr>
      <xdr:spPr>
        <a:xfrm flipH="1">
          <a:off x="2143125" y="2164080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135</xdr:row>
      <xdr:rowOff>114300</xdr:rowOff>
    </xdr:from>
    <xdr:to>
      <xdr:col>18</xdr:col>
      <xdr:colOff>28575</xdr:colOff>
      <xdr:row>136</xdr:row>
      <xdr:rowOff>28575</xdr:rowOff>
    </xdr:to>
    <xdr:sp>
      <xdr:nvSpPr>
        <xdr:cNvPr id="355" name="Line 358"/>
        <xdr:cNvSpPr>
          <a:spLocks/>
        </xdr:cNvSpPr>
      </xdr:nvSpPr>
      <xdr:spPr>
        <a:xfrm flipH="1">
          <a:off x="3228975" y="2164080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135</xdr:row>
      <xdr:rowOff>28575</xdr:rowOff>
    </xdr:from>
    <xdr:to>
      <xdr:col>15</xdr:col>
      <xdr:colOff>0</xdr:colOff>
      <xdr:row>136</xdr:row>
      <xdr:rowOff>38100</xdr:rowOff>
    </xdr:to>
    <xdr:sp>
      <xdr:nvSpPr>
        <xdr:cNvPr id="356" name="Line 359"/>
        <xdr:cNvSpPr>
          <a:spLocks/>
        </xdr:cNvSpPr>
      </xdr:nvSpPr>
      <xdr:spPr>
        <a:xfrm>
          <a:off x="2714625" y="215550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135</xdr:row>
      <xdr:rowOff>123825</xdr:rowOff>
    </xdr:from>
    <xdr:to>
      <xdr:col>15</xdr:col>
      <xdr:colOff>19050</xdr:colOff>
      <xdr:row>136</xdr:row>
      <xdr:rowOff>28575</xdr:rowOff>
    </xdr:to>
    <xdr:sp>
      <xdr:nvSpPr>
        <xdr:cNvPr id="357" name="Line 360"/>
        <xdr:cNvSpPr>
          <a:spLocks/>
        </xdr:cNvSpPr>
      </xdr:nvSpPr>
      <xdr:spPr>
        <a:xfrm flipH="1">
          <a:off x="2686050" y="2165032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133</xdr:row>
      <xdr:rowOff>0</xdr:rowOff>
    </xdr:from>
    <xdr:to>
      <xdr:col>9</xdr:col>
      <xdr:colOff>57150</xdr:colOff>
      <xdr:row>133</xdr:row>
      <xdr:rowOff>104775</xdr:rowOff>
    </xdr:to>
    <xdr:sp>
      <xdr:nvSpPr>
        <xdr:cNvPr id="358" name="AutoShape 361"/>
        <xdr:cNvSpPr>
          <a:spLocks/>
        </xdr:cNvSpPr>
      </xdr:nvSpPr>
      <xdr:spPr>
        <a:xfrm>
          <a:off x="1581150" y="212407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135</xdr:row>
      <xdr:rowOff>19050</xdr:rowOff>
    </xdr:from>
    <xdr:to>
      <xdr:col>9</xdr:col>
      <xdr:colOff>0</xdr:colOff>
      <xdr:row>136</xdr:row>
      <xdr:rowOff>47625</xdr:rowOff>
    </xdr:to>
    <xdr:sp>
      <xdr:nvSpPr>
        <xdr:cNvPr id="359" name="Line 362"/>
        <xdr:cNvSpPr>
          <a:spLocks/>
        </xdr:cNvSpPr>
      </xdr:nvSpPr>
      <xdr:spPr>
        <a:xfrm>
          <a:off x="1628775" y="21545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135</xdr:row>
      <xdr:rowOff>114300</xdr:rowOff>
    </xdr:from>
    <xdr:to>
      <xdr:col>9</xdr:col>
      <xdr:colOff>28575</xdr:colOff>
      <xdr:row>136</xdr:row>
      <xdr:rowOff>28575</xdr:rowOff>
    </xdr:to>
    <xdr:sp>
      <xdr:nvSpPr>
        <xdr:cNvPr id="360" name="Line 363"/>
        <xdr:cNvSpPr>
          <a:spLocks/>
        </xdr:cNvSpPr>
      </xdr:nvSpPr>
      <xdr:spPr>
        <a:xfrm flipH="1">
          <a:off x="1600200" y="2164080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133</xdr:row>
      <xdr:rowOff>0</xdr:rowOff>
    </xdr:from>
    <xdr:to>
      <xdr:col>6</xdr:col>
      <xdr:colOff>57150</xdr:colOff>
      <xdr:row>133</xdr:row>
      <xdr:rowOff>104775</xdr:rowOff>
    </xdr:to>
    <xdr:sp>
      <xdr:nvSpPr>
        <xdr:cNvPr id="361" name="AutoShape 364"/>
        <xdr:cNvSpPr>
          <a:spLocks/>
        </xdr:cNvSpPr>
      </xdr:nvSpPr>
      <xdr:spPr>
        <a:xfrm>
          <a:off x="1038225" y="212407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19050</xdr:rowOff>
    </xdr:from>
    <xdr:to>
      <xdr:col>6</xdr:col>
      <xdr:colOff>0</xdr:colOff>
      <xdr:row>136</xdr:row>
      <xdr:rowOff>47625</xdr:rowOff>
    </xdr:to>
    <xdr:sp>
      <xdr:nvSpPr>
        <xdr:cNvPr id="362" name="Line 365"/>
        <xdr:cNvSpPr>
          <a:spLocks/>
        </xdr:cNvSpPr>
      </xdr:nvSpPr>
      <xdr:spPr>
        <a:xfrm>
          <a:off x="1085850" y="21545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135</xdr:row>
      <xdr:rowOff>114300</xdr:rowOff>
    </xdr:from>
    <xdr:to>
      <xdr:col>6</xdr:col>
      <xdr:colOff>28575</xdr:colOff>
      <xdr:row>136</xdr:row>
      <xdr:rowOff>28575</xdr:rowOff>
    </xdr:to>
    <xdr:sp>
      <xdr:nvSpPr>
        <xdr:cNvPr id="363" name="Line 366"/>
        <xdr:cNvSpPr>
          <a:spLocks/>
        </xdr:cNvSpPr>
      </xdr:nvSpPr>
      <xdr:spPr>
        <a:xfrm flipH="1">
          <a:off x="1057275" y="2164080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133</xdr:row>
      <xdr:rowOff>0</xdr:rowOff>
    </xdr:from>
    <xdr:to>
      <xdr:col>3</xdr:col>
      <xdr:colOff>57150</xdr:colOff>
      <xdr:row>133</xdr:row>
      <xdr:rowOff>104775</xdr:rowOff>
    </xdr:to>
    <xdr:sp>
      <xdr:nvSpPr>
        <xdr:cNvPr id="364" name="AutoShape 367"/>
        <xdr:cNvSpPr>
          <a:spLocks/>
        </xdr:cNvSpPr>
      </xdr:nvSpPr>
      <xdr:spPr>
        <a:xfrm>
          <a:off x="495300" y="212407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19050</xdr:rowOff>
    </xdr:from>
    <xdr:to>
      <xdr:col>3</xdr:col>
      <xdr:colOff>0</xdr:colOff>
      <xdr:row>136</xdr:row>
      <xdr:rowOff>47625</xdr:rowOff>
    </xdr:to>
    <xdr:sp>
      <xdr:nvSpPr>
        <xdr:cNvPr id="365" name="Line 368"/>
        <xdr:cNvSpPr>
          <a:spLocks/>
        </xdr:cNvSpPr>
      </xdr:nvSpPr>
      <xdr:spPr>
        <a:xfrm>
          <a:off x="542925" y="21545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135</xdr:row>
      <xdr:rowOff>114300</xdr:rowOff>
    </xdr:from>
    <xdr:to>
      <xdr:col>3</xdr:col>
      <xdr:colOff>28575</xdr:colOff>
      <xdr:row>136</xdr:row>
      <xdr:rowOff>28575</xdr:rowOff>
    </xdr:to>
    <xdr:sp>
      <xdr:nvSpPr>
        <xdr:cNvPr id="366" name="Line 369"/>
        <xdr:cNvSpPr>
          <a:spLocks/>
        </xdr:cNvSpPr>
      </xdr:nvSpPr>
      <xdr:spPr>
        <a:xfrm flipH="1">
          <a:off x="514350" y="2164080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141</xdr:row>
      <xdr:rowOff>0</xdr:rowOff>
    </xdr:from>
    <xdr:to>
      <xdr:col>12</xdr:col>
      <xdr:colOff>57150</xdr:colOff>
      <xdr:row>141</xdr:row>
      <xdr:rowOff>104775</xdr:rowOff>
    </xdr:to>
    <xdr:sp>
      <xdr:nvSpPr>
        <xdr:cNvPr id="367" name="AutoShape 370"/>
        <xdr:cNvSpPr>
          <a:spLocks/>
        </xdr:cNvSpPr>
      </xdr:nvSpPr>
      <xdr:spPr>
        <a:xfrm>
          <a:off x="2124075" y="223932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141</xdr:row>
      <xdr:rowOff>0</xdr:rowOff>
    </xdr:from>
    <xdr:to>
      <xdr:col>15</xdr:col>
      <xdr:colOff>57150</xdr:colOff>
      <xdr:row>141</xdr:row>
      <xdr:rowOff>104775</xdr:rowOff>
    </xdr:to>
    <xdr:sp>
      <xdr:nvSpPr>
        <xdr:cNvPr id="368" name="AutoShape 371"/>
        <xdr:cNvSpPr>
          <a:spLocks/>
        </xdr:cNvSpPr>
      </xdr:nvSpPr>
      <xdr:spPr>
        <a:xfrm>
          <a:off x="2667000" y="223932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141</xdr:row>
      <xdr:rowOff>9525</xdr:rowOff>
    </xdr:from>
    <xdr:to>
      <xdr:col>18</xdr:col>
      <xdr:colOff>57150</xdr:colOff>
      <xdr:row>141</xdr:row>
      <xdr:rowOff>114300</xdr:rowOff>
    </xdr:to>
    <xdr:sp>
      <xdr:nvSpPr>
        <xdr:cNvPr id="369" name="AutoShape 372"/>
        <xdr:cNvSpPr>
          <a:spLocks/>
        </xdr:cNvSpPr>
      </xdr:nvSpPr>
      <xdr:spPr>
        <a:xfrm>
          <a:off x="3209925" y="2240280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143</xdr:row>
      <xdr:rowOff>19050</xdr:rowOff>
    </xdr:from>
    <xdr:to>
      <xdr:col>12</xdr:col>
      <xdr:colOff>0</xdr:colOff>
      <xdr:row>144</xdr:row>
      <xdr:rowOff>47625</xdr:rowOff>
    </xdr:to>
    <xdr:sp>
      <xdr:nvSpPr>
        <xdr:cNvPr id="370" name="Line 373"/>
        <xdr:cNvSpPr>
          <a:spLocks/>
        </xdr:cNvSpPr>
      </xdr:nvSpPr>
      <xdr:spPr>
        <a:xfrm>
          <a:off x="2171700" y="22698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144</xdr:row>
      <xdr:rowOff>0</xdr:rowOff>
    </xdr:from>
    <xdr:to>
      <xdr:col>18</xdr:col>
      <xdr:colOff>57150</xdr:colOff>
      <xdr:row>144</xdr:row>
      <xdr:rowOff>0</xdr:rowOff>
    </xdr:to>
    <xdr:sp>
      <xdr:nvSpPr>
        <xdr:cNvPr id="371" name="Line 374"/>
        <xdr:cNvSpPr>
          <a:spLocks/>
        </xdr:cNvSpPr>
      </xdr:nvSpPr>
      <xdr:spPr>
        <a:xfrm>
          <a:off x="504825" y="2282190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143</xdr:row>
      <xdr:rowOff>28575</xdr:rowOff>
    </xdr:from>
    <xdr:to>
      <xdr:col>18</xdr:col>
      <xdr:colOff>0</xdr:colOff>
      <xdr:row>144</xdr:row>
      <xdr:rowOff>47625</xdr:rowOff>
    </xdr:to>
    <xdr:sp>
      <xdr:nvSpPr>
        <xdr:cNvPr id="372" name="Line 375"/>
        <xdr:cNvSpPr>
          <a:spLocks/>
        </xdr:cNvSpPr>
      </xdr:nvSpPr>
      <xdr:spPr>
        <a:xfrm>
          <a:off x="3257550" y="227076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143</xdr:row>
      <xdr:rowOff>114300</xdr:rowOff>
    </xdr:from>
    <xdr:to>
      <xdr:col>12</xdr:col>
      <xdr:colOff>28575</xdr:colOff>
      <xdr:row>144</xdr:row>
      <xdr:rowOff>28575</xdr:rowOff>
    </xdr:to>
    <xdr:sp>
      <xdr:nvSpPr>
        <xdr:cNvPr id="373" name="Line 376"/>
        <xdr:cNvSpPr>
          <a:spLocks/>
        </xdr:cNvSpPr>
      </xdr:nvSpPr>
      <xdr:spPr>
        <a:xfrm flipH="1">
          <a:off x="2143125" y="227933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143</xdr:row>
      <xdr:rowOff>114300</xdr:rowOff>
    </xdr:from>
    <xdr:to>
      <xdr:col>18</xdr:col>
      <xdr:colOff>28575</xdr:colOff>
      <xdr:row>144</xdr:row>
      <xdr:rowOff>28575</xdr:rowOff>
    </xdr:to>
    <xdr:sp>
      <xdr:nvSpPr>
        <xdr:cNvPr id="374" name="Line 377"/>
        <xdr:cNvSpPr>
          <a:spLocks/>
        </xdr:cNvSpPr>
      </xdr:nvSpPr>
      <xdr:spPr>
        <a:xfrm flipH="1">
          <a:off x="3228975" y="227933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143</xdr:row>
      <xdr:rowOff>28575</xdr:rowOff>
    </xdr:from>
    <xdr:to>
      <xdr:col>15</xdr:col>
      <xdr:colOff>0</xdr:colOff>
      <xdr:row>144</xdr:row>
      <xdr:rowOff>38100</xdr:rowOff>
    </xdr:to>
    <xdr:sp>
      <xdr:nvSpPr>
        <xdr:cNvPr id="375" name="Line 378"/>
        <xdr:cNvSpPr>
          <a:spLocks/>
        </xdr:cNvSpPr>
      </xdr:nvSpPr>
      <xdr:spPr>
        <a:xfrm>
          <a:off x="2714625" y="22707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143</xdr:row>
      <xdr:rowOff>123825</xdr:rowOff>
    </xdr:from>
    <xdr:to>
      <xdr:col>15</xdr:col>
      <xdr:colOff>19050</xdr:colOff>
      <xdr:row>144</xdr:row>
      <xdr:rowOff>28575</xdr:rowOff>
    </xdr:to>
    <xdr:sp>
      <xdr:nvSpPr>
        <xdr:cNvPr id="376" name="Line 379"/>
        <xdr:cNvSpPr>
          <a:spLocks/>
        </xdr:cNvSpPr>
      </xdr:nvSpPr>
      <xdr:spPr>
        <a:xfrm flipH="1">
          <a:off x="2686050" y="228028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141</xdr:row>
      <xdr:rowOff>0</xdr:rowOff>
    </xdr:from>
    <xdr:to>
      <xdr:col>9</xdr:col>
      <xdr:colOff>57150</xdr:colOff>
      <xdr:row>141</xdr:row>
      <xdr:rowOff>104775</xdr:rowOff>
    </xdr:to>
    <xdr:sp>
      <xdr:nvSpPr>
        <xdr:cNvPr id="377" name="AutoShape 380"/>
        <xdr:cNvSpPr>
          <a:spLocks/>
        </xdr:cNvSpPr>
      </xdr:nvSpPr>
      <xdr:spPr>
        <a:xfrm>
          <a:off x="1581150" y="223932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143</xdr:row>
      <xdr:rowOff>19050</xdr:rowOff>
    </xdr:from>
    <xdr:to>
      <xdr:col>9</xdr:col>
      <xdr:colOff>0</xdr:colOff>
      <xdr:row>144</xdr:row>
      <xdr:rowOff>47625</xdr:rowOff>
    </xdr:to>
    <xdr:sp>
      <xdr:nvSpPr>
        <xdr:cNvPr id="378" name="Line 381"/>
        <xdr:cNvSpPr>
          <a:spLocks/>
        </xdr:cNvSpPr>
      </xdr:nvSpPr>
      <xdr:spPr>
        <a:xfrm>
          <a:off x="1628775" y="22698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143</xdr:row>
      <xdr:rowOff>114300</xdr:rowOff>
    </xdr:from>
    <xdr:to>
      <xdr:col>9</xdr:col>
      <xdr:colOff>28575</xdr:colOff>
      <xdr:row>144</xdr:row>
      <xdr:rowOff>28575</xdr:rowOff>
    </xdr:to>
    <xdr:sp>
      <xdr:nvSpPr>
        <xdr:cNvPr id="379" name="Line 382"/>
        <xdr:cNvSpPr>
          <a:spLocks/>
        </xdr:cNvSpPr>
      </xdr:nvSpPr>
      <xdr:spPr>
        <a:xfrm flipH="1">
          <a:off x="1600200" y="227933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141</xdr:row>
      <xdr:rowOff>0</xdr:rowOff>
    </xdr:from>
    <xdr:to>
      <xdr:col>6</xdr:col>
      <xdr:colOff>57150</xdr:colOff>
      <xdr:row>141</xdr:row>
      <xdr:rowOff>104775</xdr:rowOff>
    </xdr:to>
    <xdr:sp>
      <xdr:nvSpPr>
        <xdr:cNvPr id="380" name="AutoShape 383"/>
        <xdr:cNvSpPr>
          <a:spLocks/>
        </xdr:cNvSpPr>
      </xdr:nvSpPr>
      <xdr:spPr>
        <a:xfrm>
          <a:off x="1038225" y="223932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19050</xdr:rowOff>
    </xdr:from>
    <xdr:to>
      <xdr:col>6</xdr:col>
      <xdr:colOff>0</xdr:colOff>
      <xdr:row>144</xdr:row>
      <xdr:rowOff>47625</xdr:rowOff>
    </xdr:to>
    <xdr:sp>
      <xdr:nvSpPr>
        <xdr:cNvPr id="381" name="Line 384"/>
        <xdr:cNvSpPr>
          <a:spLocks/>
        </xdr:cNvSpPr>
      </xdr:nvSpPr>
      <xdr:spPr>
        <a:xfrm>
          <a:off x="1085850" y="22698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143</xdr:row>
      <xdr:rowOff>114300</xdr:rowOff>
    </xdr:from>
    <xdr:to>
      <xdr:col>6</xdr:col>
      <xdr:colOff>28575</xdr:colOff>
      <xdr:row>144</xdr:row>
      <xdr:rowOff>28575</xdr:rowOff>
    </xdr:to>
    <xdr:sp>
      <xdr:nvSpPr>
        <xdr:cNvPr id="382" name="Line 385"/>
        <xdr:cNvSpPr>
          <a:spLocks/>
        </xdr:cNvSpPr>
      </xdr:nvSpPr>
      <xdr:spPr>
        <a:xfrm flipH="1">
          <a:off x="1057275" y="227933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141</xdr:row>
      <xdr:rowOff>0</xdr:rowOff>
    </xdr:from>
    <xdr:to>
      <xdr:col>3</xdr:col>
      <xdr:colOff>57150</xdr:colOff>
      <xdr:row>141</xdr:row>
      <xdr:rowOff>104775</xdr:rowOff>
    </xdr:to>
    <xdr:sp>
      <xdr:nvSpPr>
        <xdr:cNvPr id="383" name="AutoShape 386"/>
        <xdr:cNvSpPr>
          <a:spLocks/>
        </xdr:cNvSpPr>
      </xdr:nvSpPr>
      <xdr:spPr>
        <a:xfrm>
          <a:off x="495300" y="223932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143</xdr:row>
      <xdr:rowOff>19050</xdr:rowOff>
    </xdr:from>
    <xdr:to>
      <xdr:col>3</xdr:col>
      <xdr:colOff>0</xdr:colOff>
      <xdr:row>144</xdr:row>
      <xdr:rowOff>47625</xdr:rowOff>
    </xdr:to>
    <xdr:sp>
      <xdr:nvSpPr>
        <xdr:cNvPr id="384" name="Line 387"/>
        <xdr:cNvSpPr>
          <a:spLocks/>
        </xdr:cNvSpPr>
      </xdr:nvSpPr>
      <xdr:spPr>
        <a:xfrm>
          <a:off x="542925" y="22698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143</xdr:row>
      <xdr:rowOff>114300</xdr:rowOff>
    </xdr:from>
    <xdr:to>
      <xdr:col>3</xdr:col>
      <xdr:colOff>28575</xdr:colOff>
      <xdr:row>144</xdr:row>
      <xdr:rowOff>28575</xdr:rowOff>
    </xdr:to>
    <xdr:sp>
      <xdr:nvSpPr>
        <xdr:cNvPr id="385" name="Line 388"/>
        <xdr:cNvSpPr>
          <a:spLocks/>
        </xdr:cNvSpPr>
      </xdr:nvSpPr>
      <xdr:spPr>
        <a:xfrm flipH="1">
          <a:off x="514350" y="227933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149</xdr:row>
      <xdr:rowOff>0</xdr:rowOff>
    </xdr:from>
    <xdr:to>
      <xdr:col>12</xdr:col>
      <xdr:colOff>57150</xdr:colOff>
      <xdr:row>149</xdr:row>
      <xdr:rowOff>104775</xdr:rowOff>
    </xdr:to>
    <xdr:sp>
      <xdr:nvSpPr>
        <xdr:cNvPr id="386" name="AutoShape 389"/>
        <xdr:cNvSpPr>
          <a:spLocks/>
        </xdr:cNvSpPr>
      </xdr:nvSpPr>
      <xdr:spPr>
        <a:xfrm>
          <a:off x="2124075" y="2354580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149</xdr:row>
      <xdr:rowOff>0</xdr:rowOff>
    </xdr:from>
    <xdr:to>
      <xdr:col>15</xdr:col>
      <xdr:colOff>57150</xdr:colOff>
      <xdr:row>149</xdr:row>
      <xdr:rowOff>104775</xdr:rowOff>
    </xdr:to>
    <xdr:sp>
      <xdr:nvSpPr>
        <xdr:cNvPr id="387" name="AutoShape 390"/>
        <xdr:cNvSpPr>
          <a:spLocks/>
        </xdr:cNvSpPr>
      </xdr:nvSpPr>
      <xdr:spPr>
        <a:xfrm>
          <a:off x="2667000" y="2354580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149</xdr:row>
      <xdr:rowOff>9525</xdr:rowOff>
    </xdr:from>
    <xdr:to>
      <xdr:col>18</xdr:col>
      <xdr:colOff>57150</xdr:colOff>
      <xdr:row>149</xdr:row>
      <xdr:rowOff>114300</xdr:rowOff>
    </xdr:to>
    <xdr:sp>
      <xdr:nvSpPr>
        <xdr:cNvPr id="388" name="AutoShape 391"/>
        <xdr:cNvSpPr>
          <a:spLocks/>
        </xdr:cNvSpPr>
      </xdr:nvSpPr>
      <xdr:spPr>
        <a:xfrm>
          <a:off x="3209925" y="2355532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151</xdr:row>
      <xdr:rowOff>19050</xdr:rowOff>
    </xdr:from>
    <xdr:to>
      <xdr:col>12</xdr:col>
      <xdr:colOff>0</xdr:colOff>
      <xdr:row>152</xdr:row>
      <xdr:rowOff>47625</xdr:rowOff>
    </xdr:to>
    <xdr:sp>
      <xdr:nvSpPr>
        <xdr:cNvPr id="389" name="Line 392"/>
        <xdr:cNvSpPr>
          <a:spLocks/>
        </xdr:cNvSpPr>
      </xdr:nvSpPr>
      <xdr:spPr>
        <a:xfrm>
          <a:off x="2171700" y="238506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152</xdr:row>
      <xdr:rowOff>0</xdr:rowOff>
    </xdr:from>
    <xdr:to>
      <xdr:col>18</xdr:col>
      <xdr:colOff>57150</xdr:colOff>
      <xdr:row>152</xdr:row>
      <xdr:rowOff>0</xdr:rowOff>
    </xdr:to>
    <xdr:sp>
      <xdr:nvSpPr>
        <xdr:cNvPr id="390" name="Line 393"/>
        <xdr:cNvSpPr>
          <a:spLocks/>
        </xdr:cNvSpPr>
      </xdr:nvSpPr>
      <xdr:spPr>
        <a:xfrm>
          <a:off x="504825" y="2397442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151</xdr:row>
      <xdr:rowOff>28575</xdr:rowOff>
    </xdr:from>
    <xdr:to>
      <xdr:col>18</xdr:col>
      <xdr:colOff>0</xdr:colOff>
      <xdr:row>152</xdr:row>
      <xdr:rowOff>47625</xdr:rowOff>
    </xdr:to>
    <xdr:sp>
      <xdr:nvSpPr>
        <xdr:cNvPr id="391" name="Line 394"/>
        <xdr:cNvSpPr>
          <a:spLocks/>
        </xdr:cNvSpPr>
      </xdr:nvSpPr>
      <xdr:spPr>
        <a:xfrm>
          <a:off x="3257550" y="238601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151</xdr:row>
      <xdr:rowOff>114300</xdr:rowOff>
    </xdr:from>
    <xdr:to>
      <xdr:col>12</xdr:col>
      <xdr:colOff>28575</xdr:colOff>
      <xdr:row>152</xdr:row>
      <xdr:rowOff>28575</xdr:rowOff>
    </xdr:to>
    <xdr:sp>
      <xdr:nvSpPr>
        <xdr:cNvPr id="392" name="Line 395"/>
        <xdr:cNvSpPr>
          <a:spLocks/>
        </xdr:cNvSpPr>
      </xdr:nvSpPr>
      <xdr:spPr>
        <a:xfrm flipH="1">
          <a:off x="2143125" y="2394585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151</xdr:row>
      <xdr:rowOff>114300</xdr:rowOff>
    </xdr:from>
    <xdr:to>
      <xdr:col>18</xdr:col>
      <xdr:colOff>28575</xdr:colOff>
      <xdr:row>152</xdr:row>
      <xdr:rowOff>28575</xdr:rowOff>
    </xdr:to>
    <xdr:sp>
      <xdr:nvSpPr>
        <xdr:cNvPr id="393" name="Line 396"/>
        <xdr:cNvSpPr>
          <a:spLocks/>
        </xdr:cNvSpPr>
      </xdr:nvSpPr>
      <xdr:spPr>
        <a:xfrm flipH="1">
          <a:off x="3228975" y="2394585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151</xdr:row>
      <xdr:rowOff>28575</xdr:rowOff>
    </xdr:from>
    <xdr:to>
      <xdr:col>15</xdr:col>
      <xdr:colOff>0</xdr:colOff>
      <xdr:row>152</xdr:row>
      <xdr:rowOff>38100</xdr:rowOff>
    </xdr:to>
    <xdr:sp>
      <xdr:nvSpPr>
        <xdr:cNvPr id="394" name="Line 397"/>
        <xdr:cNvSpPr>
          <a:spLocks/>
        </xdr:cNvSpPr>
      </xdr:nvSpPr>
      <xdr:spPr>
        <a:xfrm>
          <a:off x="2714625" y="23860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151</xdr:row>
      <xdr:rowOff>123825</xdr:rowOff>
    </xdr:from>
    <xdr:to>
      <xdr:col>15</xdr:col>
      <xdr:colOff>19050</xdr:colOff>
      <xdr:row>152</xdr:row>
      <xdr:rowOff>28575</xdr:rowOff>
    </xdr:to>
    <xdr:sp>
      <xdr:nvSpPr>
        <xdr:cNvPr id="395" name="Line 398"/>
        <xdr:cNvSpPr>
          <a:spLocks/>
        </xdr:cNvSpPr>
      </xdr:nvSpPr>
      <xdr:spPr>
        <a:xfrm flipH="1">
          <a:off x="2686050" y="2395537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149</xdr:row>
      <xdr:rowOff>0</xdr:rowOff>
    </xdr:from>
    <xdr:to>
      <xdr:col>9</xdr:col>
      <xdr:colOff>57150</xdr:colOff>
      <xdr:row>149</xdr:row>
      <xdr:rowOff>104775</xdr:rowOff>
    </xdr:to>
    <xdr:sp>
      <xdr:nvSpPr>
        <xdr:cNvPr id="396" name="AutoShape 399"/>
        <xdr:cNvSpPr>
          <a:spLocks/>
        </xdr:cNvSpPr>
      </xdr:nvSpPr>
      <xdr:spPr>
        <a:xfrm>
          <a:off x="1581150" y="2354580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151</xdr:row>
      <xdr:rowOff>19050</xdr:rowOff>
    </xdr:from>
    <xdr:to>
      <xdr:col>9</xdr:col>
      <xdr:colOff>0</xdr:colOff>
      <xdr:row>152</xdr:row>
      <xdr:rowOff>47625</xdr:rowOff>
    </xdr:to>
    <xdr:sp>
      <xdr:nvSpPr>
        <xdr:cNvPr id="397" name="Line 400"/>
        <xdr:cNvSpPr>
          <a:spLocks/>
        </xdr:cNvSpPr>
      </xdr:nvSpPr>
      <xdr:spPr>
        <a:xfrm>
          <a:off x="1628775" y="238506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151</xdr:row>
      <xdr:rowOff>114300</xdr:rowOff>
    </xdr:from>
    <xdr:to>
      <xdr:col>9</xdr:col>
      <xdr:colOff>28575</xdr:colOff>
      <xdr:row>152</xdr:row>
      <xdr:rowOff>28575</xdr:rowOff>
    </xdr:to>
    <xdr:sp>
      <xdr:nvSpPr>
        <xdr:cNvPr id="398" name="Line 401"/>
        <xdr:cNvSpPr>
          <a:spLocks/>
        </xdr:cNvSpPr>
      </xdr:nvSpPr>
      <xdr:spPr>
        <a:xfrm flipH="1">
          <a:off x="1600200" y="2394585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149</xdr:row>
      <xdr:rowOff>0</xdr:rowOff>
    </xdr:from>
    <xdr:to>
      <xdr:col>6</xdr:col>
      <xdr:colOff>57150</xdr:colOff>
      <xdr:row>149</xdr:row>
      <xdr:rowOff>104775</xdr:rowOff>
    </xdr:to>
    <xdr:sp>
      <xdr:nvSpPr>
        <xdr:cNvPr id="399" name="AutoShape 402"/>
        <xdr:cNvSpPr>
          <a:spLocks/>
        </xdr:cNvSpPr>
      </xdr:nvSpPr>
      <xdr:spPr>
        <a:xfrm>
          <a:off x="1038225" y="2354580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19050</xdr:rowOff>
    </xdr:from>
    <xdr:to>
      <xdr:col>6</xdr:col>
      <xdr:colOff>0</xdr:colOff>
      <xdr:row>152</xdr:row>
      <xdr:rowOff>47625</xdr:rowOff>
    </xdr:to>
    <xdr:sp>
      <xdr:nvSpPr>
        <xdr:cNvPr id="400" name="Line 403"/>
        <xdr:cNvSpPr>
          <a:spLocks/>
        </xdr:cNvSpPr>
      </xdr:nvSpPr>
      <xdr:spPr>
        <a:xfrm>
          <a:off x="1085850" y="238506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151</xdr:row>
      <xdr:rowOff>114300</xdr:rowOff>
    </xdr:from>
    <xdr:to>
      <xdr:col>6</xdr:col>
      <xdr:colOff>28575</xdr:colOff>
      <xdr:row>152</xdr:row>
      <xdr:rowOff>28575</xdr:rowOff>
    </xdr:to>
    <xdr:sp>
      <xdr:nvSpPr>
        <xdr:cNvPr id="401" name="Line 404"/>
        <xdr:cNvSpPr>
          <a:spLocks/>
        </xdr:cNvSpPr>
      </xdr:nvSpPr>
      <xdr:spPr>
        <a:xfrm flipH="1">
          <a:off x="1057275" y="2394585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149</xdr:row>
      <xdr:rowOff>0</xdr:rowOff>
    </xdr:from>
    <xdr:to>
      <xdr:col>3</xdr:col>
      <xdr:colOff>57150</xdr:colOff>
      <xdr:row>149</xdr:row>
      <xdr:rowOff>104775</xdr:rowOff>
    </xdr:to>
    <xdr:sp>
      <xdr:nvSpPr>
        <xdr:cNvPr id="402" name="AutoShape 405"/>
        <xdr:cNvSpPr>
          <a:spLocks/>
        </xdr:cNvSpPr>
      </xdr:nvSpPr>
      <xdr:spPr>
        <a:xfrm>
          <a:off x="495300" y="2354580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151</xdr:row>
      <xdr:rowOff>19050</xdr:rowOff>
    </xdr:from>
    <xdr:to>
      <xdr:col>3</xdr:col>
      <xdr:colOff>0</xdr:colOff>
      <xdr:row>152</xdr:row>
      <xdr:rowOff>47625</xdr:rowOff>
    </xdr:to>
    <xdr:sp>
      <xdr:nvSpPr>
        <xdr:cNvPr id="403" name="Line 406"/>
        <xdr:cNvSpPr>
          <a:spLocks/>
        </xdr:cNvSpPr>
      </xdr:nvSpPr>
      <xdr:spPr>
        <a:xfrm>
          <a:off x="542925" y="238506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151</xdr:row>
      <xdr:rowOff>114300</xdr:rowOff>
    </xdr:from>
    <xdr:to>
      <xdr:col>3</xdr:col>
      <xdr:colOff>28575</xdr:colOff>
      <xdr:row>152</xdr:row>
      <xdr:rowOff>28575</xdr:rowOff>
    </xdr:to>
    <xdr:sp>
      <xdr:nvSpPr>
        <xdr:cNvPr id="404" name="Line 407"/>
        <xdr:cNvSpPr>
          <a:spLocks/>
        </xdr:cNvSpPr>
      </xdr:nvSpPr>
      <xdr:spPr>
        <a:xfrm flipH="1">
          <a:off x="514350" y="2394585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159</xdr:row>
      <xdr:rowOff>0</xdr:rowOff>
    </xdr:from>
    <xdr:to>
      <xdr:col>12</xdr:col>
      <xdr:colOff>57150</xdr:colOff>
      <xdr:row>159</xdr:row>
      <xdr:rowOff>104775</xdr:rowOff>
    </xdr:to>
    <xdr:sp>
      <xdr:nvSpPr>
        <xdr:cNvPr id="405" name="AutoShape 408"/>
        <xdr:cNvSpPr>
          <a:spLocks/>
        </xdr:cNvSpPr>
      </xdr:nvSpPr>
      <xdr:spPr>
        <a:xfrm>
          <a:off x="2124075" y="249840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159</xdr:row>
      <xdr:rowOff>0</xdr:rowOff>
    </xdr:from>
    <xdr:to>
      <xdr:col>15</xdr:col>
      <xdr:colOff>57150</xdr:colOff>
      <xdr:row>159</xdr:row>
      <xdr:rowOff>104775</xdr:rowOff>
    </xdr:to>
    <xdr:sp>
      <xdr:nvSpPr>
        <xdr:cNvPr id="406" name="AutoShape 409"/>
        <xdr:cNvSpPr>
          <a:spLocks/>
        </xdr:cNvSpPr>
      </xdr:nvSpPr>
      <xdr:spPr>
        <a:xfrm>
          <a:off x="2667000" y="249840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159</xdr:row>
      <xdr:rowOff>9525</xdr:rowOff>
    </xdr:from>
    <xdr:to>
      <xdr:col>18</xdr:col>
      <xdr:colOff>57150</xdr:colOff>
      <xdr:row>159</xdr:row>
      <xdr:rowOff>114300</xdr:rowOff>
    </xdr:to>
    <xdr:sp>
      <xdr:nvSpPr>
        <xdr:cNvPr id="407" name="AutoShape 410"/>
        <xdr:cNvSpPr>
          <a:spLocks/>
        </xdr:cNvSpPr>
      </xdr:nvSpPr>
      <xdr:spPr>
        <a:xfrm>
          <a:off x="3209925" y="2499360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161</xdr:row>
      <xdr:rowOff>19050</xdr:rowOff>
    </xdr:from>
    <xdr:to>
      <xdr:col>12</xdr:col>
      <xdr:colOff>0</xdr:colOff>
      <xdr:row>162</xdr:row>
      <xdr:rowOff>47625</xdr:rowOff>
    </xdr:to>
    <xdr:sp>
      <xdr:nvSpPr>
        <xdr:cNvPr id="408" name="Line 411"/>
        <xdr:cNvSpPr>
          <a:spLocks/>
        </xdr:cNvSpPr>
      </xdr:nvSpPr>
      <xdr:spPr>
        <a:xfrm>
          <a:off x="2171700" y="252888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162</xdr:row>
      <xdr:rowOff>0</xdr:rowOff>
    </xdr:from>
    <xdr:to>
      <xdr:col>18</xdr:col>
      <xdr:colOff>57150</xdr:colOff>
      <xdr:row>162</xdr:row>
      <xdr:rowOff>0</xdr:rowOff>
    </xdr:to>
    <xdr:sp>
      <xdr:nvSpPr>
        <xdr:cNvPr id="409" name="Line 412"/>
        <xdr:cNvSpPr>
          <a:spLocks/>
        </xdr:cNvSpPr>
      </xdr:nvSpPr>
      <xdr:spPr>
        <a:xfrm>
          <a:off x="504825" y="2541270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161</xdr:row>
      <xdr:rowOff>28575</xdr:rowOff>
    </xdr:from>
    <xdr:to>
      <xdr:col>18</xdr:col>
      <xdr:colOff>0</xdr:colOff>
      <xdr:row>162</xdr:row>
      <xdr:rowOff>47625</xdr:rowOff>
    </xdr:to>
    <xdr:sp>
      <xdr:nvSpPr>
        <xdr:cNvPr id="410" name="Line 413"/>
        <xdr:cNvSpPr>
          <a:spLocks/>
        </xdr:cNvSpPr>
      </xdr:nvSpPr>
      <xdr:spPr>
        <a:xfrm>
          <a:off x="3257550" y="25298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161</xdr:row>
      <xdr:rowOff>114300</xdr:rowOff>
    </xdr:from>
    <xdr:to>
      <xdr:col>12</xdr:col>
      <xdr:colOff>28575</xdr:colOff>
      <xdr:row>162</xdr:row>
      <xdr:rowOff>28575</xdr:rowOff>
    </xdr:to>
    <xdr:sp>
      <xdr:nvSpPr>
        <xdr:cNvPr id="411" name="Line 414"/>
        <xdr:cNvSpPr>
          <a:spLocks/>
        </xdr:cNvSpPr>
      </xdr:nvSpPr>
      <xdr:spPr>
        <a:xfrm flipH="1">
          <a:off x="2143125" y="253841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161</xdr:row>
      <xdr:rowOff>114300</xdr:rowOff>
    </xdr:from>
    <xdr:to>
      <xdr:col>18</xdr:col>
      <xdr:colOff>28575</xdr:colOff>
      <xdr:row>162</xdr:row>
      <xdr:rowOff>28575</xdr:rowOff>
    </xdr:to>
    <xdr:sp>
      <xdr:nvSpPr>
        <xdr:cNvPr id="412" name="Line 415"/>
        <xdr:cNvSpPr>
          <a:spLocks/>
        </xdr:cNvSpPr>
      </xdr:nvSpPr>
      <xdr:spPr>
        <a:xfrm flipH="1">
          <a:off x="3228975" y="253841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161</xdr:row>
      <xdr:rowOff>28575</xdr:rowOff>
    </xdr:from>
    <xdr:to>
      <xdr:col>15</xdr:col>
      <xdr:colOff>0</xdr:colOff>
      <xdr:row>162</xdr:row>
      <xdr:rowOff>38100</xdr:rowOff>
    </xdr:to>
    <xdr:sp>
      <xdr:nvSpPr>
        <xdr:cNvPr id="413" name="Line 416"/>
        <xdr:cNvSpPr>
          <a:spLocks/>
        </xdr:cNvSpPr>
      </xdr:nvSpPr>
      <xdr:spPr>
        <a:xfrm>
          <a:off x="2714625" y="2529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161</xdr:row>
      <xdr:rowOff>123825</xdr:rowOff>
    </xdr:from>
    <xdr:to>
      <xdr:col>15</xdr:col>
      <xdr:colOff>19050</xdr:colOff>
      <xdr:row>162</xdr:row>
      <xdr:rowOff>28575</xdr:rowOff>
    </xdr:to>
    <xdr:sp>
      <xdr:nvSpPr>
        <xdr:cNvPr id="414" name="Line 417"/>
        <xdr:cNvSpPr>
          <a:spLocks/>
        </xdr:cNvSpPr>
      </xdr:nvSpPr>
      <xdr:spPr>
        <a:xfrm flipH="1">
          <a:off x="2686050" y="253936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159</xdr:row>
      <xdr:rowOff>0</xdr:rowOff>
    </xdr:from>
    <xdr:to>
      <xdr:col>9</xdr:col>
      <xdr:colOff>57150</xdr:colOff>
      <xdr:row>159</xdr:row>
      <xdr:rowOff>104775</xdr:rowOff>
    </xdr:to>
    <xdr:sp>
      <xdr:nvSpPr>
        <xdr:cNvPr id="415" name="AutoShape 418"/>
        <xdr:cNvSpPr>
          <a:spLocks/>
        </xdr:cNvSpPr>
      </xdr:nvSpPr>
      <xdr:spPr>
        <a:xfrm>
          <a:off x="1581150" y="249840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161</xdr:row>
      <xdr:rowOff>19050</xdr:rowOff>
    </xdr:from>
    <xdr:to>
      <xdr:col>9</xdr:col>
      <xdr:colOff>0</xdr:colOff>
      <xdr:row>162</xdr:row>
      <xdr:rowOff>47625</xdr:rowOff>
    </xdr:to>
    <xdr:sp>
      <xdr:nvSpPr>
        <xdr:cNvPr id="416" name="Line 419"/>
        <xdr:cNvSpPr>
          <a:spLocks/>
        </xdr:cNvSpPr>
      </xdr:nvSpPr>
      <xdr:spPr>
        <a:xfrm>
          <a:off x="1628775" y="252888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161</xdr:row>
      <xdr:rowOff>114300</xdr:rowOff>
    </xdr:from>
    <xdr:to>
      <xdr:col>9</xdr:col>
      <xdr:colOff>28575</xdr:colOff>
      <xdr:row>162</xdr:row>
      <xdr:rowOff>28575</xdr:rowOff>
    </xdr:to>
    <xdr:sp>
      <xdr:nvSpPr>
        <xdr:cNvPr id="417" name="Line 420"/>
        <xdr:cNvSpPr>
          <a:spLocks/>
        </xdr:cNvSpPr>
      </xdr:nvSpPr>
      <xdr:spPr>
        <a:xfrm flipH="1">
          <a:off x="1600200" y="253841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159</xdr:row>
      <xdr:rowOff>0</xdr:rowOff>
    </xdr:from>
    <xdr:to>
      <xdr:col>6</xdr:col>
      <xdr:colOff>57150</xdr:colOff>
      <xdr:row>159</xdr:row>
      <xdr:rowOff>104775</xdr:rowOff>
    </xdr:to>
    <xdr:sp>
      <xdr:nvSpPr>
        <xdr:cNvPr id="418" name="AutoShape 421"/>
        <xdr:cNvSpPr>
          <a:spLocks/>
        </xdr:cNvSpPr>
      </xdr:nvSpPr>
      <xdr:spPr>
        <a:xfrm>
          <a:off x="1038225" y="249840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161</xdr:row>
      <xdr:rowOff>19050</xdr:rowOff>
    </xdr:from>
    <xdr:to>
      <xdr:col>6</xdr:col>
      <xdr:colOff>0</xdr:colOff>
      <xdr:row>162</xdr:row>
      <xdr:rowOff>47625</xdr:rowOff>
    </xdr:to>
    <xdr:sp>
      <xdr:nvSpPr>
        <xdr:cNvPr id="419" name="Line 422"/>
        <xdr:cNvSpPr>
          <a:spLocks/>
        </xdr:cNvSpPr>
      </xdr:nvSpPr>
      <xdr:spPr>
        <a:xfrm>
          <a:off x="1085850" y="252888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161</xdr:row>
      <xdr:rowOff>114300</xdr:rowOff>
    </xdr:from>
    <xdr:to>
      <xdr:col>6</xdr:col>
      <xdr:colOff>28575</xdr:colOff>
      <xdr:row>162</xdr:row>
      <xdr:rowOff>28575</xdr:rowOff>
    </xdr:to>
    <xdr:sp>
      <xdr:nvSpPr>
        <xdr:cNvPr id="420" name="Line 423"/>
        <xdr:cNvSpPr>
          <a:spLocks/>
        </xdr:cNvSpPr>
      </xdr:nvSpPr>
      <xdr:spPr>
        <a:xfrm flipH="1">
          <a:off x="1057275" y="253841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159</xdr:row>
      <xdr:rowOff>0</xdr:rowOff>
    </xdr:from>
    <xdr:to>
      <xdr:col>3</xdr:col>
      <xdr:colOff>57150</xdr:colOff>
      <xdr:row>159</xdr:row>
      <xdr:rowOff>104775</xdr:rowOff>
    </xdr:to>
    <xdr:sp>
      <xdr:nvSpPr>
        <xdr:cNvPr id="421" name="AutoShape 424"/>
        <xdr:cNvSpPr>
          <a:spLocks/>
        </xdr:cNvSpPr>
      </xdr:nvSpPr>
      <xdr:spPr>
        <a:xfrm>
          <a:off x="495300" y="249840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161</xdr:row>
      <xdr:rowOff>19050</xdr:rowOff>
    </xdr:from>
    <xdr:to>
      <xdr:col>3</xdr:col>
      <xdr:colOff>0</xdr:colOff>
      <xdr:row>162</xdr:row>
      <xdr:rowOff>47625</xdr:rowOff>
    </xdr:to>
    <xdr:sp>
      <xdr:nvSpPr>
        <xdr:cNvPr id="422" name="Line 425"/>
        <xdr:cNvSpPr>
          <a:spLocks/>
        </xdr:cNvSpPr>
      </xdr:nvSpPr>
      <xdr:spPr>
        <a:xfrm>
          <a:off x="542925" y="252888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161</xdr:row>
      <xdr:rowOff>114300</xdr:rowOff>
    </xdr:from>
    <xdr:to>
      <xdr:col>3</xdr:col>
      <xdr:colOff>28575</xdr:colOff>
      <xdr:row>162</xdr:row>
      <xdr:rowOff>28575</xdr:rowOff>
    </xdr:to>
    <xdr:sp>
      <xdr:nvSpPr>
        <xdr:cNvPr id="423" name="Line 426"/>
        <xdr:cNvSpPr>
          <a:spLocks/>
        </xdr:cNvSpPr>
      </xdr:nvSpPr>
      <xdr:spPr>
        <a:xfrm flipH="1">
          <a:off x="514350" y="253841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168</xdr:row>
      <xdr:rowOff>0</xdr:rowOff>
    </xdr:from>
    <xdr:to>
      <xdr:col>12</xdr:col>
      <xdr:colOff>57150</xdr:colOff>
      <xdr:row>168</xdr:row>
      <xdr:rowOff>104775</xdr:rowOff>
    </xdr:to>
    <xdr:sp>
      <xdr:nvSpPr>
        <xdr:cNvPr id="424" name="AutoShape 427"/>
        <xdr:cNvSpPr>
          <a:spLocks/>
        </xdr:cNvSpPr>
      </xdr:nvSpPr>
      <xdr:spPr>
        <a:xfrm>
          <a:off x="2124075" y="262794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168</xdr:row>
      <xdr:rowOff>0</xdr:rowOff>
    </xdr:from>
    <xdr:to>
      <xdr:col>15</xdr:col>
      <xdr:colOff>57150</xdr:colOff>
      <xdr:row>168</xdr:row>
      <xdr:rowOff>104775</xdr:rowOff>
    </xdr:to>
    <xdr:sp>
      <xdr:nvSpPr>
        <xdr:cNvPr id="425" name="AutoShape 428"/>
        <xdr:cNvSpPr>
          <a:spLocks/>
        </xdr:cNvSpPr>
      </xdr:nvSpPr>
      <xdr:spPr>
        <a:xfrm>
          <a:off x="2667000" y="262794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168</xdr:row>
      <xdr:rowOff>9525</xdr:rowOff>
    </xdr:from>
    <xdr:to>
      <xdr:col>18</xdr:col>
      <xdr:colOff>57150</xdr:colOff>
      <xdr:row>168</xdr:row>
      <xdr:rowOff>114300</xdr:rowOff>
    </xdr:to>
    <xdr:sp>
      <xdr:nvSpPr>
        <xdr:cNvPr id="426" name="AutoShape 429"/>
        <xdr:cNvSpPr>
          <a:spLocks/>
        </xdr:cNvSpPr>
      </xdr:nvSpPr>
      <xdr:spPr>
        <a:xfrm>
          <a:off x="3209925" y="2628900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170</xdr:row>
      <xdr:rowOff>19050</xdr:rowOff>
    </xdr:from>
    <xdr:to>
      <xdr:col>12</xdr:col>
      <xdr:colOff>0</xdr:colOff>
      <xdr:row>171</xdr:row>
      <xdr:rowOff>47625</xdr:rowOff>
    </xdr:to>
    <xdr:sp>
      <xdr:nvSpPr>
        <xdr:cNvPr id="427" name="Line 430"/>
        <xdr:cNvSpPr>
          <a:spLocks/>
        </xdr:cNvSpPr>
      </xdr:nvSpPr>
      <xdr:spPr>
        <a:xfrm>
          <a:off x="2171700" y="26584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171</xdr:row>
      <xdr:rowOff>0</xdr:rowOff>
    </xdr:from>
    <xdr:to>
      <xdr:col>18</xdr:col>
      <xdr:colOff>57150</xdr:colOff>
      <xdr:row>171</xdr:row>
      <xdr:rowOff>0</xdr:rowOff>
    </xdr:to>
    <xdr:sp>
      <xdr:nvSpPr>
        <xdr:cNvPr id="428" name="Line 431"/>
        <xdr:cNvSpPr>
          <a:spLocks/>
        </xdr:cNvSpPr>
      </xdr:nvSpPr>
      <xdr:spPr>
        <a:xfrm>
          <a:off x="504825" y="2670810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170</xdr:row>
      <xdr:rowOff>28575</xdr:rowOff>
    </xdr:from>
    <xdr:to>
      <xdr:col>18</xdr:col>
      <xdr:colOff>0</xdr:colOff>
      <xdr:row>171</xdr:row>
      <xdr:rowOff>47625</xdr:rowOff>
    </xdr:to>
    <xdr:sp>
      <xdr:nvSpPr>
        <xdr:cNvPr id="429" name="Line 432"/>
        <xdr:cNvSpPr>
          <a:spLocks/>
        </xdr:cNvSpPr>
      </xdr:nvSpPr>
      <xdr:spPr>
        <a:xfrm>
          <a:off x="3257550" y="265938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170</xdr:row>
      <xdr:rowOff>114300</xdr:rowOff>
    </xdr:from>
    <xdr:to>
      <xdr:col>12</xdr:col>
      <xdr:colOff>28575</xdr:colOff>
      <xdr:row>171</xdr:row>
      <xdr:rowOff>28575</xdr:rowOff>
    </xdr:to>
    <xdr:sp>
      <xdr:nvSpPr>
        <xdr:cNvPr id="430" name="Line 433"/>
        <xdr:cNvSpPr>
          <a:spLocks/>
        </xdr:cNvSpPr>
      </xdr:nvSpPr>
      <xdr:spPr>
        <a:xfrm flipH="1">
          <a:off x="2143125" y="266795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170</xdr:row>
      <xdr:rowOff>114300</xdr:rowOff>
    </xdr:from>
    <xdr:to>
      <xdr:col>18</xdr:col>
      <xdr:colOff>28575</xdr:colOff>
      <xdr:row>171</xdr:row>
      <xdr:rowOff>28575</xdr:rowOff>
    </xdr:to>
    <xdr:sp>
      <xdr:nvSpPr>
        <xdr:cNvPr id="431" name="Line 434"/>
        <xdr:cNvSpPr>
          <a:spLocks/>
        </xdr:cNvSpPr>
      </xdr:nvSpPr>
      <xdr:spPr>
        <a:xfrm flipH="1">
          <a:off x="3228975" y="266795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170</xdr:row>
      <xdr:rowOff>28575</xdr:rowOff>
    </xdr:from>
    <xdr:to>
      <xdr:col>15</xdr:col>
      <xdr:colOff>0</xdr:colOff>
      <xdr:row>171</xdr:row>
      <xdr:rowOff>38100</xdr:rowOff>
    </xdr:to>
    <xdr:sp>
      <xdr:nvSpPr>
        <xdr:cNvPr id="432" name="Line 435"/>
        <xdr:cNvSpPr>
          <a:spLocks/>
        </xdr:cNvSpPr>
      </xdr:nvSpPr>
      <xdr:spPr>
        <a:xfrm>
          <a:off x="2714625" y="26593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170</xdr:row>
      <xdr:rowOff>123825</xdr:rowOff>
    </xdr:from>
    <xdr:to>
      <xdr:col>15</xdr:col>
      <xdr:colOff>19050</xdr:colOff>
      <xdr:row>171</xdr:row>
      <xdr:rowOff>28575</xdr:rowOff>
    </xdr:to>
    <xdr:sp>
      <xdr:nvSpPr>
        <xdr:cNvPr id="433" name="Line 436"/>
        <xdr:cNvSpPr>
          <a:spLocks/>
        </xdr:cNvSpPr>
      </xdr:nvSpPr>
      <xdr:spPr>
        <a:xfrm flipH="1">
          <a:off x="2686050" y="266890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168</xdr:row>
      <xdr:rowOff>0</xdr:rowOff>
    </xdr:from>
    <xdr:to>
      <xdr:col>9</xdr:col>
      <xdr:colOff>57150</xdr:colOff>
      <xdr:row>168</xdr:row>
      <xdr:rowOff>104775</xdr:rowOff>
    </xdr:to>
    <xdr:sp>
      <xdr:nvSpPr>
        <xdr:cNvPr id="434" name="AutoShape 437"/>
        <xdr:cNvSpPr>
          <a:spLocks/>
        </xdr:cNvSpPr>
      </xdr:nvSpPr>
      <xdr:spPr>
        <a:xfrm>
          <a:off x="1581150" y="262794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170</xdr:row>
      <xdr:rowOff>19050</xdr:rowOff>
    </xdr:from>
    <xdr:to>
      <xdr:col>9</xdr:col>
      <xdr:colOff>0</xdr:colOff>
      <xdr:row>171</xdr:row>
      <xdr:rowOff>47625</xdr:rowOff>
    </xdr:to>
    <xdr:sp>
      <xdr:nvSpPr>
        <xdr:cNvPr id="435" name="Line 438"/>
        <xdr:cNvSpPr>
          <a:spLocks/>
        </xdr:cNvSpPr>
      </xdr:nvSpPr>
      <xdr:spPr>
        <a:xfrm>
          <a:off x="1628775" y="26584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170</xdr:row>
      <xdr:rowOff>114300</xdr:rowOff>
    </xdr:from>
    <xdr:to>
      <xdr:col>9</xdr:col>
      <xdr:colOff>28575</xdr:colOff>
      <xdr:row>171</xdr:row>
      <xdr:rowOff>28575</xdr:rowOff>
    </xdr:to>
    <xdr:sp>
      <xdr:nvSpPr>
        <xdr:cNvPr id="436" name="Line 439"/>
        <xdr:cNvSpPr>
          <a:spLocks/>
        </xdr:cNvSpPr>
      </xdr:nvSpPr>
      <xdr:spPr>
        <a:xfrm flipH="1">
          <a:off x="1600200" y="266795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168</xdr:row>
      <xdr:rowOff>0</xdr:rowOff>
    </xdr:from>
    <xdr:to>
      <xdr:col>6</xdr:col>
      <xdr:colOff>57150</xdr:colOff>
      <xdr:row>168</xdr:row>
      <xdr:rowOff>104775</xdr:rowOff>
    </xdr:to>
    <xdr:sp>
      <xdr:nvSpPr>
        <xdr:cNvPr id="437" name="AutoShape 440"/>
        <xdr:cNvSpPr>
          <a:spLocks/>
        </xdr:cNvSpPr>
      </xdr:nvSpPr>
      <xdr:spPr>
        <a:xfrm>
          <a:off x="1038225" y="262794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170</xdr:row>
      <xdr:rowOff>19050</xdr:rowOff>
    </xdr:from>
    <xdr:to>
      <xdr:col>6</xdr:col>
      <xdr:colOff>0</xdr:colOff>
      <xdr:row>171</xdr:row>
      <xdr:rowOff>47625</xdr:rowOff>
    </xdr:to>
    <xdr:sp>
      <xdr:nvSpPr>
        <xdr:cNvPr id="438" name="Line 441"/>
        <xdr:cNvSpPr>
          <a:spLocks/>
        </xdr:cNvSpPr>
      </xdr:nvSpPr>
      <xdr:spPr>
        <a:xfrm>
          <a:off x="1085850" y="26584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170</xdr:row>
      <xdr:rowOff>114300</xdr:rowOff>
    </xdr:from>
    <xdr:to>
      <xdr:col>6</xdr:col>
      <xdr:colOff>28575</xdr:colOff>
      <xdr:row>171</xdr:row>
      <xdr:rowOff>28575</xdr:rowOff>
    </xdr:to>
    <xdr:sp>
      <xdr:nvSpPr>
        <xdr:cNvPr id="439" name="Line 442"/>
        <xdr:cNvSpPr>
          <a:spLocks/>
        </xdr:cNvSpPr>
      </xdr:nvSpPr>
      <xdr:spPr>
        <a:xfrm flipH="1">
          <a:off x="1057275" y="266795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168</xdr:row>
      <xdr:rowOff>0</xdr:rowOff>
    </xdr:from>
    <xdr:to>
      <xdr:col>3</xdr:col>
      <xdr:colOff>57150</xdr:colOff>
      <xdr:row>168</xdr:row>
      <xdr:rowOff>104775</xdr:rowOff>
    </xdr:to>
    <xdr:sp>
      <xdr:nvSpPr>
        <xdr:cNvPr id="440" name="AutoShape 443"/>
        <xdr:cNvSpPr>
          <a:spLocks/>
        </xdr:cNvSpPr>
      </xdr:nvSpPr>
      <xdr:spPr>
        <a:xfrm>
          <a:off x="495300" y="262794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170</xdr:row>
      <xdr:rowOff>19050</xdr:rowOff>
    </xdr:from>
    <xdr:to>
      <xdr:col>3</xdr:col>
      <xdr:colOff>0</xdr:colOff>
      <xdr:row>171</xdr:row>
      <xdr:rowOff>47625</xdr:rowOff>
    </xdr:to>
    <xdr:sp>
      <xdr:nvSpPr>
        <xdr:cNvPr id="441" name="Line 444"/>
        <xdr:cNvSpPr>
          <a:spLocks/>
        </xdr:cNvSpPr>
      </xdr:nvSpPr>
      <xdr:spPr>
        <a:xfrm>
          <a:off x="542925" y="26584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170</xdr:row>
      <xdr:rowOff>114300</xdr:rowOff>
    </xdr:from>
    <xdr:to>
      <xdr:col>3</xdr:col>
      <xdr:colOff>28575</xdr:colOff>
      <xdr:row>171</xdr:row>
      <xdr:rowOff>28575</xdr:rowOff>
    </xdr:to>
    <xdr:sp>
      <xdr:nvSpPr>
        <xdr:cNvPr id="442" name="Line 445"/>
        <xdr:cNvSpPr>
          <a:spLocks/>
        </xdr:cNvSpPr>
      </xdr:nvSpPr>
      <xdr:spPr>
        <a:xfrm flipH="1">
          <a:off x="514350" y="266795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177</xdr:row>
      <xdr:rowOff>0</xdr:rowOff>
    </xdr:from>
    <xdr:to>
      <xdr:col>12</xdr:col>
      <xdr:colOff>57150</xdr:colOff>
      <xdr:row>177</xdr:row>
      <xdr:rowOff>104775</xdr:rowOff>
    </xdr:to>
    <xdr:sp>
      <xdr:nvSpPr>
        <xdr:cNvPr id="443" name="AutoShape 446"/>
        <xdr:cNvSpPr>
          <a:spLocks/>
        </xdr:cNvSpPr>
      </xdr:nvSpPr>
      <xdr:spPr>
        <a:xfrm>
          <a:off x="2124075" y="275748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177</xdr:row>
      <xdr:rowOff>0</xdr:rowOff>
    </xdr:from>
    <xdr:to>
      <xdr:col>15</xdr:col>
      <xdr:colOff>57150</xdr:colOff>
      <xdr:row>177</xdr:row>
      <xdr:rowOff>104775</xdr:rowOff>
    </xdr:to>
    <xdr:sp>
      <xdr:nvSpPr>
        <xdr:cNvPr id="444" name="AutoShape 447"/>
        <xdr:cNvSpPr>
          <a:spLocks/>
        </xdr:cNvSpPr>
      </xdr:nvSpPr>
      <xdr:spPr>
        <a:xfrm>
          <a:off x="2667000" y="275748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177</xdr:row>
      <xdr:rowOff>9525</xdr:rowOff>
    </xdr:from>
    <xdr:to>
      <xdr:col>18</xdr:col>
      <xdr:colOff>57150</xdr:colOff>
      <xdr:row>177</xdr:row>
      <xdr:rowOff>114300</xdr:rowOff>
    </xdr:to>
    <xdr:sp>
      <xdr:nvSpPr>
        <xdr:cNvPr id="445" name="AutoShape 448"/>
        <xdr:cNvSpPr>
          <a:spLocks/>
        </xdr:cNvSpPr>
      </xdr:nvSpPr>
      <xdr:spPr>
        <a:xfrm>
          <a:off x="3209925" y="2758440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179</xdr:row>
      <xdr:rowOff>19050</xdr:rowOff>
    </xdr:from>
    <xdr:to>
      <xdr:col>12</xdr:col>
      <xdr:colOff>0</xdr:colOff>
      <xdr:row>180</xdr:row>
      <xdr:rowOff>47625</xdr:rowOff>
    </xdr:to>
    <xdr:sp>
      <xdr:nvSpPr>
        <xdr:cNvPr id="446" name="Line 449"/>
        <xdr:cNvSpPr>
          <a:spLocks/>
        </xdr:cNvSpPr>
      </xdr:nvSpPr>
      <xdr:spPr>
        <a:xfrm>
          <a:off x="2171700" y="278796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180</xdr:row>
      <xdr:rowOff>0</xdr:rowOff>
    </xdr:from>
    <xdr:to>
      <xdr:col>18</xdr:col>
      <xdr:colOff>57150</xdr:colOff>
      <xdr:row>180</xdr:row>
      <xdr:rowOff>0</xdr:rowOff>
    </xdr:to>
    <xdr:sp>
      <xdr:nvSpPr>
        <xdr:cNvPr id="447" name="Line 450"/>
        <xdr:cNvSpPr>
          <a:spLocks/>
        </xdr:cNvSpPr>
      </xdr:nvSpPr>
      <xdr:spPr>
        <a:xfrm>
          <a:off x="504825" y="2800350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179</xdr:row>
      <xdr:rowOff>28575</xdr:rowOff>
    </xdr:from>
    <xdr:to>
      <xdr:col>18</xdr:col>
      <xdr:colOff>0</xdr:colOff>
      <xdr:row>180</xdr:row>
      <xdr:rowOff>47625</xdr:rowOff>
    </xdr:to>
    <xdr:sp>
      <xdr:nvSpPr>
        <xdr:cNvPr id="448" name="Line 451"/>
        <xdr:cNvSpPr>
          <a:spLocks/>
        </xdr:cNvSpPr>
      </xdr:nvSpPr>
      <xdr:spPr>
        <a:xfrm>
          <a:off x="3257550" y="2788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179</xdr:row>
      <xdr:rowOff>114300</xdr:rowOff>
    </xdr:from>
    <xdr:to>
      <xdr:col>12</xdr:col>
      <xdr:colOff>28575</xdr:colOff>
      <xdr:row>180</xdr:row>
      <xdr:rowOff>28575</xdr:rowOff>
    </xdr:to>
    <xdr:sp>
      <xdr:nvSpPr>
        <xdr:cNvPr id="449" name="Line 452"/>
        <xdr:cNvSpPr>
          <a:spLocks/>
        </xdr:cNvSpPr>
      </xdr:nvSpPr>
      <xdr:spPr>
        <a:xfrm flipH="1">
          <a:off x="2143125" y="279749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179</xdr:row>
      <xdr:rowOff>114300</xdr:rowOff>
    </xdr:from>
    <xdr:to>
      <xdr:col>18</xdr:col>
      <xdr:colOff>28575</xdr:colOff>
      <xdr:row>180</xdr:row>
      <xdr:rowOff>28575</xdr:rowOff>
    </xdr:to>
    <xdr:sp>
      <xdr:nvSpPr>
        <xdr:cNvPr id="450" name="Line 453"/>
        <xdr:cNvSpPr>
          <a:spLocks/>
        </xdr:cNvSpPr>
      </xdr:nvSpPr>
      <xdr:spPr>
        <a:xfrm flipH="1">
          <a:off x="3228975" y="279749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179</xdr:row>
      <xdr:rowOff>28575</xdr:rowOff>
    </xdr:from>
    <xdr:to>
      <xdr:col>15</xdr:col>
      <xdr:colOff>0</xdr:colOff>
      <xdr:row>180</xdr:row>
      <xdr:rowOff>38100</xdr:rowOff>
    </xdr:to>
    <xdr:sp>
      <xdr:nvSpPr>
        <xdr:cNvPr id="451" name="Line 454"/>
        <xdr:cNvSpPr>
          <a:spLocks/>
        </xdr:cNvSpPr>
      </xdr:nvSpPr>
      <xdr:spPr>
        <a:xfrm>
          <a:off x="2714625" y="27889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179</xdr:row>
      <xdr:rowOff>123825</xdr:rowOff>
    </xdr:from>
    <xdr:to>
      <xdr:col>15</xdr:col>
      <xdr:colOff>19050</xdr:colOff>
      <xdr:row>180</xdr:row>
      <xdr:rowOff>28575</xdr:rowOff>
    </xdr:to>
    <xdr:sp>
      <xdr:nvSpPr>
        <xdr:cNvPr id="452" name="Line 455"/>
        <xdr:cNvSpPr>
          <a:spLocks/>
        </xdr:cNvSpPr>
      </xdr:nvSpPr>
      <xdr:spPr>
        <a:xfrm flipH="1">
          <a:off x="2686050" y="279844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177</xdr:row>
      <xdr:rowOff>0</xdr:rowOff>
    </xdr:from>
    <xdr:to>
      <xdr:col>9</xdr:col>
      <xdr:colOff>57150</xdr:colOff>
      <xdr:row>177</xdr:row>
      <xdr:rowOff>104775</xdr:rowOff>
    </xdr:to>
    <xdr:sp>
      <xdr:nvSpPr>
        <xdr:cNvPr id="453" name="AutoShape 456"/>
        <xdr:cNvSpPr>
          <a:spLocks/>
        </xdr:cNvSpPr>
      </xdr:nvSpPr>
      <xdr:spPr>
        <a:xfrm>
          <a:off x="1581150" y="275748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179</xdr:row>
      <xdr:rowOff>19050</xdr:rowOff>
    </xdr:from>
    <xdr:to>
      <xdr:col>9</xdr:col>
      <xdr:colOff>0</xdr:colOff>
      <xdr:row>180</xdr:row>
      <xdr:rowOff>47625</xdr:rowOff>
    </xdr:to>
    <xdr:sp>
      <xdr:nvSpPr>
        <xdr:cNvPr id="454" name="Line 457"/>
        <xdr:cNvSpPr>
          <a:spLocks/>
        </xdr:cNvSpPr>
      </xdr:nvSpPr>
      <xdr:spPr>
        <a:xfrm>
          <a:off x="1628775" y="278796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179</xdr:row>
      <xdr:rowOff>114300</xdr:rowOff>
    </xdr:from>
    <xdr:to>
      <xdr:col>9</xdr:col>
      <xdr:colOff>28575</xdr:colOff>
      <xdr:row>180</xdr:row>
      <xdr:rowOff>28575</xdr:rowOff>
    </xdr:to>
    <xdr:sp>
      <xdr:nvSpPr>
        <xdr:cNvPr id="455" name="Line 458"/>
        <xdr:cNvSpPr>
          <a:spLocks/>
        </xdr:cNvSpPr>
      </xdr:nvSpPr>
      <xdr:spPr>
        <a:xfrm flipH="1">
          <a:off x="1600200" y="279749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177</xdr:row>
      <xdr:rowOff>0</xdr:rowOff>
    </xdr:from>
    <xdr:to>
      <xdr:col>6</xdr:col>
      <xdr:colOff>57150</xdr:colOff>
      <xdr:row>177</xdr:row>
      <xdr:rowOff>104775</xdr:rowOff>
    </xdr:to>
    <xdr:sp>
      <xdr:nvSpPr>
        <xdr:cNvPr id="456" name="AutoShape 459"/>
        <xdr:cNvSpPr>
          <a:spLocks/>
        </xdr:cNvSpPr>
      </xdr:nvSpPr>
      <xdr:spPr>
        <a:xfrm>
          <a:off x="1038225" y="275748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179</xdr:row>
      <xdr:rowOff>19050</xdr:rowOff>
    </xdr:from>
    <xdr:to>
      <xdr:col>6</xdr:col>
      <xdr:colOff>0</xdr:colOff>
      <xdr:row>180</xdr:row>
      <xdr:rowOff>47625</xdr:rowOff>
    </xdr:to>
    <xdr:sp>
      <xdr:nvSpPr>
        <xdr:cNvPr id="457" name="Line 460"/>
        <xdr:cNvSpPr>
          <a:spLocks/>
        </xdr:cNvSpPr>
      </xdr:nvSpPr>
      <xdr:spPr>
        <a:xfrm>
          <a:off x="1085850" y="278796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179</xdr:row>
      <xdr:rowOff>114300</xdr:rowOff>
    </xdr:from>
    <xdr:to>
      <xdr:col>6</xdr:col>
      <xdr:colOff>28575</xdr:colOff>
      <xdr:row>180</xdr:row>
      <xdr:rowOff>28575</xdr:rowOff>
    </xdr:to>
    <xdr:sp>
      <xdr:nvSpPr>
        <xdr:cNvPr id="458" name="Line 461"/>
        <xdr:cNvSpPr>
          <a:spLocks/>
        </xdr:cNvSpPr>
      </xdr:nvSpPr>
      <xdr:spPr>
        <a:xfrm flipH="1">
          <a:off x="1057275" y="279749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177</xdr:row>
      <xdr:rowOff>0</xdr:rowOff>
    </xdr:from>
    <xdr:to>
      <xdr:col>3</xdr:col>
      <xdr:colOff>57150</xdr:colOff>
      <xdr:row>177</xdr:row>
      <xdr:rowOff>104775</xdr:rowOff>
    </xdr:to>
    <xdr:sp>
      <xdr:nvSpPr>
        <xdr:cNvPr id="459" name="AutoShape 462"/>
        <xdr:cNvSpPr>
          <a:spLocks/>
        </xdr:cNvSpPr>
      </xdr:nvSpPr>
      <xdr:spPr>
        <a:xfrm>
          <a:off x="495300" y="275748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179</xdr:row>
      <xdr:rowOff>19050</xdr:rowOff>
    </xdr:from>
    <xdr:to>
      <xdr:col>3</xdr:col>
      <xdr:colOff>0</xdr:colOff>
      <xdr:row>180</xdr:row>
      <xdr:rowOff>47625</xdr:rowOff>
    </xdr:to>
    <xdr:sp>
      <xdr:nvSpPr>
        <xdr:cNvPr id="460" name="Line 463"/>
        <xdr:cNvSpPr>
          <a:spLocks/>
        </xdr:cNvSpPr>
      </xdr:nvSpPr>
      <xdr:spPr>
        <a:xfrm>
          <a:off x="542925" y="278796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179</xdr:row>
      <xdr:rowOff>114300</xdr:rowOff>
    </xdr:from>
    <xdr:to>
      <xdr:col>3</xdr:col>
      <xdr:colOff>28575</xdr:colOff>
      <xdr:row>180</xdr:row>
      <xdr:rowOff>28575</xdr:rowOff>
    </xdr:to>
    <xdr:sp>
      <xdr:nvSpPr>
        <xdr:cNvPr id="461" name="Line 464"/>
        <xdr:cNvSpPr>
          <a:spLocks/>
        </xdr:cNvSpPr>
      </xdr:nvSpPr>
      <xdr:spPr>
        <a:xfrm flipH="1">
          <a:off x="514350" y="279749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185</xdr:row>
      <xdr:rowOff>0</xdr:rowOff>
    </xdr:from>
    <xdr:to>
      <xdr:col>10</xdr:col>
      <xdr:colOff>57150</xdr:colOff>
      <xdr:row>185</xdr:row>
      <xdr:rowOff>104775</xdr:rowOff>
    </xdr:to>
    <xdr:sp>
      <xdr:nvSpPr>
        <xdr:cNvPr id="462" name="AutoShape 465"/>
        <xdr:cNvSpPr>
          <a:spLocks/>
        </xdr:cNvSpPr>
      </xdr:nvSpPr>
      <xdr:spPr>
        <a:xfrm>
          <a:off x="1762125" y="2876550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185</xdr:row>
      <xdr:rowOff>0</xdr:rowOff>
    </xdr:from>
    <xdr:to>
      <xdr:col>13</xdr:col>
      <xdr:colOff>57150</xdr:colOff>
      <xdr:row>185</xdr:row>
      <xdr:rowOff>104775</xdr:rowOff>
    </xdr:to>
    <xdr:sp>
      <xdr:nvSpPr>
        <xdr:cNvPr id="463" name="AutoShape 466"/>
        <xdr:cNvSpPr>
          <a:spLocks/>
        </xdr:cNvSpPr>
      </xdr:nvSpPr>
      <xdr:spPr>
        <a:xfrm>
          <a:off x="2305050" y="2876550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185</xdr:row>
      <xdr:rowOff>9525</xdr:rowOff>
    </xdr:from>
    <xdr:to>
      <xdr:col>16</xdr:col>
      <xdr:colOff>57150</xdr:colOff>
      <xdr:row>185</xdr:row>
      <xdr:rowOff>114300</xdr:rowOff>
    </xdr:to>
    <xdr:sp>
      <xdr:nvSpPr>
        <xdr:cNvPr id="464" name="AutoShape 467"/>
        <xdr:cNvSpPr>
          <a:spLocks/>
        </xdr:cNvSpPr>
      </xdr:nvSpPr>
      <xdr:spPr>
        <a:xfrm>
          <a:off x="2847975" y="2877502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187</xdr:row>
      <xdr:rowOff>19050</xdr:rowOff>
    </xdr:from>
    <xdr:to>
      <xdr:col>10</xdr:col>
      <xdr:colOff>0</xdr:colOff>
      <xdr:row>188</xdr:row>
      <xdr:rowOff>47625</xdr:rowOff>
    </xdr:to>
    <xdr:sp>
      <xdr:nvSpPr>
        <xdr:cNvPr id="465" name="Line 468"/>
        <xdr:cNvSpPr>
          <a:spLocks/>
        </xdr:cNvSpPr>
      </xdr:nvSpPr>
      <xdr:spPr>
        <a:xfrm>
          <a:off x="1809750" y="291084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188</xdr:row>
      <xdr:rowOff>0</xdr:rowOff>
    </xdr:from>
    <xdr:to>
      <xdr:col>18</xdr:col>
      <xdr:colOff>9525</xdr:colOff>
      <xdr:row>188</xdr:row>
      <xdr:rowOff>0</xdr:rowOff>
    </xdr:to>
    <xdr:sp>
      <xdr:nvSpPr>
        <xdr:cNvPr id="466" name="Line 469"/>
        <xdr:cNvSpPr>
          <a:spLocks/>
        </xdr:cNvSpPr>
      </xdr:nvSpPr>
      <xdr:spPr>
        <a:xfrm>
          <a:off x="371475" y="2925127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187</xdr:row>
      <xdr:rowOff>28575</xdr:rowOff>
    </xdr:from>
    <xdr:to>
      <xdr:col>16</xdr:col>
      <xdr:colOff>0</xdr:colOff>
      <xdr:row>188</xdr:row>
      <xdr:rowOff>47625</xdr:rowOff>
    </xdr:to>
    <xdr:sp>
      <xdr:nvSpPr>
        <xdr:cNvPr id="467" name="Line 470"/>
        <xdr:cNvSpPr>
          <a:spLocks/>
        </xdr:cNvSpPr>
      </xdr:nvSpPr>
      <xdr:spPr>
        <a:xfrm>
          <a:off x="2895600" y="29117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187</xdr:row>
      <xdr:rowOff>114300</xdr:rowOff>
    </xdr:from>
    <xdr:to>
      <xdr:col>10</xdr:col>
      <xdr:colOff>28575</xdr:colOff>
      <xdr:row>188</xdr:row>
      <xdr:rowOff>28575</xdr:rowOff>
    </xdr:to>
    <xdr:sp>
      <xdr:nvSpPr>
        <xdr:cNvPr id="468" name="Line 471"/>
        <xdr:cNvSpPr>
          <a:spLocks/>
        </xdr:cNvSpPr>
      </xdr:nvSpPr>
      <xdr:spPr>
        <a:xfrm flipH="1">
          <a:off x="1781175" y="2920365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187</xdr:row>
      <xdr:rowOff>114300</xdr:rowOff>
    </xdr:from>
    <xdr:to>
      <xdr:col>16</xdr:col>
      <xdr:colOff>28575</xdr:colOff>
      <xdr:row>188</xdr:row>
      <xdr:rowOff>28575</xdr:rowOff>
    </xdr:to>
    <xdr:sp>
      <xdr:nvSpPr>
        <xdr:cNvPr id="469" name="Line 472"/>
        <xdr:cNvSpPr>
          <a:spLocks/>
        </xdr:cNvSpPr>
      </xdr:nvSpPr>
      <xdr:spPr>
        <a:xfrm flipH="1">
          <a:off x="2867025" y="2920365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187</xdr:row>
      <xdr:rowOff>28575</xdr:rowOff>
    </xdr:from>
    <xdr:to>
      <xdr:col>13</xdr:col>
      <xdr:colOff>0</xdr:colOff>
      <xdr:row>188</xdr:row>
      <xdr:rowOff>38100</xdr:rowOff>
    </xdr:to>
    <xdr:sp>
      <xdr:nvSpPr>
        <xdr:cNvPr id="470" name="Line 473"/>
        <xdr:cNvSpPr>
          <a:spLocks/>
        </xdr:cNvSpPr>
      </xdr:nvSpPr>
      <xdr:spPr>
        <a:xfrm>
          <a:off x="2352675" y="29117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187</xdr:row>
      <xdr:rowOff>123825</xdr:rowOff>
    </xdr:from>
    <xdr:to>
      <xdr:col>13</xdr:col>
      <xdr:colOff>19050</xdr:colOff>
      <xdr:row>188</xdr:row>
      <xdr:rowOff>28575</xdr:rowOff>
    </xdr:to>
    <xdr:sp>
      <xdr:nvSpPr>
        <xdr:cNvPr id="471" name="Line 474"/>
        <xdr:cNvSpPr>
          <a:spLocks/>
        </xdr:cNvSpPr>
      </xdr:nvSpPr>
      <xdr:spPr>
        <a:xfrm flipH="1">
          <a:off x="2324100" y="29213175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185</xdr:row>
      <xdr:rowOff>0</xdr:rowOff>
    </xdr:from>
    <xdr:to>
      <xdr:col>7</xdr:col>
      <xdr:colOff>57150</xdr:colOff>
      <xdr:row>185</xdr:row>
      <xdr:rowOff>104775</xdr:rowOff>
    </xdr:to>
    <xdr:sp>
      <xdr:nvSpPr>
        <xdr:cNvPr id="472" name="AutoShape 475"/>
        <xdr:cNvSpPr>
          <a:spLocks/>
        </xdr:cNvSpPr>
      </xdr:nvSpPr>
      <xdr:spPr>
        <a:xfrm>
          <a:off x="1219200" y="2876550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187</xdr:row>
      <xdr:rowOff>19050</xdr:rowOff>
    </xdr:from>
    <xdr:to>
      <xdr:col>7</xdr:col>
      <xdr:colOff>0</xdr:colOff>
      <xdr:row>188</xdr:row>
      <xdr:rowOff>47625</xdr:rowOff>
    </xdr:to>
    <xdr:sp>
      <xdr:nvSpPr>
        <xdr:cNvPr id="473" name="Line 476"/>
        <xdr:cNvSpPr>
          <a:spLocks/>
        </xdr:cNvSpPr>
      </xdr:nvSpPr>
      <xdr:spPr>
        <a:xfrm>
          <a:off x="1266825" y="291084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187</xdr:row>
      <xdr:rowOff>114300</xdr:rowOff>
    </xdr:from>
    <xdr:to>
      <xdr:col>7</xdr:col>
      <xdr:colOff>28575</xdr:colOff>
      <xdr:row>188</xdr:row>
      <xdr:rowOff>28575</xdr:rowOff>
    </xdr:to>
    <xdr:sp>
      <xdr:nvSpPr>
        <xdr:cNvPr id="474" name="Line 477"/>
        <xdr:cNvSpPr>
          <a:spLocks/>
        </xdr:cNvSpPr>
      </xdr:nvSpPr>
      <xdr:spPr>
        <a:xfrm flipH="1">
          <a:off x="1238250" y="2920365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185</xdr:row>
      <xdr:rowOff>0</xdr:rowOff>
    </xdr:from>
    <xdr:to>
      <xdr:col>4</xdr:col>
      <xdr:colOff>57150</xdr:colOff>
      <xdr:row>185</xdr:row>
      <xdr:rowOff>104775</xdr:rowOff>
    </xdr:to>
    <xdr:sp>
      <xdr:nvSpPr>
        <xdr:cNvPr id="475" name="AutoShape 478"/>
        <xdr:cNvSpPr>
          <a:spLocks/>
        </xdr:cNvSpPr>
      </xdr:nvSpPr>
      <xdr:spPr>
        <a:xfrm>
          <a:off x="676275" y="2876550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187</xdr:row>
      <xdr:rowOff>19050</xdr:rowOff>
    </xdr:from>
    <xdr:to>
      <xdr:col>4</xdr:col>
      <xdr:colOff>0</xdr:colOff>
      <xdr:row>188</xdr:row>
      <xdr:rowOff>47625</xdr:rowOff>
    </xdr:to>
    <xdr:sp>
      <xdr:nvSpPr>
        <xdr:cNvPr id="476" name="Line 479"/>
        <xdr:cNvSpPr>
          <a:spLocks/>
        </xdr:cNvSpPr>
      </xdr:nvSpPr>
      <xdr:spPr>
        <a:xfrm>
          <a:off x="723900" y="291084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187</xdr:row>
      <xdr:rowOff>114300</xdr:rowOff>
    </xdr:from>
    <xdr:to>
      <xdr:col>4</xdr:col>
      <xdr:colOff>28575</xdr:colOff>
      <xdr:row>188</xdr:row>
      <xdr:rowOff>28575</xdr:rowOff>
    </xdr:to>
    <xdr:sp>
      <xdr:nvSpPr>
        <xdr:cNvPr id="477" name="Line 480"/>
        <xdr:cNvSpPr>
          <a:spLocks/>
        </xdr:cNvSpPr>
      </xdr:nvSpPr>
      <xdr:spPr>
        <a:xfrm flipH="1">
          <a:off x="695325" y="2920365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191</xdr:row>
      <xdr:rowOff>0</xdr:rowOff>
    </xdr:from>
    <xdr:to>
      <xdr:col>10</xdr:col>
      <xdr:colOff>57150</xdr:colOff>
      <xdr:row>191</xdr:row>
      <xdr:rowOff>104775</xdr:rowOff>
    </xdr:to>
    <xdr:sp>
      <xdr:nvSpPr>
        <xdr:cNvPr id="478" name="AutoShape 481"/>
        <xdr:cNvSpPr>
          <a:spLocks/>
        </xdr:cNvSpPr>
      </xdr:nvSpPr>
      <xdr:spPr>
        <a:xfrm>
          <a:off x="1762125" y="297465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191</xdr:row>
      <xdr:rowOff>0</xdr:rowOff>
    </xdr:from>
    <xdr:to>
      <xdr:col>13</xdr:col>
      <xdr:colOff>57150</xdr:colOff>
      <xdr:row>191</xdr:row>
      <xdr:rowOff>104775</xdr:rowOff>
    </xdr:to>
    <xdr:sp>
      <xdr:nvSpPr>
        <xdr:cNvPr id="479" name="AutoShape 482"/>
        <xdr:cNvSpPr>
          <a:spLocks/>
        </xdr:cNvSpPr>
      </xdr:nvSpPr>
      <xdr:spPr>
        <a:xfrm>
          <a:off x="2305050" y="297465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191</xdr:row>
      <xdr:rowOff>9525</xdr:rowOff>
    </xdr:from>
    <xdr:to>
      <xdr:col>16</xdr:col>
      <xdr:colOff>57150</xdr:colOff>
      <xdr:row>191</xdr:row>
      <xdr:rowOff>114300</xdr:rowOff>
    </xdr:to>
    <xdr:sp>
      <xdr:nvSpPr>
        <xdr:cNvPr id="480" name="AutoShape 483"/>
        <xdr:cNvSpPr>
          <a:spLocks/>
        </xdr:cNvSpPr>
      </xdr:nvSpPr>
      <xdr:spPr>
        <a:xfrm>
          <a:off x="2847975" y="2975610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193</xdr:row>
      <xdr:rowOff>19050</xdr:rowOff>
    </xdr:from>
    <xdr:to>
      <xdr:col>10</xdr:col>
      <xdr:colOff>0</xdr:colOff>
      <xdr:row>194</xdr:row>
      <xdr:rowOff>47625</xdr:rowOff>
    </xdr:to>
    <xdr:sp>
      <xdr:nvSpPr>
        <xdr:cNvPr id="481" name="Line 484"/>
        <xdr:cNvSpPr>
          <a:spLocks/>
        </xdr:cNvSpPr>
      </xdr:nvSpPr>
      <xdr:spPr>
        <a:xfrm>
          <a:off x="1809750" y="30089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194</xdr:row>
      <xdr:rowOff>0</xdr:rowOff>
    </xdr:from>
    <xdr:to>
      <xdr:col>18</xdr:col>
      <xdr:colOff>9525</xdr:colOff>
      <xdr:row>194</xdr:row>
      <xdr:rowOff>0</xdr:rowOff>
    </xdr:to>
    <xdr:sp>
      <xdr:nvSpPr>
        <xdr:cNvPr id="482" name="Line 485"/>
        <xdr:cNvSpPr>
          <a:spLocks/>
        </xdr:cNvSpPr>
      </xdr:nvSpPr>
      <xdr:spPr>
        <a:xfrm>
          <a:off x="371475" y="3023235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193</xdr:row>
      <xdr:rowOff>28575</xdr:rowOff>
    </xdr:from>
    <xdr:to>
      <xdr:col>16</xdr:col>
      <xdr:colOff>0</xdr:colOff>
      <xdr:row>194</xdr:row>
      <xdr:rowOff>47625</xdr:rowOff>
    </xdr:to>
    <xdr:sp>
      <xdr:nvSpPr>
        <xdr:cNvPr id="483" name="Line 486"/>
        <xdr:cNvSpPr>
          <a:spLocks/>
        </xdr:cNvSpPr>
      </xdr:nvSpPr>
      <xdr:spPr>
        <a:xfrm>
          <a:off x="2895600" y="300990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193</xdr:row>
      <xdr:rowOff>114300</xdr:rowOff>
    </xdr:from>
    <xdr:to>
      <xdr:col>10</xdr:col>
      <xdr:colOff>28575</xdr:colOff>
      <xdr:row>194</xdr:row>
      <xdr:rowOff>28575</xdr:rowOff>
    </xdr:to>
    <xdr:sp>
      <xdr:nvSpPr>
        <xdr:cNvPr id="484" name="Line 487"/>
        <xdr:cNvSpPr>
          <a:spLocks/>
        </xdr:cNvSpPr>
      </xdr:nvSpPr>
      <xdr:spPr>
        <a:xfrm flipH="1">
          <a:off x="1781175" y="3018472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193</xdr:row>
      <xdr:rowOff>114300</xdr:rowOff>
    </xdr:from>
    <xdr:to>
      <xdr:col>16</xdr:col>
      <xdr:colOff>28575</xdr:colOff>
      <xdr:row>194</xdr:row>
      <xdr:rowOff>28575</xdr:rowOff>
    </xdr:to>
    <xdr:sp>
      <xdr:nvSpPr>
        <xdr:cNvPr id="485" name="Line 488"/>
        <xdr:cNvSpPr>
          <a:spLocks/>
        </xdr:cNvSpPr>
      </xdr:nvSpPr>
      <xdr:spPr>
        <a:xfrm flipH="1">
          <a:off x="2867025" y="3018472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193</xdr:row>
      <xdr:rowOff>28575</xdr:rowOff>
    </xdr:from>
    <xdr:to>
      <xdr:col>13</xdr:col>
      <xdr:colOff>0</xdr:colOff>
      <xdr:row>194</xdr:row>
      <xdr:rowOff>38100</xdr:rowOff>
    </xdr:to>
    <xdr:sp>
      <xdr:nvSpPr>
        <xdr:cNvPr id="486" name="Line 489"/>
        <xdr:cNvSpPr>
          <a:spLocks/>
        </xdr:cNvSpPr>
      </xdr:nvSpPr>
      <xdr:spPr>
        <a:xfrm>
          <a:off x="2352675" y="30099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193</xdr:row>
      <xdr:rowOff>123825</xdr:rowOff>
    </xdr:from>
    <xdr:to>
      <xdr:col>13</xdr:col>
      <xdr:colOff>19050</xdr:colOff>
      <xdr:row>194</xdr:row>
      <xdr:rowOff>28575</xdr:rowOff>
    </xdr:to>
    <xdr:sp>
      <xdr:nvSpPr>
        <xdr:cNvPr id="487" name="Line 490"/>
        <xdr:cNvSpPr>
          <a:spLocks/>
        </xdr:cNvSpPr>
      </xdr:nvSpPr>
      <xdr:spPr>
        <a:xfrm flipH="1">
          <a:off x="2324100" y="30194250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191</xdr:row>
      <xdr:rowOff>0</xdr:rowOff>
    </xdr:from>
    <xdr:to>
      <xdr:col>7</xdr:col>
      <xdr:colOff>57150</xdr:colOff>
      <xdr:row>191</xdr:row>
      <xdr:rowOff>104775</xdr:rowOff>
    </xdr:to>
    <xdr:sp>
      <xdr:nvSpPr>
        <xdr:cNvPr id="488" name="AutoShape 491"/>
        <xdr:cNvSpPr>
          <a:spLocks/>
        </xdr:cNvSpPr>
      </xdr:nvSpPr>
      <xdr:spPr>
        <a:xfrm>
          <a:off x="1219200" y="297465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193</xdr:row>
      <xdr:rowOff>19050</xdr:rowOff>
    </xdr:from>
    <xdr:to>
      <xdr:col>7</xdr:col>
      <xdr:colOff>0</xdr:colOff>
      <xdr:row>194</xdr:row>
      <xdr:rowOff>47625</xdr:rowOff>
    </xdr:to>
    <xdr:sp>
      <xdr:nvSpPr>
        <xdr:cNvPr id="489" name="Line 492"/>
        <xdr:cNvSpPr>
          <a:spLocks/>
        </xdr:cNvSpPr>
      </xdr:nvSpPr>
      <xdr:spPr>
        <a:xfrm>
          <a:off x="1266825" y="30089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193</xdr:row>
      <xdr:rowOff>114300</xdr:rowOff>
    </xdr:from>
    <xdr:to>
      <xdr:col>7</xdr:col>
      <xdr:colOff>28575</xdr:colOff>
      <xdr:row>194</xdr:row>
      <xdr:rowOff>28575</xdr:rowOff>
    </xdr:to>
    <xdr:sp>
      <xdr:nvSpPr>
        <xdr:cNvPr id="490" name="Line 493"/>
        <xdr:cNvSpPr>
          <a:spLocks/>
        </xdr:cNvSpPr>
      </xdr:nvSpPr>
      <xdr:spPr>
        <a:xfrm flipH="1">
          <a:off x="1238250" y="3018472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191</xdr:row>
      <xdr:rowOff>0</xdr:rowOff>
    </xdr:from>
    <xdr:to>
      <xdr:col>4</xdr:col>
      <xdr:colOff>57150</xdr:colOff>
      <xdr:row>191</xdr:row>
      <xdr:rowOff>104775</xdr:rowOff>
    </xdr:to>
    <xdr:sp>
      <xdr:nvSpPr>
        <xdr:cNvPr id="491" name="AutoShape 494"/>
        <xdr:cNvSpPr>
          <a:spLocks/>
        </xdr:cNvSpPr>
      </xdr:nvSpPr>
      <xdr:spPr>
        <a:xfrm>
          <a:off x="676275" y="297465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193</xdr:row>
      <xdr:rowOff>19050</xdr:rowOff>
    </xdr:from>
    <xdr:to>
      <xdr:col>4</xdr:col>
      <xdr:colOff>0</xdr:colOff>
      <xdr:row>194</xdr:row>
      <xdr:rowOff>47625</xdr:rowOff>
    </xdr:to>
    <xdr:sp>
      <xdr:nvSpPr>
        <xdr:cNvPr id="492" name="Line 495"/>
        <xdr:cNvSpPr>
          <a:spLocks/>
        </xdr:cNvSpPr>
      </xdr:nvSpPr>
      <xdr:spPr>
        <a:xfrm>
          <a:off x="723900" y="30089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193</xdr:row>
      <xdr:rowOff>114300</xdr:rowOff>
    </xdr:from>
    <xdr:to>
      <xdr:col>4</xdr:col>
      <xdr:colOff>28575</xdr:colOff>
      <xdr:row>194</xdr:row>
      <xdr:rowOff>28575</xdr:rowOff>
    </xdr:to>
    <xdr:sp>
      <xdr:nvSpPr>
        <xdr:cNvPr id="493" name="Line 496"/>
        <xdr:cNvSpPr>
          <a:spLocks/>
        </xdr:cNvSpPr>
      </xdr:nvSpPr>
      <xdr:spPr>
        <a:xfrm flipH="1">
          <a:off x="695325" y="3018472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197</xdr:row>
      <xdr:rowOff>0</xdr:rowOff>
    </xdr:from>
    <xdr:to>
      <xdr:col>10</xdr:col>
      <xdr:colOff>57150</xdr:colOff>
      <xdr:row>197</xdr:row>
      <xdr:rowOff>104775</xdr:rowOff>
    </xdr:to>
    <xdr:sp>
      <xdr:nvSpPr>
        <xdr:cNvPr id="494" name="AutoShape 497"/>
        <xdr:cNvSpPr>
          <a:spLocks/>
        </xdr:cNvSpPr>
      </xdr:nvSpPr>
      <xdr:spPr>
        <a:xfrm>
          <a:off x="1762125" y="307276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197</xdr:row>
      <xdr:rowOff>0</xdr:rowOff>
    </xdr:from>
    <xdr:to>
      <xdr:col>13</xdr:col>
      <xdr:colOff>57150</xdr:colOff>
      <xdr:row>197</xdr:row>
      <xdr:rowOff>104775</xdr:rowOff>
    </xdr:to>
    <xdr:sp>
      <xdr:nvSpPr>
        <xdr:cNvPr id="495" name="AutoShape 498"/>
        <xdr:cNvSpPr>
          <a:spLocks/>
        </xdr:cNvSpPr>
      </xdr:nvSpPr>
      <xdr:spPr>
        <a:xfrm>
          <a:off x="2305050" y="307276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197</xdr:row>
      <xdr:rowOff>9525</xdr:rowOff>
    </xdr:from>
    <xdr:to>
      <xdr:col>16</xdr:col>
      <xdr:colOff>57150</xdr:colOff>
      <xdr:row>197</xdr:row>
      <xdr:rowOff>114300</xdr:rowOff>
    </xdr:to>
    <xdr:sp>
      <xdr:nvSpPr>
        <xdr:cNvPr id="496" name="AutoShape 499"/>
        <xdr:cNvSpPr>
          <a:spLocks/>
        </xdr:cNvSpPr>
      </xdr:nvSpPr>
      <xdr:spPr>
        <a:xfrm>
          <a:off x="2847975" y="3073717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199</xdr:row>
      <xdr:rowOff>19050</xdr:rowOff>
    </xdr:from>
    <xdr:to>
      <xdr:col>10</xdr:col>
      <xdr:colOff>0</xdr:colOff>
      <xdr:row>200</xdr:row>
      <xdr:rowOff>47625</xdr:rowOff>
    </xdr:to>
    <xdr:sp>
      <xdr:nvSpPr>
        <xdr:cNvPr id="497" name="Line 500"/>
        <xdr:cNvSpPr>
          <a:spLocks/>
        </xdr:cNvSpPr>
      </xdr:nvSpPr>
      <xdr:spPr>
        <a:xfrm>
          <a:off x="1809750" y="31070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200</xdr:row>
      <xdr:rowOff>0</xdr:rowOff>
    </xdr:from>
    <xdr:to>
      <xdr:col>18</xdr:col>
      <xdr:colOff>9525</xdr:colOff>
      <xdr:row>200</xdr:row>
      <xdr:rowOff>0</xdr:rowOff>
    </xdr:to>
    <xdr:sp>
      <xdr:nvSpPr>
        <xdr:cNvPr id="498" name="Line 501"/>
        <xdr:cNvSpPr>
          <a:spLocks/>
        </xdr:cNvSpPr>
      </xdr:nvSpPr>
      <xdr:spPr>
        <a:xfrm>
          <a:off x="371475" y="312134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199</xdr:row>
      <xdr:rowOff>28575</xdr:rowOff>
    </xdr:from>
    <xdr:to>
      <xdr:col>16</xdr:col>
      <xdr:colOff>0</xdr:colOff>
      <xdr:row>200</xdr:row>
      <xdr:rowOff>47625</xdr:rowOff>
    </xdr:to>
    <xdr:sp>
      <xdr:nvSpPr>
        <xdr:cNvPr id="499" name="Line 502"/>
        <xdr:cNvSpPr>
          <a:spLocks/>
        </xdr:cNvSpPr>
      </xdr:nvSpPr>
      <xdr:spPr>
        <a:xfrm>
          <a:off x="2895600" y="3108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199</xdr:row>
      <xdr:rowOff>114300</xdr:rowOff>
    </xdr:from>
    <xdr:to>
      <xdr:col>10</xdr:col>
      <xdr:colOff>28575</xdr:colOff>
      <xdr:row>200</xdr:row>
      <xdr:rowOff>28575</xdr:rowOff>
    </xdr:to>
    <xdr:sp>
      <xdr:nvSpPr>
        <xdr:cNvPr id="500" name="Line 503"/>
        <xdr:cNvSpPr>
          <a:spLocks/>
        </xdr:cNvSpPr>
      </xdr:nvSpPr>
      <xdr:spPr>
        <a:xfrm flipH="1">
          <a:off x="1781175" y="311658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199</xdr:row>
      <xdr:rowOff>114300</xdr:rowOff>
    </xdr:from>
    <xdr:to>
      <xdr:col>16</xdr:col>
      <xdr:colOff>28575</xdr:colOff>
      <xdr:row>200</xdr:row>
      <xdr:rowOff>28575</xdr:rowOff>
    </xdr:to>
    <xdr:sp>
      <xdr:nvSpPr>
        <xdr:cNvPr id="501" name="Line 504"/>
        <xdr:cNvSpPr>
          <a:spLocks/>
        </xdr:cNvSpPr>
      </xdr:nvSpPr>
      <xdr:spPr>
        <a:xfrm flipH="1">
          <a:off x="2867025" y="311658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199</xdr:row>
      <xdr:rowOff>28575</xdr:rowOff>
    </xdr:from>
    <xdr:to>
      <xdr:col>13</xdr:col>
      <xdr:colOff>0</xdr:colOff>
      <xdr:row>200</xdr:row>
      <xdr:rowOff>38100</xdr:rowOff>
    </xdr:to>
    <xdr:sp>
      <xdr:nvSpPr>
        <xdr:cNvPr id="502" name="Line 505"/>
        <xdr:cNvSpPr>
          <a:spLocks/>
        </xdr:cNvSpPr>
      </xdr:nvSpPr>
      <xdr:spPr>
        <a:xfrm>
          <a:off x="2352675" y="31080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199</xdr:row>
      <xdr:rowOff>123825</xdr:rowOff>
    </xdr:from>
    <xdr:to>
      <xdr:col>13</xdr:col>
      <xdr:colOff>19050</xdr:colOff>
      <xdr:row>200</xdr:row>
      <xdr:rowOff>28575</xdr:rowOff>
    </xdr:to>
    <xdr:sp>
      <xdr:nvSpPr>
        <xdr:cNvPr id="503" name="Line 506"/>
        <xdr:cNvSpPr>
          <a:spLocks/>
        </xdr:cNvSpPr>
      </xdr:nvSpPr>
      <xdr:spPr>
        <a:xfrm flipH="1">
          <a:off x="2324100" y="31175325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197</xdr:row>
      <xdr:rowOff>0</xdr:rowOff>
    </xdr:from>
    <xdr:to>
      <xdr:col>7</xdr:col>
      <xdr:colOff>57150</xdr:colOff>
      <xdr:row>197</xdr:row>
      <xdr:rowOff>104775</xdr:rowOff>
    </xdr:to>
    <xdr:sp>
      <xdr:nvSpPr>
        <xdr:cNvPr id="504" name="AutoShape 507"/>
        <xdr:cNvSpPr>
          <a:spLocks/>
        </xdr:cNvSpPr>
      </xdr:nvSpPr>
      <xdr:spPr>
        <a:xfrm>
          <a:off x="1219200" y="307276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199</xdr:row>
      <xdr:rowOff>19050</xdr:rowOff>
    </xdr:from>
    <xdr:to>
      <xdr:col>7</xdr:col>
      <xdr:colOff>0</xdr:colOff>
      <xdr:row>200</xdr:row>
      <xdr:rowOff>47625</xdr:rowOff>
    </xdr:to>
    <xdr:sp>
      <xdr:nvSpPr>
        <xdr:cNvPr id="505" name="Line 508"/>
        <xdr:cNvSpPr>
          <a:spLocks/>
        </xdr:cNvSpPr>
      </xdr:nvSpPr>
      <xdr:spPr>
        <a:xfrm>
          <a:off x="1266825" y="31070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199</xdr:row>
      <xdr:rowOff>114300</xdr:rowOff>
    </xdr:from>
    <xdr:to>
      <xdr:col>7</xdr:col>
      <xdr:colOff>28575</xdr:colOff>
      <xdr:row>200</xdr:row>
      <xdr:rowOff>28575</xdr:rowOff>
    </xdr:to>
    <xdr:sp>
      <xdr:nvSpPr>
        <xdr:cNvPr id="506" name="Line 509"/>
        <xdr:cNvSpPr>
          <a:spLocks/>
        </xdr:cNvSpPr>
      </xdr:nvSpPr>
      <xdr:spPr>
        <a:xfrm flipH="1">
          <a:off x="1238250" y="311658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197</xdr:row>
      <xdr:rowOff>0</xdr:rowOff>
    </xdr:from>
    <xdr:to>
      <xdr:col>4</xdr:col>
      <xdr:colOff>57150</xdr:colOff>
      <xdr:row>197</xdr:row>
      <xdr:rowOff>104775</xdr:rowOff>
    </xdr:to>
    <xdr:sp>
      <xdr:nvSpPr>
        <xdr:cNvPr id="507" name="AutoShape 510"/>
        <xdr:cNvSpPr>
          <a:spLocks/>
        </xdr:cNvSpPr>
      </xdr:nvSpPr>
      <xdr:spPr>
        <a:xfrm>
          <a:off x="676275" y="307276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199</xdr:row>
      <xdr:rowOff>19050</xdr:rowOff>
    </xdr:from>
    <xdr:to>
      <xdr:col>4</xdr:col>
      <xdr:colOff>0</xdr:colOff>
      <xdr:row>200</xdr:row>
      <xdr:rowOff>47625</xdr:rowOff>
    </xdr:to>
    <xdr:sp>
      <xdr:nvSpPr>
        <xdr:cNvPr id="508" name="Line 511"/>
        <xdr:cNvSpPr>
          <a:spLocks/>
        </xdr:cNvSpPr>
      </xdr:nvSpPr>
      <xdr:spPr>
        <a:xfrm>
          <a:off x="723900" y="31070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199</xdr:row>
      <xdr:rowOff>114300</xdr:rowOff>
    </xdr:from>
    <xdr:to>
      <xdr:col>4</xdr:col>
      <xdr:colOff>28575</xdr:colOff>
      <xdr:row>200</xdr:row>
      <xdr:rowOff>28575</xdr:rowOff>
    </xdr:to>
    <xdr:sp>
      <xdr:nvSpPr>
        <xdr:cNvPr id="509" name="Line 512"/>
        <xdr:cNvSpPr>
          <a:spLocks/>
        </xdr:cNvSpPr>
      </xdr:nvSpPr>
      <xdr:spPr>
        <a:xfrm flipH="1">
          <a:off x="695325" y="311658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203</xdr:row>
      <xdr:rowOff>0</xdr:rowOff>
    </xdr:from>
    <xdr:to>
      <xdr:col>10</xdr:col>
      <xdr:colOff>57150</xdr:colOff>
      <xdr:row>203</xdr:row>
      <xdr:rowOff>104775</xdr:rowOff>
    </xdr:to>
    <xdr:sp>
      <xdr:nvSpPr>
        <xdr:cNvPr id="510" name="AutoShape 513"/>
        <xdr:cNvSpPr>
          <a:spLocks/>
        </xdr:cNvSpPr>
      </xdr:nvSpPr>
      <xdr:spPr>
        <a:xfrm>
          <a:off x="1762125" y="3170872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203</xdr:row>
      <xdr:rowOff>0</xdr:rowOff>
    </xdr:from>
    <xdr:to>
      <xdr:col>13</xdr:col>
      <xdr:colOff>57150</xdr:colOff>
      <xdr:row>203</xdr:row>
      <xdr:rowOff>104775</xdr:rowOff>
    </xdr:to>
    <xdr:sp>
      <xdr:nvSpPr>
        <xdr:cNvPr id="511" name="AutoShape 514"/>
        <xdr:cNvSpPr>
          <a:spLocks/>
        </xdr:cNvSpPr>
      </xdr:nvSpPr>
      <xdr:spPr>
        <a:xfrm>
          <a:off x="2305050" y="3170872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203</xdr:row>
      <xdr:rowOff>9525</xdr:rowOff>
    </xdr:from>
    <xdr:to>
      <xdr:col>16</xdr:col>
      <xdr:colOff>57150</xdr:colOff>
      <xdr:row>203</xdr:row>
      <xdr:rowOff>114300</xdr:rowOff>
    </xdr:to>
    <xdr:sp>
      <xdr:nvSpPr>
        <xdr:cNvPr id="512" name="AutoShape 515"/>
        <xdr:cNvSpPr>
          <a:spLocks/>
        </xdr:cNvSpPr>
      </xdr:nvSpPr>
      <xdr:spPr>
        <a:xfrm>
          <a:off x="2847975" y="31718250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205</xdr:row>
      <xdr:rowOff>19050</xdr:rowOff>
    </xdr:from>
    <xdr:to>
      <xdr:col>10</xdr:col>
      <xdr:colOff>0</xdr:colOff>
      <xdr:row>206</xdr:row>
      <xdr:rowOff>47625</xdr:rowOff>
    </xdr:to>
    <xdr:sp>
      <xdr:nvSpPr>
        <xdr:cNvPr id="513" name="Line 516"/>
        <xdr:cNvSpPr>
          <a:spLocks/>
        </xdr:cNvSpPr>
      </xdr:nvSpPr>
      <xdr:spPr>
        <a:xfrm>
          <a:off x="1809750" y="3205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206</xdr:row>
      <xdr:rowOff>0</xdr:rowOff>
    </xdr:from>
    <xdr:to>
      <xdr:col>18</xdr:col>
      <xdr:colOff>9525</xdr:colOff>
      <xdr:row>206</xdr:row>
      <xdr:rowOff>0</xdr:rowOff>
    </xdr:to>
    <xdr:sp>
      <xdr:nvSpPr>
        <xdr:cNvPr id="514" name="Line 517"/>
        <xdr:cNvSpPr>
          <a:spLocks/>
        </xdr:cNvSpPr>
      </xdr:nvSpPr>
      <xdr:spPr>
        <a:xfrm>
          <a:off x="371475" y="3219450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205</xdr:row>
      <xdr:rowOff>28575</xdr:rowOff>
    </xdr:from>
    <xdr:to>
      <xdr:col>16</xdr:col>
      <xdr:colOff>0</xdr:colOff>
      <xdr:row>206</xdr:row>
      <xdr:rowOff>47625</xdr:rowOff>
    </xdr:to>
    <xdr:sp>
      <xdr:nvSpPr>
        <xdr:cNvPr id="515" name="Line 518"/>
        <xdr:cNvSpPr>
          <a:spLocks/>
        </xdr:cNvSpPr>
      </xdr:nvSpPr>
      <xdr:spPr>
        <a:xfrm>
          <a:off x="2895600" y="320611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205</xdr:row>
      <xdr:rowOff>114300</xdr:rowOff>
    </xdr:from>
    <xdr:to>
      <xdr:col>10</xdr:col>
      <xdr:colOff>28575</xdr:colOff>
      <xdr:row>206</xdr:row>
      <xdr:rowOff>28575</xdr:rowOff>
    </xdr:to>
    <xdr:sp>
      <xdr:nvSpPr>
        <xdr:cNvPr id="516" name="Line 519"/>
        <xdr:cNvSpPr>
          <a:spLocks/>
        </xdr:cNvSpPr>
      </xdr:nvSpPr>
      <xdr:spPr>
        <a:xfrm flipH="1">
          <a:off x="1781175" y="3214687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205</xdr:row>
      <xdr:rowOff>114300</xdr:rowOff>
    </xdr:from>
    <xdr:to>
      <xdr:col>16</xdr:col>
      <xdr:colOff>28575</xdr:colOff>
      <xdr:row>206</xdr:row>
      <xdr:rowOff>28575</xdr:rowOff>
    </xdr:to>
    <xdr:sp>
      <xdr:nvSpPr>
        <xdr:cNvPr id="517" name="Line 520"/>
        <xdr:cNvSpPr>
          <a:spLocks/>
        </xdr:cNvSpPr>
      </xdr:nvSpPr>
      <xdr:spPr>
        <a:xfrm flipH="1">
          <a:off x="2867025" y="3214687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205</xdr:row>
      <xdr:rowOff>28575</xdr:rowOff>
    </xdr:from>
    <xdr:to>
      <xdr:col>13</xdr:col>
      <xdr:colOff>0</xdr:colOff>
      <xdr:row>206</xdr:row>
      <xdr:rowOff>38100</xdr:rowOff>
    </xdr:to>
    <xdr:sp>
      <xdr:nvSpPr>
        <xdr:cNvPr id="518" name="Line 521"/>
        <xdr:cNvSpPr>
          <a:spLocks/>
        </xdr:cNvSpPr>
      </xdr:nvSpPr>
      <xdr:spPr>
        <a:xfrm>
          <a:off x="2352675" y="32061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205</xdr:row>
      <xdr:rowOff>123825</xdr:rowOff>
    </xdr:from>
    <xdr:to>
      <xdr:col>13</xdr:col>
      <xdr:colOff>19050</xdr:colOff>
      <xdr:row>206</xdr:row>
      <xdr:rowOff>28575</xdr:rowOff>
    </xdr:to>
    <xdr:sp>
      <xdr:nvSpPr>
        <xdr:cNvPr id="519" name="Line 522"/>
        <xdr:cNvSpPr>
          <a:spLocks/>
        </xdr:cNvSpPr>
      </xdr:nvSpPr>
      <xdr:spPr>
        <a:xfrm flipH="1">
          <a:off x="2324100" y="32156400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203</xdr:row>
      <xdr:rowOff>0</xdr:rowOff>
    </xdr:from>
    <xdr:to>
      <xdr:col>7</xdr:col>
      <xdr:colOff>57150</xdr:colOff>
      <xdr:row>203</xdr:row>
      <xdr:rowOff>104775</xdr:rowOff>
    </xdr:to>
    <xdr:sp>
      <xdr:nvSpPr>
        <xdr:cNvPr id="520" name="AutoShape 523"/>
        <xdr:cNvSpPr>
          <a:spLocks/>
        </xdr:cNvSpPr>
      </xdr:nvSpPr>
      <xdr:spPr>
        <a:xfrm>
          <a:off x="1219200" y="3170872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205</xdr:row>
      <xdr:rowOff>19050</xdr:rowOff>
    </xdr:from>
    <xdr:to>
      <xdr:col>7</xdr:col>
      <xdr:colOff>0</xdr:colOff>
      <xdr:row>206</xdr:row>
      <xdr:rowOff>47625</xdr:rowOff>
    </xdr:to>
    <xdr:sp>
      <xdr:nvSpPr>
        <xdr:cNvPr id="521" name="Line 524"/>
        <xdr:cNvSpPr>
          <a:spLocks/>
        </xdr:cNvSpPr>
      </xdr:nvSpPr>
      <xdr:spPr>
        <a:xfrm>
          <a:off x="1266825" y="3205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205</xdr:row>
      <xdr:rowOff>114300</xdr:rowOff>
    </xdr:from>
    <xdr:to>
      <xdr:col>7</xdr:col>
      <xdr:colOff>28575</xdr:colOff>
      <xdr:row>206</xdr:row>
      <xdr:rowOff>28575</xdr:rowOff>
    </xdr:to>
    <xdr:sp>
      <xdr:nvSpPr>
        <xdr:cNvPr id="522" name="Line 525"/>
        <xdr:cNvSpPr>
          <a:spLocks/>
        </xdr:cNvSpPr>
      </xdr:nvSpPr>
      <xdr:spPr>
        <a:xfrm flipH="1">
          <a:off x="1238250" y="3214687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203</xdr:row>
      <xdr:rowOff>0</xdr:rowOff>
    </xdr:from>
    <xdr:to>
      <xdr:col>4</xdr:col>
      <xdr:colOff>57150</xdr:colOff>
      <xdr:row>203</xdr:row>
      <xdr:rowOff>104775</xdr:rowOff>
    </xdr:to>
    <xdr:sp>
      <xdr:nvSpPr>
        <xdr:cNvPr id="523" name="AutoShape 526"/>
        <xdr:cNvSpPr>
          <a:spLocks/>
        </xdr:cNvSpPr>
      </xdr:nvSpPr>
      <xdr:spPr>
        <a:xfrm>
          <a:off x="676275" y="31708725"/>
          <a:ext cx="1047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205</xdr:row>
      <xdr:rowOff>19050</xdr:rowOff>
    </xdr:from>
    <xdr:to>
      <xdr:col>4</xdr:col>
      <xdr:colOff>0</xdr:colOff>
      <xdr:row>206</xdr:row>
      <xdr:rowOff>47625</xdr:rowOff>
    </xdr:to>
    <xdr:sp>
      <xdr:nvSpPr>
        <xdr:cNvPr id="524" name="Line 527"/>
        <xdr:cNvSpPr>
          <a:spLocks/>
        </xdr:cNvSpPr>
      </xdr:nvSpPr>
      <xdr:spPr>
        <a:xfrm>
          <a:off x="723900" y="3205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205</xdr:row>
      <xdr:rowOff>114300</xdr:rowOff>
    </xdr:from>
    <xdr:to>
      <xdr:col>4</xdr:col>
      <xdr:colOff>28575</xdr:colOff>
      <xdr:row>206</xdr:row>
      <xdr:rowOff>28575</xdr:rowOff>
    </xdr:to>
    <xdr:sp>
      <xdr:nvSpPr>
        <xdr:cNvPr id="525" name="Line 528"/>
        <xdr:cNvSpPr>
          <a:spLocks/>
        </xdr:cNvSpPr>
      </xdr:nvSpPr>
      <xdr:spPr>
        <a:xfrm flipH="1">
          <a:off x="695325" y="3214687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07"/>
  <sheetViews>
    <sheetView showGridLines="0" tabSelected="1" workbookViewId="0" topLeftCell="A1">
      <selection activeCell="L3" sqref="L3"/>
    </sheetView>
  </sheetViews>
  <sheetFormatPr defaultColWidth="9.140625" defaultRowHeight="12.75"/>
  <cols>
    <col min="1" max="16384" width="2.7109375" style="2" customWidth="1"/>
  </cols>
  <sheetData>
    <row r="1" spans="1:75" ht="39" customHeight="1">
      <c r="A1" s="56" t="s">
        <v>685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</row>
    <row r="2" spans="1:75" ht="11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6"/>
      <c r="AA2" s="7"/>
      <c r="AB2" s="7"/>
      <c r="AC2" s="7" t="s">
        <v>8</v>
      </c>
      <c r="AD2" s="52">
        <v>3</v>
      </c>
      <c r="AE2" s="52"/>
      <c r="AF2" s="7"/>
      <c r="AG2" s="7"/>
      <c r="AH2" s="6"/>
      <c r="AI2" s="7"/>
      <c r="AJ2" s="7"/>
      <c r="AK2" s="7" t="s">
        <v>14</v>
      </c>
      <c r="AL2" s="52">
        <v>32</v>
      </c>
      <c r="AM2" s="52"/>
      <c r="AN2" s="7"/>
      <c r="AO2" s="8"/>
      <c r="AP2" s="6"/>
      <c r="AQ2" s="7"/>
      <c r="AR2" s="7"/>
      <c r="AS2" s="7" t="s">
        <v>14</v>
      </c>
      <c r="AT2" s="52">
        <v>15</v>
      </c>
      <c r="AU2" s="52"/>
      <c r="AV2" s="54">
        <f>+AT2</f>
        <v>15</v>
      </c>
      <c r="AW2" s="54"/>
      <c r="AY2" s="8"/>
      <c r="AZ2" s="6"/>
      <c r="BA2" s="7"/>
      <c r="BB2" s="7"/>
      <c r="BC2" s="7" t="s">
        <v>8</v>
      </c>
      <c r="BD2" s="52">
        <v>3.8</v>
      </c>
      <c r="BE2" s="52"/>
      <c r="BF2" s="7"/>
      <c r="BG2" s="8"/>
      <c r="BH2" s="7"/>
      <c r="BI2" s="7"/>
      <c r="BJ2" s="7"/>
      <c r="BK2" s="7"/>
      <c r="BL2" s="7" t="s">
        <v>8</v>
      </c>
      <c r="BM2" s="52">
        <v>2.65</v>
      </c>
      <c r="BN2" s="52"/>
      <c r="BO2" s="8"/>
      <c r="BP2" s="7"/>
      <c r="BQ2" s="7"/>
      <c r="BR2" s="7"/>
      <c r="BS2" s="7"/>
      <c r="BT2" s="7" t="s">
        <v>8</v>
      </c>
      <c r="BU2" s="52">
        <v>3.2</v>
      </c>
      <c r="BV2" s="52"/>
      <c r="BW2" s="8"/>
    </row>
    <row r="3" spans="1:75" ht="11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6"/>
      <c r="AA3" s="7"/>
      <c r="AB3" s="7"/>
      <c r="AC3" s="7"/>
      <c r="AD3" s="7"/>
      <c r="AE3" s="7"/>
      <c r="AF3" s="7"/>
      <c r="AG3" s="7"/>
      <c r="AH3" s="6"/>
      <c r="AI3" s="7"/>
      <c r="AJ3" s="7"/>
      <c r="AK3" s="7"/>
      <c r="AL3" s="7"/>
      <c r="AM3" s="7"/>
      <c r="AN3" s="7"/>
      <c r="AO3" s="8"/>
      <c r="AP3" s="6"/>
      <c r="AQ3" s="7"/>
      <c r="AR3" s="7"/>
      <c r="AS3" s="7"/>
      <c r="AT3" s="7"/>
      <c r="AU3" s="7"/>
      <c r="AV3" s="7"/>
      <c r="AW3" s="7"/>
      <c r="AZ3" s="6"/>
      <c r="BA3" s="7"/>
      <c r="BB3" s="7"/>
      <c r="BC3" s="7"/>
      <c r="BD3" s="7"/>
      <c r="BE3" s="7"/>
      <c r="BF3" s="7"/>
      <c r="BG3" s="8"/>
      <c r="BH3" s="7"/>
      <c r="BI3" s="7"/>
      <c r="BJ3" s="7"/>
      <c r="BK3" s="7"/>
      <c r="BL3" s="7"/>
      <c r="BM3" s="7"/>
      <c r="BN3" s="7"/>
      <c r="BO3" s="8"/>
      <c r="BP3" s="7"/>
      <c r="BQ3" s="7"/>
      <c r="BR3" s="7"/>
      <c r="BS3" s="7"/>
      <c r="BT3" s="7"/>
      <c r="BU3" s="7"/>
      <c r="BV3" s="7"/>
      <c r="BW3" s="8"/>
    </row>
    <row r="4" spans="1:75" ht="12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6"/>
      <c r="AA4" s="7"/>
      <c r="AB4" s="9"/>
      <c r="AC4" s="9"/>
      <c r="AD4" s="9"/>
      <c r="AE4" s="9"/>
      <c r="AF4" s="10"/>
      <c r="AG4" s="7"/>
      <c r="AH4" s="6"/>
      <c r="AI4" s="7"/>
      <c r="AJ4" s="7"/>
      <c r="AK4" s="7"/>
      <c r="AL4" s="7"/>
      <c r="AM4" s="7"/>
      <c r="AN4" s="7"/>
      <c r="AO4" s="8"/>
      <c r="AP4" s="6"/>
      <c r="AQ4" s="7"/>
      <c r="AR4" s="7"/>
      <c r="AS4" s="7"/>
      <c r="AT4" s="7"/>
      <c r="AU4" s="7"/>
      <c r="AV4" s="7"/>
      <c r="AW4" s="7"/>
      <c r="AX4" s="7"/>
      <c r="AY4" s="8"/>
      <c r="AZ4" s="6"/>
      <c r="BA4" s="7"/>
      <c r="BB4" s="7"/>
      <c r="BC4" s="7"/>
      <c r="BD4" s="7"/>
      <c r="BE4" s="7"/>
      <c r="BF4" s="7"/>
      <c r="BG4" s="8"/>
      <c r="BH4" s="7"/>
      <c r="BI4" s="7"/>
      <c r="BJ4" s="7"/>
      <c r="BK4" s="7"/>
      <c r="BL4" s="7"/>
      <c r="BM4" s="7"/>
      <c r="BN4" s="7"/>
      <c r="BO4" s="8"/>
      <c r="BP4" s="7"/>
      <c r="BQ4" s="7"/>
      <c r="BR4" s="7"/>
      <c r="BS4" s="7"/>
      <c r="BT4" s="7"/>
      <c r="BU4" s="7"/>
      <c r="BV4" s="7"/>
      <c r="BW4" s="8"/>
    </row>
    <row r="5" spans="1:75" ht="11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6"/>
      <c r="AA5" s="7"/>
      <c r="AB5" s="11"/>
      <c r="AC5" s="11"/>
      <c r="AD5" s="11"/>
      <c r="AE5" s="11"/>
      <c r="AF5" s="7"/>
      <c r="AG5" s="7"/>
      <c r="AH5" s="6"/>
      <c r="AI5" s="7"/>
      <c r="AJ5" s="7"/>
      <c r="AK5" s="7"/>
      <c r="AL5" s="7"/>
      <c r="AM5" s="7"/>
      <c r="AN5" s="7"/>
      <c r="AO5" s="8"/>
      <c r="AP5" s="6"/>
      <c r="AQ5" s="7"/>
      <c r="AR5" s="7"/>
      <c r="AS5" s="7"/>
      <c r="AT5" s="7"/>
      <c r="AU5" s="7"/>
      <c r="AV5" s="7"/>
      <c r="AW5" s="7"/>
      <c r="AX5" s="7"/>
      <c r="AY5" s="8"/>
      <c r="AZ5" s="6"/>
      <c r="BA5" s="7"/>
      <c r="BB5" s="7"/>
      <c r="BC5" s="7"/>
      <c r="BD5" s="7"/>
      <c r="BE5" s="7"/>
      <c r="BF5" s="7"/>
      <c r="BG5" s="8"/>
      <c r="BH5" s="7"/>
      <c r="BI5" s="7" t="s">
        <v>674</v>
      </c>
      <c r="BJ5" s="7"/>
      <c r="BK5" s="7" t="s">
        <v>676</v>
      </c>
      <c r="BL5" s="7"/>
      <c r="BM5" s="7" t="s">
        <v>675</v>
      </c>
      <c r="BN5" s="7"/>
      <c r="BO5" s="8"/>
      <c r="BP5" s="7"/>
      <c r="BQ5" s="7" t="s">
        <v>677</v>
      </c>
      <c r="BR5" s="7"/>
      <c r="BS5" s="7" t="s">
        <v>675</v>
      </c>
      <c r="BT5" s="7"/>
      <c r="BU5" s="7" t="s">
        <v>678</v>
      </c>
      <c r="BV5" s="7"/>
      <c r="BW5" s="8"/>
    </row>
    <row r="6" spans="1:75" ht="11.25">
      <c r="A6" s="6"/>
      <c r="B6" s="7"/>
      <c r="C6" s="7"/>
      <c r="D6" s="7"/>
      <c r="E6" s="1" t="s">
        <v>670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6"/>
      <c r="AA6" s="7"/>
      <c r="AB6" s="7"/>
      <c r="AC6" s="12"/>
      <c r="AD6" s="7"/>
      <c r="AE6" s="7"/>
      <c r="AF6" s="7"/>
      <c r="AG6" s="7"/>
      <c r="AH6" s="6"/>
      <c r="AI6" s="7"/>
      <c r="AJ6" s="51">
        <f>+AK8/2</f>
        <v>2</v>
      </c>
      <c r="AK6" s="51"/>
      <c r="AL6" s="51">
        <f>+AK8/2</f>
        <v>2</v>
      </c>
      <c r="AM6" s="51"/>
      <c r="AN6" s="7"/>
      <c r="AO6" s="8"/>
      <c r="AP6" s="6"/>
      <c r="AQ6" s="7"/>
      <c r="AR6" s="7"/>
      <c r="AS6" s="51">
        <f>+AU8/3</f>
        <v>1.1666666666666667</v>
      </c>
      <c r="AT6" s="51"/>
      <c r="AU6" s="51">
        <f>+AS6</f>
        <v>1.1666666666666667</v>
      </c>
      <c r="AV6" s="51"/>
      <c r="AW6" s="51">
        <f>+AS6</f>
        <v>1.1666666666666667</v>
      </c>
      <c r="AX6" s="51"/>
      <c r="AY6" s="8"/>
      <c r="AZ6" s="6"/>
      <c r="BA6" s="7"/>
      <c r="BB6" s="51">
        <f>+BC8/2</f>
        <v>1.425</v>
      </c>
      <c r="BC6" s="51"/>
      <c r="BD6" s="51">
        <f>+BC8/2</f>
        <v>1.425</v>
      </c>
      <c r="BE6" s="51"/>
      <c r="BF6" s="7"/>
      <c r="BG6" s="8"/>
      <c r="BH6" s="7"/>
      <c r="BI6" s="51">
        <f>0.4*BK8</f>
        <v>1.7000000000000002</v>
      </c>
      <c r="BJ6" s="51"/>
      <c r="BK6" s="51">
        <f>BK8*0.2</f>
        <v>0.8500000000000001</v>
      </c>
      <c r="BL6" s="51"/>
      <c r="BM6" s="51">
        <f>+BI6</f>
        <v>1.7000000000000002</v>
      </c>
      <c r="BN6" s="51"/>
      <c r="BO6" s="8"/>
      <c r="BP6" s="7"/>
      <c r="BQ6" s="51">
        <f>0.3*BS8</f>
        <v>1.095</v>
      </c>
      <c r="BR6" s="51"/>
      <c r="BS6" s="51">
        <f>BS8*0.4</f>
        <v>1.46</v>
      </c>
      <c r="BT6" s="51"/>
      <c r="BU6" s="51">
        <f>+BQ6</f>
        <v>1.095</v>
      </c>
      <c r="BV6" s="51"/>
      <c r="BW6" s="8"/>
    </row>
    <row r="7" spans="1:75" ht="11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6"/>
      <c r="AA7" s="7"/>
      <c r="AB7" s="13" t="s">
        <v>13</v>
      </c>
      <c r="AC7" s="52">
        <v>4.5</v>
      </c>
      <c r="AD7" s="52"/>
      <c r="AE7" s="7"/>
      <c r="AF7" s="7"/>
      <c r="AG7" s="7"/>
      <c r="AH7" s="6"/>
      <c r="AI7" s="7"/>
      <c r="AJ7" s="7"/>
      <c r="AK7" s="7"/>
      <c r="AL7" s="7"/>
      <c r="AM7" s="7"/>
      <c r="AN7" s="7"/>
      <c r="AO7" s="8"/>
      <c r="AP7" s="6"/>
      <c r="AQ7" s="7"/>
      <c r="AR7" s="7"/>
      <c r="AS7" s="7"/>
      <c r="AT7" s="7"/>
      <c r="AU7" s="7"/>
      <c r="AV7" s="7"/>
      <c r="AW7" s="7"/>
      <c r="AX7" s="7"/>
      <c r="AY7" s="8"/>
      <c r="AZ7" s="6"/>
      <c r="BA7" s="7"/>
      <c r="BB7" s="7"/>
      <c r="BC7" s="7"/>
      <c r="BD7" s="7"/>
      <c r="BE7" s="7"/>
      <c r="BF7" s="7"/>
      <c r="BG7" s="8"/>
      <c r="BH7" s="7"/>
      <c r="BI7" s="7"/>
      <c r="BJ7" s="7"/>
      <c r="BK7" s="7"/>
      <c r="BL7" s="7"/>
      <c r="BM7" s="7"/>
      <c r="BN7" s="7"/>
      <c r="BO7" s="8"/>
      <c r="BP7" s="7"/>
      <c r="BQ7" s="7"/>
      <c r="BR7" s="7"/>
      <c r="BS7" s="7"/>
      <c r="BT7" s="7"/>
      <c r="BU7" s="7"/>
      <c r="BV7" s="7"/>
      <c r="BW7" s="8"/>
    </row>
    <row r="8" spans="1:75" ht="11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6"/>
      <c r="AA8" s="7"/>
      <c r="AB8" s="7"/>
      <c r="AC8" s="7"/>
      <c r="AD8" s="7"/>
      <c r="AE8" s="7"/>
      <c r="AF8" s="7"/>
      <c r="AG8" s="7"/>
      <c r="AH8" s="6"/>
      <c r="AI8" s="7"/>
      <c r="AJ8" s="13" t="s">
        <v>13</v>
      </c>
      <c r="AK8" s="52">
        <v>4</v>
      </c>
      <c r="AL8" s="52"/>
      <c r="AM8" s="7"/>
      <c r="AN8" s="7"/>
      <c r="AO8" s="8"/>
      <c r="AP8" s="6"/>
      <c r="AQ8" s="7"/>
      <c r="AR8" s="7"/>
      <c r="AS8" s="13"/>
      <c r="AT8" s="7" t="s">
        <v>13</v>
      </c>
      <c r="AU8" s="52">
        <v>3.5</v>
      </c>
      <c r="AV8" s="52"/>
      <c r="AW8" s="7"/>
      <c r="AX8" s="7"/>
      <c r="AY8" s="8"/>
      <c r="AZ8" s="6"/>
      <c r="BA8" s="7"/>
      <c r="BB8" s="13" t="s">
        <v>13</v>
      </c>
      <c r="BC8" s="52">
        <v>2.85</v>
      </c>
      <c r="BD8" s="52"/>
      <c r="BE8" s="7"/>
      <c r="BF8" s="7"/>
      <c r="BG8" s="8"/>
      <c r="BH8" s="7"/>
      <c r="BI8" s="13"/>
      <c r="BJ8" s="7" t="s">
        <v>13</v>
      </c>
      <c r="BK8" s="52">
        <v>4.25</v>
      </c>
      <c r="BL8" s="52"/>
      <c r="BM8" s="10"/>
      <c r="BN8" s="7"/>
      <c r="BO8" s="8"/>
      <c r="BP8" s="7"/>
      <c r="BQ8" s="13"/>
      <c r="BR8" s="7" t="s">
        <v>13</v>
      </c>
      <c r="BS8" s="52">
        <v>3.65</v>
      </c>
      <c r="BT8" s="52"/>
      <c r="BU8" s="10"/>
      <c r="BV8" s="7"/>
      <c r="BW8" s="8"/>
    </row>
    <row r="9" spans="1:75" ht="11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6"/>
      <c r="AA9" s="7"/>
      <c r="AB9" s="7"/>
      <c r="AC9" s="7"/>
      <c r="AD9" s="7"/>
      <c r="AE9" s="7"/>
      <c r="AF9" s="7"/>
      <c r="AG9" s="7"/>
      <c r="AH9" s="6"/>
      <c r="AI9" s="7"/>
      <c r="AJ9" s="7"/>
      <c r="AK9" s="7"/>
      <c r="AL9" s="7"/>
      <c r="AM9" s="7"/>
      <c r="AN9" s="7"/>
      <c r="AO9" s="8"/>
      <c r="AP9" s="6"/>
      <c r="AQ9" s="7"/>
      <c r="AR9" s="7"/>
      <c r="AS9" s="7"/>
      <c r="AT9" s="7"/>
      <c r="AU9" s="7"/>
      <c r="AV9" s="7"/>
      <c r="AW9" s="7"/>
      <c r="AX9" s="7"/>
      <c r="AY9" s="8"/>
      <c r="AZ9" s="6"/>
      <c r="BA9" s="7"/>
      <c r="BB9" s="7"/>
      <c r="BC9" s="7"/>
      <c r="BD9" s="7"/>
      <c r="BE9" s="7"/>
      <c r="BF9" s="7"/>
      <c r="BG9" s="8"/>
      <c r="BH9" s="7"/>
      <c r="BI9" s="7"/>
      <c r="BJ9" s="7"/>
      <c r="BK9" s="7"/>
      <c r="BL9" s="7"/>
      <c r="BM9" s="7"/>
      <c r="BN9" s="7"/>
      <c r="BO9" s="8"/>
      <c r="BP9" s="7"/>
      <c r="BQ9" s="7"/>
      <c r="BR9" s="7"/>
      <c r="BS9" s="7"/>
      <c r="BT9" s="7"/>
      <c r="BU9" s="7"/>
      <c r="BV9" s="7"/>
      <c r="BW9" s="8"/>
    </row>
    <row r="10" spans="1:75" ht="12" thickBo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4"/>
      <c r="AA10" s="15"/>
      <c r="AB10" s="15"/>
      <c r="AC10" s="15"/>
      <c r="AD10" s="15"/>
      <c r="AE10" s="15"/>
      <c r="AF10" s="15"/>
      <c r="AG10" s="15"/>
      <c r="AH10" s="14"/>
      <c r="AI10" s="15"/>
      <c r="AJ10" s="15"/>
      <c r="AK10" s="15"/>
      <c r="AL10" s="15"/>
      <c r="AM10" s="15"/>
      <c r="AN10" s="15"/>
      <c r="AO10" s="16"/>
      <c r="AP10" s="14"/>
      <c r="AQ10" s="15"/>
      <c r="AR10" s="15"/>
      <c r="AS10" s="15"/>
      <c r="AT10" s="15"/>
      <c r="AU10" s="15"/>
      <c r="AV10" s="15"/>
      <c r="AW10" s="15"/>
      <c r="AX10" s="15"/>
      <c r="AY10" s="16"/>
      <c r="AZ10" s="14"/>
      <c r="BA10" s="15" t="s">
        <v>26</v>
      </c>
      <c r="BB10" s="15"/>
      <c r="BC10" s="15"/>
      <c r="BD10" s="15"/>
      <c r="BE10" s="53">
        <f>0.5*BD2*BC8</f>
        <v>5.415</v>
      </c>
      <c r="BF10" s="53"/>
      <c r="BG10" s="16"/>
      <c r="BH10" s="15"/>
      <c r="BI10" s="15" t="s">
        <v>31</v>
      </c>
      <c r="BJ10" s="15"/>
      <c r="BK10" s="15"/>
      <c r="BL10" s="15"/>
      <c r="BM10" s="53">
        <f>0.6*BM2*BK8</f>
        <v>6.757499999999999</v>
      </c>
      <c r="BN10" s="53"/>
      <c r="BO10" s="16"/>
      <c r="BP10" s="15"/>
      <c r="BQ10" s="15" t="s">
        <v>37</v>
      </c>
      <c r="BR10" s="15"/>
      <c r="BS10" s="15"/>
      <c r="BT10" s="15"/>
      <c r="BU10" s="53">
        <f>0.7*BU2*BS8</f>
        <v>8.175999999999998</v>
      </c>
      <c r="BV10" s="53"/>
      <c r="BW10" s="16"/>
    </row>
    <row r="11" spans="1:75" ht="12" thickTop="1">
      <c r="A11" s="60" t="s">
        <v>680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Z11" s="17"/>
      <c r="AA11" s="18"/>
      <c r="AB11" s="18"/>
      <c r="AC11" s="18"/>
      <c r="AD11" s="18"/>
      <c r="AE11" s="18"/>
      <c r="AF11" s="18"/>
      <c r="AG11" s="18"/>
      <c r="AH11" s="17"/>
      <c r="AI11" s="18"/>
      <c r="AJ11" s="18"/>
      <c r="AK11" s="18"/>
      <c r="AL11" s="18"/>
      <c r="AM11" s="18"/>
      <c r="AN11" s="18"/>
      <c r="AO11" s="19"/>
      <c r="AP11" s="17"/>
      <c r="AQ11" s="18"/>
      <c r="AR11" s="18"/>
      <c r="AS11" s="18"/>
      <c r="AT11" s="18"/>
      <c r="AU11" s="18"/>
      <c r="AV11" s="18"/>
      <c r="AW11" s="18"/>
      <c r="AX11" s="18"/>
      <c r="AY11" s="19"/>
      <c r="AZ11" s="17"/>
      <c r="BA11" s="18"/>
      <c r="BB11" s="18"/>
      <c r="BC11" s="18"/>
      <c r="BD11" s="18"/>
      <c r="BE11" s="18"/>
      <c r="BF11" s="18"/>
      <c r="BG11" s="19"/>
      <c r="BH11" s="18"/>
      <c r="BI11" s="18"/>
      <c r="BJ11" s="18"/>
      <c r="BK11" s="18"/>
      <c r="BL11" s="18"/>
      <c r="BM11" s="18"/>
      <c r="BN11" s="18"/>
      <c r="BO11" s="19"/>
      <c r="BP11" s="18"/>
      <c r="BQ11" s="18"/>
      <c r="BR11" s="18"/>
      <c r="BS11" s="18"/>
      <c r="BT11" s="18"/>
      <c r="BU11" s="18"/>
      <c r="BV11" s="18"/>
      <c r="BW11" s="19"/>
    </row>
    <row r="12" spans="1:75" ht="11.25">
      <c r="A12" s="5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 t="s">
        <v>3</v>
      </c>
      <c r="V12" s="7"/>
      <c r="W12" s="7"/>
      <c r="X12" s="7"/>
      <c r="Z12" s="6"/>
      <c r="AA12" s="7" t="s">
        <v>7</v>
      </c>
      <c r="AB12" s="7"/>
      <c r="AC12" s="7"/>
      <c r="AD12" s="7"/>
      <c r="AE12" s="49">
        <f>0.07*$AD$2*$AC$7^2</f>
        <v>4.2525</v>
      </c>
      <c r="AF12" s="49"/>
      <c r="AG12" s="49"/>
      <c r="AH12" s="6"/>
      <c r="AI12" s="21" t="s">
        <v>15</v>
      </c>
      <c r="AJ12" s="7"/>
      <c r="AK12" s="7"/>
      <c r="AL12" s="7"/>
      <c r="AM12" s="49">
        <f>0.156*$AL$2*$AK$8</f>
        <v>19.968</v>
      </c>
      <c r="AN12" s="49"/>
      <c r="AO12" s="50"/>
      <c r="AP12" s="6"/>
      <c r="AQ12" s="21" t="s">
        <v>21</v>
      </c>
      <c r="AR12" s="7"/>
      <c r="AS12" s="7"/>
      <c r="AT12" s="7"/>
      <c r="AU12" s="7"/>
      <c r="AV12" s="7"/>
      <c r="AW12" s="49">
        <f>(0.222/0.111)*$AT$2*$AU$8</f>
        <v>105</v>
      </c>
      <c r="AX12" s="49"/>
      <c r="AY12" s="50"/>
      <c r="AZ12" s="6"/>
      <c r="BA12" s="21" t="s">
        <v>27</v>
      </c>
      <c r="BB12" s="7"/>
      <c r="BC12" s="7"/>
      <c r="BD12" s="7"/>
      <c r="BE12" s="49">
        <f>0.095*$BE$10*$BC$8</f>
        <v>1.4661112500000002</v>
      </c>
      <c r="BF12" s="49"/>
      <c r="BG12" s="50"/>
      <c r="BH12" s="7"/>
      <c r="BI12" s="21" t="s">
        <v>32</v>
      </c>
      <c r="BJ12" s="7"/>
      <c r="BK12" s="7"/>
      <c r="BL12" s="7"/>
      <c r="BM12" s="49">
        <f>0.094*$BM$10*$BK$8</f>
        <v>2.6996212499999994</v>
      </c>
      <c r="BN12" s="49"/>
      <c r="BO12" s="50"/>
      <c r="BP12" s="7"/>
      <c r="BQ12" s="21" t="s">
        <v>38</v>
      </c>
      <c r="BR12" s="7"/>
      <c r="BS12" s="7"/>
      <c r="BT12" s="7"/>
      <c r="BU12" s="49">
        <f>0.089*$BU$10*$BS$8</f>
        <v>2.6559735999999994</v>
      </c>
      <c r="BV12" s="49"/>
      <c r="BW12" s="50"/>
    </row>
    <row r="13" spans="1:75" ht="11.25">
      <c r="A13" s="5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23"/>
      <c r="N13" s="23"/>
      <c r="O13" s="23"/>
      <c r="P13" s="23"/>
      <c r="Q13" s="23"/>
      <c r="R13" s="23"/>
      <c r="S13" s="7"/>
      <c r="T13" s="7"/>
      <c r="U13" s="7" t="s">
        <v>4</v>
      </c>
      <c r="V13" s="7"/>
      <c r="W13" s="7"/>
      <c r="X13" s="7"/>
      <c r="Z13" s="6"/>
      <c r="AA13" s="21" t="s">
        <v>9</v>
      </c>
      <c r="AB13" s="7"/>
      <c r="AC13" s="7"/>
      <c r="AD13" s="7"/>
      <c r="AE13" s="49">
        <f>-0.125*$AD$2*$AC$7^2</f>
        <v>-7.59375</v>
      </c>
      <c r="AF13" s="49"/>
      <c r="AG13" s="49"/>
      <c r="AH13" s="6"/>
      <c r="AI13" s="21" t="s">
        <v>16</v>
      </c>
      <c r="AJ13" s="7"/>
      <c r="AK13" s="7"/>
      <c r="AL13" s="7"/>
      <c r="AM13" s="49">
        <f>-0.188*$AL$2*$AK$8</f>
        <v>-24.064</v>
      </c>
      <c r="AN13" s="49"/>
      <c r="AO13" s="50"/>
      <c r="AP13" s="6"/>
      <c r="AQ13" s="7"/>
      <c r="AR13" s="7"/>
      <c r="AS13" s="21" t="s">
        <v>22</v>
      </c>
      <c r="AT13" s="7"/>
      <c r="AU13" s="7"/>
      <c r="AV13" s="7"/>
      <c r="AW13" s="49">
        <f>-0.333*$AT$2*$AU$8</f>
        <v>-17.4825</v>
      </c>
      <c r="AX13" s="49"/>
      <c r="AY13" s="50"/>
      <c r="AZ13" s="6"/>
      <c r="BA13" s="21" t="s">
        <v>28</v>
      </c>
      <c r="BB13" s="7"/>
      <c r="BC13" s="7"/>
      <c r="BD13" s="7"/>
      <c r="BE13" s="49">
        <f>-0.156*$BE$10*$BC$8</f>
        <v>-2.407509</v>
      </c>
      <c r="BF13" s="49"/>
      <c r="BG13" s="50"/>
      <c r="BH13" s="7"/>
      <c r="BI13" s="21" t="s">
        <v>33</v>
      </c>
      <c r="BJ13" s="7"/>
      <c r="BK13" s="7"/>
      <c r="BL13" s="7"/>
      <c r="BM13" s="49">
        <f>-0.155*$BM$10*$BK$8</f>
        <v>-4.4515031249999995</v>
      </c>
      <c r="BN13" s="49"/>
      <c r="BO13" s="50"/>
      <c r="BP13" s="7"/>
      <c r="BQ13" s="21" t="s">
        <v>39</v>
      </c>
      <c r="BR13" s="7"/>
      <c r="BS13" s="7"/>
      <c r="BT13" s="7"/>
      <c r="BU13" s="49">
        <f>-0.151*$BU$10*$BS$8</f>
        <v>-4.5062023999999985</v>
      </c>
      <c r="BV13" s="49"/>
      <c r="BW13" s="50"/>
    </row>
    <row r="14" spans="1:75" ht="12.75" customHeight="1">
      <c r="A14" s="5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2">
        <v>1</v>
      </c>
      <c r="O14" s="7"/>
      <c r="P14" s="7"/>
      <c r="Q14" s="12">
        <v>2</v>
      </c>
      <c r="R14" s="7"/>
      <c r="S14" s="7"/>
      <c r="T14" s="7"/>
      <c r="U14" s="7" t="s">
        <v>0</v>
      </c>
      <c r="V14" s="7"/>
      <c r="W14" s="7"/>
      <c r="X14" s="7"/>
      <c r="Z14" s="6"/>
      <c r="AA14" s="7" t="s">
        <v>12</v>
      </c>
      <c r="AB14" s="7"/>
      <c r="AC14" s="7"/>
      <c r="AD14" s="7"/>
      <c r="AE14" s="49">
        <f>0.375*$AD$2*$AC$7</f>
        <v>5.0625</v>
      </c>
      <c r="AF14" s="49"/>
      <c r="AG14" s="49"/>
      <c r="AH14" s="6"/>
      <c r="AI14" s="21" t="s">
        <v>17</v>
      </c>
      <c r="AJ14" s="7"/>
      <c r="AK14" s="7"/>
      <c r="AL14" s="7"/>
      <c r="AM14" s="49">
        <f>0.313*$AL$2</f>
        <v>10.016</v>
      </c>
      <c r="AN14" s="49"/>
      <c r="AO14" s="50"/>
      <c r="AP14" s="6"/>
      <c r="AQ14" s="7"/>
      <c r="AR14" s="7"/>
      <c r="AS14" s="21" t="s">
        <v>25</v>
      </c>
      <c r="AT14" s="7"/>
      <c r="AU14" s="7"/>
      <c r="AV14" s="7"/>
      <c r="AW14" s="49">
        <f>0.667*$AT$2</f>
        <v>10.005</v>
      </c>
      <c r="AX14" s="49"/>
      <c r="AY14" s="50"/>
      <c r="AZ14" s="6"/>
      <c r="BA14" s="21" t="s">
        <v>29</v>
      </c>
      <c r="BB14" s="7"/>
      <c r="BC14" s="7"/>
      <c r="BD14" s="7"/>
      <c r="BE14" s="49">
        <f>0.344*$BE$10</f>
        <v>1.86276</v>
      </c>
      <c r="BF14" s="49"/>
      <c r="BG14" s="50"/>
      <c r="BH14" s="7"/>
      <c r="BI14" s="21" t="s">
        <v>34</v>
      </c>
      <c r="BJ14" s="7"/>
      <c r="BK14" s="7"/>
      <c r="BL14" s="7"/>
      <c r="BM14" s="49">
        <f>0.345*$BM$10</f>
        <v>2.3313374999999996</v>
      </c>
      <c r="BN14" s="49"/>
      <c r="BO14" s="50"/>
      <c r="BP14" s="7"/>
      <c r="BQ14" s="21" t="s">
        <v>40</v>
      </c>
      <c r="BR14" s="7"/>
      <c r="BS14" s="7"/>
      <c r="BT14" s="7"/>
      <c r="BU14" s="49">
        <f>0.349*$BU$10</f>
        <v>2.853423999999999</v>
      </c>
      <c r="BV14" s="49"/>
      <c r="BW14" s="50"/>
    </row>
    <row r="15" spans="1:75" ht="11.25">
      <c r="A15" s="58"/>
      <c r="B15" s="6"/>
      <c r="C15" s="7"/>
      <c r="D15" s="7"/>
      <c r="E15" s="7"/>
      <c r="F15" s="7"/>
      <c r="G15" s="7"/>
      <c r="H15" s="7"/>
      <c r="I15" s="7"/>
      <c r="J15" s="7"/>
      <c r="K15" s="7"/>
      <c r="L15" s="51" t="s">
        <v>0</v>
      </c>
      <c r="M15" s="51"/>
      <c r="N15" s="12"/>
      <c r="O15" s="51" t="s">
        <v>1</v>
      </c>
      <c r="P15" s="51"/>
      <c r="Q15" s="12"/>
      <c r="R15" s="51" t="s">
        <v>2</v>
      </c>
      <c r="S15" s="51"/>
      <c r="T15" s="7"/>
      <c r="U15" s="7" t="s">
        <v>5</v>
      </c>
      <c r="V15" s="7"/>
      <c r="W15" s="7"/>
      <c r="X15" s="7"/>
      <c r="Z15" s="6"/>
      <c r="AA15" s="7" t="s">
        <v>10</v>
      </c>
      <c r="AB15" s="7"/>
      <c r="AC15" s="7"/>
      <c r="AD15" s="7"/>
      <c r="AE15" s="49">
        <f>1.25*$AD$2*$AC$7</f>
        <v>16.875</v>
      </c>
      <c r="AF15" s="49"/>
      <c r="AG15" s="49"/>
      <c r="AH15" s="6"/>
      <c r="AI15" s="21" t="s">
        <v>18</v>
      </c>
      <c r="AJ15" s="7"/>
      <c r="AK15" s="7"/>
      <c r="AL15" s="7"/>
      <c r="AM15" s="49">
        <f>1.375*$AL$2</f>
        <v>44</v>
      </c>
      <c r="AN15" s="49"/>
      <c r="AO15" s="50"/>
      <c r="AP15" s="6"/>
      <c r="AQ15" s="7"/>
      <c r="AR15" s="7"/>
      <c r="AS15" s="21" t="s">
        <v>24</v>
      </c>
      <c r="AT15" s="7"/>
      <c r="AU15" s="7"/>
      <c r="AV15" s="7"/>
      <c r="AW15" s="49">
        <f>2.667*$AT$2</f>
        <v>40.004999999999995</v>
      </c>
      <c r="AX15" s="49"/>
      <c r="AY15" s="50"/>
      <c r="AZ15" s="6"/>
      <c r="BA15" s="21" t="s">
        <v>671</v>
      </c>
      <c r="BB15" s="7"/>
      <c r="BC15" s="7"/>
      <c r="BD15" s="7"/>
      <c r="BE15" s="49">
        <f>1.312*$BE$10</f>
        <v>7.104480000000001</v>
      </c>
      <c r="BF15" s="49"/>
      <c r="BG15" s="50"/>
      <c r="BH15" s="7"/>
      <c r="BI15" s="21" t="s">
        <v>35</v>
      </c>
      <c r="BJ15" s="7"/>
      <c r="BK15" s="7"/>
      <c r="BL15" s="7"/>
      <c r="BM15" s="49">
        <f>1.31*$BM$10</f>
        <v>8.852325</v>
      </c>
      <c r="BN15" s="49"/>
      <c r="BO15" s="50"/>
      <c r="BP15" s="7"/>
      <c r="BQ15" s="21" t="s">
        <v>41</v>
      </c>
      <c r="BR15" s="7"/>
      <c r="BS15" s="7"/>
      <c r="BT15" s="7"/>
      <c r="BU15" s="49">
        <f>1.302*$BU$10</f>
        <v>10.645151999999998</v>
      </c>
      <c r="BV15" s="49"/>
      <c r="BW15" s="50"/>
    </row>
    <row r="16" spans="1:75" ht="11.25">
      <c r="A16" s="58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24"/>
      <c r="N16" s="24" t="s">
        <v>20</v>
      </c>
      <c r="O16" s="7"/>
      <c r="P16" s="25"/>
      <c r="Q16" s="12" t="str">
        <f>+N16</f>
        <v>L</v>
      </c>
      <c r="R16" s="7"/>
      <c r="S16" s="7"/>
      <c r="T16" s="7"/>
      <c r="U16" s="7" t="s">
        <v>6</v>
      </c>
      <c r="V16" s="7"/>
      <c r="W16" s="7"/>
      <c r="X16" s="7"/>
      <c r="Z16" s="6"/>
      <c r="AA16" s="21" t="s">
        <v>11</v>
      </c>
      <c r="AB16" s="7"/>
      <c r="AC16" s="7"/>
      <c r="AD16" s="7"/>
      <c r="AE16" s="49">
        <f>-0.625*$AD$2*$AC$7</f>
        <v>-8.4375</v>
      </c>
      <c r="AF16" s="49"/>
      <c r="AG16" s="49"/>
      <c r="AH16" s="6"/>
      <c r="AI16" s="21" t="s">
        <v>19</v>
      </c>
      <c r="AJ16" s="7"/>
      <c r="AK16" s="7"/>
      <c r="AL16" s="7"/>
      <c r="AM16" s="49">
        <f>-0.688*$AL$2</f>
        <v>-22.016</v>
      </c>
      <c r="AN16" s="49"/>
      <c r="AO16" s="50"/>
      <c r="AP16" s="6"/>
      <c r="AQ16" s="7"/>
      <c r="AR16" s="7"/>
      <c r="AS16" s="21" t="s">
        <v>23</v>
      </c>
      <c r="AT16" s="7"/>
      <c r="AU16" s="7"/>
      <c r="AV16" s="7"/>
      <c r="AW16" s="49">
        <f>-1.333*$AT$2</f>
        <v>-19.995</v>
      </c>
      <c r="AX16" s="49"/>
      <c r="AY16" s="50"/>
      <c r="AZ16" s="6"/>
      <c r="BA16" s="21" t="s">
        <v>30</v>
      </c>
      <c r="BB16" s="7"/>
      <c r="BC16" s="7"/>
      <c r="BD16" s="7"/>
      <c r="BE16" s="49">
        <f>-0.656*$BE$10</f>
        <v>-3.5522400000000003</v>
      </c>
      <c r="BF16" s="49"/>
      <c r="BG16" s="50"/>
      <c r="BH16" s="7"/>
      <c r="BI16" s="21" t="s">
        <v>36</v>
      </c>
      <c r="BJ16" s="7"/>
      <c r="BK16" s="7"/>
      <c r="BL16" s="7"/>
      <c r="BM16" s="49">
        <f>-0.655*$BM$10</f>
        <v>-4.4261625</v>
      </c>
      <c r="BN16" s="49"/>
      <c r="BO16" s="50"/>
      <c r="BP16" s="7"/>
      <c r="BQ16" s="21" t="s">
        <v>42</v>
      </c>
      <c r="BR16" s="7"/>
      <c r="BS16" s="7"/>
      <c r="BT16" s="7"/>
      <c r="BU16" s="49">
        <f>-0.651*$BU$10</f>
        <v>-5.322575999999999</v>
      </c>
      <c r="BV16" s="49"/>
      <c r="BW16" s="50"/>
    </row>
    <row r="17" spans="1:75" ht="11.25">
      <c r="A17" s="58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Z17" s="26"/>
      <c r="AA17" s="27"/>
      <c r="AB17" s="27"/>
      <c r="AC17" s="27"/>
      <c r="AD17" s="27"/>
      <c r="AE17" s="28"/>
      <c r="AF17" s="28"/>
      <c r="AG17" s="28"/>
      <c r="AH17" s="26"/>
      <c r="AI17" s="27"/>
      <c r="AJ17" s="27"/>
      <c r="AK17" s="27"/>
      <c r="AL17" s="27"/>
      <c r="AM17" s="28"/>
      <c r="AN17" s="28"/>
      <c r="AO17" s="29"/>
      <c r="AP17" s="26"/>
      <c r="AQ17" s="27"/>
      <c r="AR17" s="27"/>
      <c r="AS17" s="27"/>
      <c r="AT17" s="27"/>
      <c r="AU17" s="27"/>
      <c r="AV17" s="27"/>
      <c r="AW17" s="30"/>
      <c r="AX17" s="30"/>
      <c r="AY17" s="31"/>
      <c r="AZ17" s="26"/>
      <c r="BA17" s="27"/>
      <c r="BB17" s="27"/>
      <c r="BC17" s="27"/>
      <c r="BD17" s="27"/>
      <c r="BE17" s="30"/>
      <c r="BF17" s="30"/>
      <c r="BG17" s="31"/>
      <c r="BH17" s="27"/>
      <c r="BI17" s="27"/>
      <c r="BJ17" s="27"/>
      <c r="BK17" s="27"/>
      <c r="BL17" s="27"/>
      <c r="BM17" s="30"/>
      <c r="BN17" s="30"/>
      <c r="BO17" s="31"/>
      <c r="BP17" s="27"/>
      <c r="BQ17" s="27"/>
      <c r="BR17" s="27"/>
      <c r="BS17" s="27"/>
      <c r="BT17" s="27"/>
      <c r="BU17" s="30"/>
      <c r="BV17" s="30"/>
      <c r="BW17" s="31"/>
    </row>
    <row r="18" spans="1:75" ht="11.25">
      <c r="A18" s="58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  <c r="Z18" s="6"/>
      <c r="AA18" s="7"/>
      <c r="AB18" s="7"/>
      <c r="AC18" s="7"/>
      <c r="AD18" s="7"/>
      <c r="AE18" s="20"/>
      <c r="AF18" s="20"/>
      <c r="AG18" s="20"/>
      <c r="AH18" s="6"/>
      <c r="AI18" s="7"/>
      <c r="AJ18" s="7"/>
      <c r="AK18" s="7"/>
      <c r="AL18" s="7"/>
      <c r="AM18" s="20"/>
      <c r="AN18" s="20"/>
      <c r="AO18" s="22"/>
      <c r="AP18" s="6"/>
      <c r="AQ18" s="7"/>
      <c r="AR18" s="7"/>
      <c r="AS18" s="7"/>
      <c r="AT18" s="7"/>
      <c r="AU18" s="7"/>
      <c r="AV18" s="7"/>
      <c r="AW18" s="32"/>
      <c r="AX18" s="32"/>
      <c r="AY18" s="33"/>
      <c r="AZ18" s="6"/>
      <c r="BA18" s="7"/>
      <c r="BB18" s="7"/>
      <c r="BC18" s="7"/>
      <c r="BD18" s="7"/>
      <c r="BE18" s="32"/>
      <c r="BF18" s="32"/>
      <c r="BG18" s="33"/>
      <c r="BH18" s="7"/>
      <c r="BI18" s="7"/>
      <c r="BJ18" s="7"/>
      <c r="BK18" s="7"/>
      <c r="BL18" s="7"/>
      <c r="BM18" s="32"/>
      <c r="BN18" s="32"/>
      <c r="BO18" s="33"/>
      <c r="BP18" s="7"/>
      <c r="BQ18" s="7"/>
      <c r="BR18" s="7"/>
      <c r="BS18" s="7"/>
      <c r="BT18" s="7"/>
      <c r="BU18" s="32"/>
      <c r="BV18" s="32"/>
      <c r="BW18" s="33"/>
    </row>
    <row r="19" spans="1:75" ht="12" thickBot="1">
      <c r="A19" s="58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23"/>
      <c r="N19" s="23"/>
      <c r="O19" s="23"/>
      <c r="P19" s="34"/>
      <c r="Q19" s="34"/>
      <c r="R19" s="34"/>
      <c r="S19" s="7"/>
      <c r="T19" s="7"/>
      <c r="U19" s="7" t="s">
        <v>43</v>
      </c>
      <c r="V19" s="7"/>
      <c r="W19" s="7"/>
      <c r="X19" s="7"/>
      <c r="Y19" s="8"/>
      <c r="Z19" s="6"/>
      <c r="AA19" s="7" t="s">
        <v>46</v>
      </c>
      <c r="AB19" s="7"/>
      <c r="AC19" s="7"/>
      <c r="AD19" s="7"/>
      <c r="AE19" s="49">
        <f>0.096*$AD$2*$AC$7^2</f>
        <v>5.832000000000001</v>
      </c>
      <c r="AF19" s="49"/>
      <c r="AG19" s="49"/>
      <c r="AH19" s="6"/>
      <c r="AI19" s="21" t="s">
        <v>49</v>
      </c>
      <c r="AJ19" s="7"/>
      <c r="AK19" s="7"/>
      <c r="AL19" s="7"/>
      <c r="AM19" s="49">
        <f>0.203*$AL$2*$AK$8</f>
        <v>25.984</v>
      </c>
      <c r="AN19" s="49"/>
      <c r="AO19" s="50"/>
      <c r="AP19" s="6"/>
      <c r="AQ19" s="21" t="s">
        <v>52</v>
      </c>
      <c r="AR19" s="7"/>
      <c r="AS19" s="7"/>
      <c r="AT19" s="7"/>
      <c r="AU19" s="7"/>
      <c r="AV19" s="7"/>
      <c r="AW19" s="49">
        <f>(0.278/0.222)*$AT$2*$AU$8</f>
        <v>65.74324324324326</v>
      </c>
      <c r="AX19" s="49"/>
      <c r="AY19" s="50"/>
      <c r="AZ19" s="6"/>
      <c r="BA19" s="21" t="s">
        <v>55</v>
      </c>
      <c r="BB19" s="7"/>
      <c r="BC19" s="7"/>
      <c r="BD19" s="7"/>
      <c r="BE19" s="49">
        <f>0.129*$BE$10*$BC$8</f>
        <v>1.99082475</v>
      </c>
      <c r="BF19" s="49"/>
      <c r="BG19" s="50"/>
      <c r="BH19" s="7"/>
      <c r="BI19" s="21" t="s">
        <v>58</v>
      </c>
      <c r="BJ19" s="7"/>
      <c r="BK19" s="7"/>
      <c r="BL19" s="7"/>
      <c r="BM19" s="49">
        <f>0.126*$BM$10*$BK$8</f>
        <v>3.6186412499999996</v>
      </c>
      <c r="BN19" s="49"/>
      <c r="BO19" s="50"/>
      <c r="BP19" s="7"/>
      <c r="BQ19" s="21" t="s">
        <v>59</v>
      </c>
      <c r="BR19" s="7"/>
      <c r="BS19" s="7"/>
      <c r="BT19" s="7"/>
      <c r="BU19" s="49">
        <f>0.121*$BU$10*$BS$8</f>
        <v>3.610930399999999</v>
      </c>
      <c r="BV19" s="49"/>
      <c r="BW19" s="50"/>
    </row>
    <row r="20" spans="1:75" ht="11.25">
      <c r="A20" s="58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2">
        <v>1</v>
      </c>
      <c r="O20" s="7"/>
      <c r="P20" s="7"/>
      <c r="Q20" s="12">
        <v>2</v>
      </c>
      <c r="R20" s="7"/>
      <c r="S20" s="7"/>
      <c r="T20" s="7"/>
      <c r="U20" s="7" t="s">
        <v>44</v>
      </c>
      <c r="V20" s="7"/>
      <c r="W20" s="7"/>
      <c r="X20" s="7"/>
      <c r="Y20" s="8"/>
      <c r="Z20" s="6"/>
      <c r="AA20" s="21" t="s">
        <v>47</v>
      </c>
      <c r="AB20" s="7"/>
      <c r="AC20" s="7"/>
      <c r="AD20" s="7"/>
      <c r="AE20" s="49">
        <f>-0.063*$AD$2*$AC$7^2</f>
        <v>-3.82725</v>
      </c>
      <c r="AF20" s="49"/>
      <c r="AG20" s="49"/>
      <c r="AH20" s="6"/>
      <c r="AI20" s="21" t="s">
        <v>50</v>
      </c>
      <c r="AJ20" s="7"/>
      <c r="AK20" s="7"/>
      <c r="AL20" s="7"/>
      <c r="AM20" s="49">
        <f>-0.094*$AL$2*$AK$8</f>
        <v>-12.032</v>
      </c>
      <c r="AN20" s="49"/>
      <c r="AO20" s="50"/>
      <c r="AP20" s="6"/>
      <c r="AQ20" s="7"/>
      <c r="AR20" s="7"/>
      <c r="AS20" s="21" t="s">
        <v>53</v>
      </c>
      <c r="AT20" s="7"/>
      <c r="AU20" s="7"/>
      <c r="AV20" s="7"/>
      <c r="AW20" s="49">
        <f>-0.167*$AT$2*$AU$8</f>
        <v>-8.767500000000002</v>
      </c>
      <c r="AX20" s="49"/>
      <c r="AY20" s="50"/>
      <c r="AZ20" s="6"/>
      <c r="BA20" s="21" t="s">
        <v>56</v>
      </c>
      <c r="BB20" s="7"/>
      <c r="BC20" s="7"/>
      <c r="BD20" s="7"/>
      <c r="BE20" s="49">
        <f>-0.078*$BE$10*$BC$8</f>
        <v>-1.2037545</v>
      </c>
      <c r="BF20" s="49"/>
      <c r="BG20" s="50"/>
      <c r="BH20" s="7"/>
      <c r="BI20" s="21" t="s">
        <v>56</v>
      </c>
      <c r="BJ20" s="7"/>
      <c r="BK20" s="7"/>
      <c r="BL20" s="7"/>
      <c r="BM20" s="49">
        <f>-0.078*$BM$10*$BK$8</f>
        <v>-2.2401112499999996</v>
      </c>
      <c r="BN20" s="49"/>
      <c r="BO20" s="50"/>
      <c r="BP20" s="7"/>
      <c r="BQ20" s="21" t="s">
        <v>60</v>
      </c>
      <c r="BR20" s="7"/>
      <c r="BS20" s="7"/>
      <c r="BT20" s="7"/>
      <c r="BU20" s="49">
        <f>-0.076*$BU$10*$BS$8</f>
        <v>-2.268022399999999</v>
      </c>
      <c r="BV20" s="49"/>
      <c r="BW20" s="50"/>
    </row>
    <row r="21" spans="1:75" ht="11.25">
      <c r="A21" s="58"/>
      <c r="B21" s="6"/>
      <c r="C21" s="7"/>
      <c r="D21" s="7"/>
      <c r="E21" s="7"/>
      <c r="F21" s="7"/>
      <c r="G21" s="7"/>
      <c r="H21" s="7"/>
      <c r="I21" s="7"/>
      <c r="J21" s="7"/>
      <c r="K21" s="7"/>
      <c r="L21" s="51" t="s">
        <v>0</v>
      </c>
      <c r="M21" s="51"/>
      <c r="N21" s="12"/>
      <c r="O21" s="51" t="s">
        <v>1</v>
      </c>
      <c r="P21" s="51"/>
      <c r="Q21" s="12"/>
      <c r="R21" s="51" t="s">
        <v>2</v>
      </c>
      <c r="S21" s="51"/>
      <c r="T21" s="7"/>
      <c r="U21" s="7" t="s">
        <v>45</v>
      </c>
      <c r="V21" s="7"/>
      <c r="W21" s="7"/>
      <c r="X21" s="7"/>
      <c r="Y21" s="8"/>
      <c r="Z21" s="6"/>
      <c r="AA21" s="21" t="s">
        <v>48</v>
      </c>
      <c r="AB21" s="7"/>
      <c r="AC21" s="7"/>
      <c r="AD21" s="7"/>
      <c r="AE21" s="49">
        <f>0.438*$AD$2*$AC$7</f>
        <v>5.913</v>
      </c>
      <c r="AF21" s="49"/>
      <c r="AG21" s="49"/>
      <c r="AH21" s="6"/>
      <c r="AI21" s="21" t="s">
        <v>51</v>
      </c>
      <c r="AJ21" s="7"/>
      <c r="AK21" s="7"/>
      <c r="AL21" s="7"/>
      <c r="AM21" s="49">
        <f>0.406*$AL$2</f>
        <v>12.992</v>
      </c>
      <c r="AN21" s="49"/>
      <c r="AO21" s="50"/>
      <c r="AP21" s="6"/>
      <c r="AQ21" s="7"/>
      <c r="AR21" s="7"/>
      <c r="AS21" s="21" t="s">
        <v>54</v>
      </c>
      <c r="AT21" s="7"/>
      <c r="AU21" s="7"/>
      <c r="AV21" s="7"/>
      <c r="AW21" s="49">
        <f>0.833*$AT$2</f>
        <v>12.495</v>
      </c>
      <c r="AX21" s="49"/>
      <c r="AY21" s="50"/>
      <c r="AZ21" s="6"/>
      <c r="BA21" s="21" t="s">
        <v>57</v>
      </c>
      <c r="BB21" s="7"/>
      <c r="BC21" s="7"/>
      <c r="BD21" s="7"/>
      <c r="BE21" s="49">
        <f>0.422*$BE$10</f>
        <v>2.28513</v>
      </c>
      <c r="BF21" s="49"/>
      <c r="BG21" s="50"/>
      <c r="BH21" s="7"/>
      <c r="BI21" s="21" t="s">
        <v>57</v>
      </c>
      <c r="BJ21" s="7"/>
      <c r="BK21" s="7"/>
      <c r="BL21" s="7"/>
      <c r="BM21" s="49">
        <f>0.422*$BM$10</f>
        <v>2.8516649999999997</v>
      </c>
      <c r="BN21" s="49"/>
      <c r="BO21" s="50"/>
      <c r="BP21" s="7"/>
      <c r="BQ21" s="21" t="s">
        <v>61</v>
      </c>
      <c r="BR21" s="7"/>
      <c r="BS21" s="7"/>
      <c r="BT21" s="7"/>
      <c r="BU21" s="49">
        <f>0.424*$BU$10</f>
        <v>3.466623999999999</v>
      </c>
      <c r="BV21" s="49"/>
      <c r="BW21" s="50"/>
    </row>
    <row r="22" spans="1:75" ht="11.25">
      <c r="A22" s="58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24"/>
      <c r="N22" s="24" t="s">
        <v>20</v>
      </c>
      <c r="O22" s="7"/>
      <c r="P22" s="25"/>
      <c r="Q22" s="12" t="str">
        <f>+N22</f>
        <v>L</v>
      </c>
      <c r="R22" s="7"/>
      <c r="S22" s="7"/>
      <c r="T22" s="7"/>
      <c r="U22" s="7"/>
      <c r="V22" s="7"/>
      <c r="W22" s="7"/>
      <c r="X22" s="7"/>
      <c r="Y22" s="8"/>
      <c r="Z22" s="6"/>
      <c r="AA22" s="7"/>
      <c r="AB22" s="7"/>
      <c r="AC22" s="7"/>
      <c r="AD22" s="7"/>
      <c r="AE22" s="20"/>
      <c r="AF22" s="20"/>
      <c r="AG22" s="20"/>
      <c r="AH22" s="6"/>
      <c r="AI22" s="7"/>
      <c r="AJ22" s="7"/>
      <c r="AK22" s="7"/>
      <c r="AL22" s="7"/>
      <c r="AM22" s="20"/>
      <c r="AN22" s="20"/>
      <c r="AO22" s="22"/>
      <c r="AP22" s="6"/>
      <c r="AQ22" s="7"/>
      <c r="AR22" s="7"/>
      <c r="AS22" s="7"/>
      <c r="AT22" s="7"/>
      <c r="AU22" s="7"/>
      <c r="AV22" s="7"/>
      <c r="AW22" s="32"/>
      <c r="AX22" s="32"/>
      <c r="AY22" s="33"/>
      <c r="AZ22" s="6"/>
      <c r="BA22" s="7"/>
      <c r="BB22" s="7"/>
      <c r="BC22" s="7"/>
      <c r="BD22" s="7"/>
      <c r="BE22" s="32"/>
      <c r="BF22" s="32"/>
      <c r="BG22" s="33"/>
      <c r="BH22" s="7"/>
      <c r="BI22" s="7"/>
      <c r="BJ22" s="7"/>
      <c r="BK22" s="7"/>
      <c r="BL22" s="7"/>
      <c r="BM22" s="32"/>
      <c r="BN22" s="32"/>
      <c r="BO22" s="33"/>
      <c r="BP22" s="7"/>
      <c r="BQ22" s="7"/>
      <c r="BR22" s="7"/>
      <c r="BS22" s="7"/>
      <c r="BT22" s="7"/>
      <c r="BU22" s="32"/>
      <c r="BV22" s="32"/>
      <c r="BW22" s="33"/>
    </row>
    <row r="23" spans="1:75" ht="11.25">
      <c r="A23" s="58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44"/>
      <c r="Z23" s="6"/>
      <c r="AA23" s="7"/>
      <c r="AB23" s="7"/>
      <c r="AC23" s="7"/>
      <c r="AD23" s="7"/>
      <c r="AE23" s="20"/>
      <c r="AF23" s="20"/>
      <c r="AG23" s="20"/>
      <c r="AH23" s="6"/>
      <c r="AI23" s="7"/>
      <c r="AJ23" s="7"/>
      <c r="AK23" s="7"/>
      <c r="AL23" s="7"/>
      <c r="AM23" s="20"/>
      <c r="AN23" s="20"/>
      <c r="AO23" s="22"/>
      <c r="AP23" s="6"/>
      <c r="AQ23" s="7"/>
      <c r="AR23" s="7"/>
      <c r="AS23" s="7"/>
      <c r="AT23" s="7"/>
      <c r="AU23" s="7"/>
      <c r="AV23" s="7"/>
      <c r="AW23" s="32"/>
      <c r="AX23" s="32"/>
      <c r="AY23" s="33"/>
      <c r="AZ23" s="6"/>
      <c r="BA23" s="7"/>
      <c r="BB23" s="7"/>
      <c r="BC23" s="7"/>
      <c r="BD23" s="7"/>
      <c r="BE23" s="32"/>
      <c r="BF23" s="32"/>
      <c r="BG23" s="33"/>
      <c r="BH23" s="7"/>
      <c r="BI23" s="7"/>
      <c r="BJ23" s="7"/>
      <c r="BK23" s="7"/>
      <c r="BL23" s="7"/>
      <c r="BM23" s="32"/>
      <c r="BN23" s="32"/>
      <c r="BO23" s="33"/>
      <c r="BP23" s="7"/>
      <c r="BQ23" s="7"/>
      <c r="BR23" s="7"/>
      <c r="BS23" s="7"/>
      <c r="BT23" s="7"/>
      <c r="BU23" s="32"/>
      <c r="BV23" s="32"/>
      <c r="BW23" s="33"/>
    </row>
    <row r="24" spans="1:75" ht="11.25">
      <c r="A24" s="58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Z24" s="3"/>
      <c r="AA24" s="4"/>
      <c r="AB24" s="4"/>
      <c r="AC24" s="4"/>
      <c r="AD24" s="4"/>
      <c r="AE24" s="35"/>
      <c r="AF24" s="35"/>
      <c r="AG24" s="35"/>
      <c r="AH24" s="3"/>
      <c r="AI24" s="4"/>
      <c r="AJ24" s="4"/>
      <c r="AK24" s="4"/>
      <c r="AL24" s="4"/>
      <c r="AM24" s="35"/>
      <c r="AN24" s="35"/>
      <c r="AO24" s="36"/>
      <c r="AP24" s="3"/>
      <c r="AQ24" s="4"/>
      <c r="AR24" s="4"/>
      <c r="AS24" s="4"/>
      <c r="AT24" s="4"/>
      <c r="AU24" s="4"/>
      <c r="AV24" s="4"/>
      <c r="AW24" s="37"/>
      <c r="AX24" s="37"/>
      <c r="AY24" s="38"/>
      <c r="AZ24" s="3"/>
      <c r="BA24" s="4"/>
      <c r="BB24" s="4"/>
      <c r="BC24" s="4"/>
      <c r="BD24" s="4"/>
      <c r="BE24" s="37"/>
      <c r="BF24" s="37"/>
      <c r="BG24" s="38"/>
      <c r="BH24" s="4"/>
      <c r="BI24" s="4"/>
      <c r="BJ24" s="4"/>
      <c r="BK24" s="4"/>
      <c r="BL24" s="4"/>
      <c r="BM24" s="37"/>
      <c r="BN24" s="37"/>
      <c r="BO24" s="38"/>
      <c r="BP24" s="4"/>
      <c r="BQ24" s="4"/>
      <c r="BR24" s="4"/>
      <c r="BS24" s="4"/>
      <c r="BT24" s="4"/>
      <c r="BU24" s="37"/>
      <c r="BV24" s="37"/>
      <c r="BW24" s="38"/>
    </row>
    <row r="25" spans="1:75" ht="12" thickBot="1">
      <c r="A25" s="58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34"/>
      <c r="N25" s="34"/>
      <c r="O25" s="34"/>
      <c r="P25" s="39"/>
      <c r="Q25" s="39"/>
      <c r="R25" s="39"/>
      <c r="S25" s="7"/>
      <c r="T25" s="7"/>
      <c r="U25" s="7" t="s">
        <v>62</v>
      </c>
      <c r="V25" s="7"/>
      <c r="W25" s="7"/>
      <c r="X25" s="7"/>
      <c r="Z25" s="6"/>
      <c r="AA25" s="40" t="s">
        <v>679</v>
      </c>
      <c r="AB25" s="7"/>
      <c r="AC25" s="7"/>
      <c r="AD25" s="7"/>
      <c r="AE25" s="55"/>
      <c r="AF25" s="49"/>
      <c r="AG25" s="49"/>
      <c r="AH25" s="6"/>
      <c r="AI25" s="21" t="s">
        <v>65</v>
      </c>
      <c r="AJ25" s="7"/>
      <c r="AK25" s="7"/>
      <c r="AL25" s="7"/>
      <c r="AM25" s="49">
        <f>-0.047*$AL$2*$AK$8</f>
        <v>-6.016</v>
      </c>
      <c r="AN25" s="49"/>
      <c r="AO25" s="50"/>
      <c r="AP25" s="6"/>
      <c r="AQ25" s="21" t="s">
        <v>140</v>
      </c>
      <c r="AR25" s="7"/>
      <c r="AS25" s="7"/>
      <c r="AT25" s="7"/>
      <c r="AU25" s="7"/>
      <c r="AV25" s="7"/>
      <c r="AW25" s="49">
        <f>-(0.056/0.111)*$AT$2*$AU$8</f>
        <v>-26.486486486486484</v>
      </c>
      <c r="AX25" s="49"/>
      <c r="AY25" s="50"/>
      <c r="AZ25" s="6"/>
      <c r="BA25" s="21" t="s">
        <v>68</v>
      </c>
      <c r="BB25" s="7"/>
      <c r="BC25" s="7"/>
      <c r="BD25" s="7"/>
      <c r="BE25" s="49">
        <f>-0.035*$BE$10*$BC$8</f>
        <v>-0.54014625</v>
      </c>
      <c r="BF25" s="49"/>
      <c r="BG25" s="50"/>
      <c r="BH25" s="7"/>
      <c r="BI25" s="21" t="s">
        <v>68</v>
      </c>
      <c r="BJ25" s="7"/>
      <c r="BK25" s="7"/>
      <c r="BL25" s="7"/>
      <c r="BM25" s="49">
        <f>-0.035*$BM$10*$BK$8</f>
        <v>-1.005178125</v>
      </c>
      <c r="BN25" s="49"/>
      <c r="BO25" s="50"/>
      <c r="BP25" s="7"/>
      <c r="BQ25" s="21" t="s">
        <v>70</v>
      </c>
      <c r="BR25" s="7"/>
      <c r="BS25" s="7"/>
      <c r="BT25" s="7"/>
      <c r="BU25" s="49">
        <f>-0.034*$BU$10*$BS$8</f>
        <v>-1.0146415999999998</v>
      </c>
      <c r="BV25" s="49"/>
      <c r="BW25" s="50"/>
    </row>
    <row r="26" spans="1:75" ht="11.25">
      <c r="A26" s="58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2">
        <v>1</v>
      </c>
      <c r="O26" s="7"/>
      <c r="P26" s="7"/>
      <c r="Q26" s="12">
        <v>2</v>
      </c>
      <c r="R26" s="7"/>
      <c r="S26" s="7"/>
      <c r="T26" s="7"/>
      <c r="U26" s="7" t="s">
        <v>63</v>
      </c>
      <c r="V26" s="7"/>
      <c r="W26" s="7"/>
      <c r="X26" s="7"/>
      <c r="Z26" s="6"/>
      <c r="AA26" s="21" t="s">
        <v>64</v>
      </c>
      <c r="AB26" s="7"/>
      <c r="AC26" s="7"/>
      <c r="AD26" s="7"/>
      <c r="AE26" s="49">
        <f>-0.063*$AD$2*$AC$7</f>
        <v>-0.8505</v>
      </c>
      <c r="AF26" s="49"/>
      <c r="AG26" s="49"/>
      <c r="AH26" s="6"/>
      <c r="AI26" s="21" t="s">
        <v>66</v>
      </c>
      <c r="AJ26" s="7"/>
      <c r="AK26" s="7"/>
      <c r="AL26" s="7"/>
      <c r="AM26" s="49">
        <f>-0.094*$AL$2</f>
        <v>-3.008</v>
      </c>
      <c r="AN26" s="49"/>
      <c r="AO26" s="50"/>
      <c r="AP26" s="6"/>
      <c r="AQ26" s="7"/>
      <c r="AR26" s="7"/>
      <c r="AS26" s="21" t="s">
        <v>67</v>
      </c>
      <c r="AT26" s="7"/>
      <c r="AU26" s="7"/>
      <c r="AV26" s="7"/>
      <c r="AW26" s="49">
        <f>-0.167*$AT$2</f>
        <v>-2.5050000000000003</v>
      </c>
      <c r="AX26" s="49"/>
      <c r="AY26" s="50"/>
      <c r="AZ26" s="6"/>
      <c r="BA26" s="21" t="s">
        <v>69</v>
      </c>
      <c r="BB26" s="7"/>
      <c r="BC26" s="7"/>
      <c r="BD26" s="7"/>
      <c r="BE26" s="49">
        <f>-0.078*$BE$10</f>
        <v>-0.42237</v>
      </c>
      <c r="BF26" s="49"/>
      <c r="BG26" s="50"/>
      <c r="BH26" s="7"/>
      <c r="BI26" s="21" t="s">
        <v>69</v>
      </c>
      <c r="BJ26" s="7"/>
      <c r="BK26" s="7"/>
      <c r="BL26" s="7"/>
      <c r="BM26" s="49">
        <f>-0.078*$BM$10</f>
        <v>-0.5270849999999999</v>
      </c>
      <c r="BN26" s="49"/>
      <c r="BO26" s="50"/>
      <c r="BP26" s="7"/>
      <c r="BQ26" s="21" t="s">
        <v>71</v>
      </c>
      <c r="BR26" s="7"/>
      <c r="BS26" s="7"/>
      <c r="BT26" s="7"/>
      <c r="BU26" s="49">
        <f>-0.076*$BU$10</f>
        <v>-0.6213759999999998</v>
      </c>
      <c r="BV26" s="49"/>
      <c r="BW26" s="50"/>
    </row>
    <row r="27" spans="1:75" ht="11.25">
      <c r="A27" s="58"/>
      <c r="B27" s="6"/>
      <c r="C27" s="7"/>
      <c r="D27" s="7"/>
      <c r="E27" s="7"/>
      <c r="F27" s="7"/>
      <c r="G27" s="7"/>
      <c r="H27" s="7"/>
      <c r="I27" s="7"/>
      <c r="J27" s="7"/>
      <c r="K27" s="7"/>
      <c r="L27" s="51" t="s">
        <v>0</v>
      </c>
      <c r="M27" s="51"/>
      <c r="N27" s="12"/>
      <c r="O27" s="51" t="s">
        <v>1</v>
      </c>
      <c r="P27" s="51"/>
      <c r="Q27" s="12"/>
      <c r="R27" s="51" t="s">
        <v>2</v>
      </c>
      <c r="S27" s="51"/>
      <c r="T27" s="7"/>
      <c r="U27" s="7"/>
      <c r="V27" s="7"/>
      <c r="W27" s="7"/>
      <c r="X27" s="7"/>
      <c r="Z27" s="6"/>
      <c r="AA27" s="7"/>
      <c r="AB27" s="7"/>
      <c r="AC27" s="7"/>
      <c r="AD27" s="7"/>
      <c r="AE27" s="7"/>
      <c r="AF27" s="7"/>
      <c r="AG27" s="7"/>
      <c r="AH27" s="6"/>
      <c r="AI27" s="7"/>
      <c r="AJ27" s="7"/>
      <c r="AK27" s="7"/>
      <c r="AL27" s="7"/>
      <c r="AM27" s="7"/>
      <c r="AN27" s="7"/>
      <c r="AO27" s="8"/>
      <c r="AP27" s="6"/>
      <c r="AQ27" s="7"/>
      <c r="AR27" s="7"/>
      <c r="AS27" s="7"/>
      <c r="AT27" s="7"/>
      <c r="AU27" s="7"/>
      <c r="AV27" s="7"/>
      <c r="AW27" s="7"/>
      <c r="AX27" s="7"/>
      <c r="AY27" s="8"/>
      <c r="AZ27" s="6"/>
      <c r="BA27" s="7"/>
      <c r="BB27" s="7"/>
      <c r="BC27" s="7"/>
      <c r="BD27" s="7"/>
      <c r="BE27" s="7"/>
      <c r="BF27" s="7"/>
      <c r="BG27" s="8"/>
      <c r="BH27" s="7"/>
      <c r="BI27" s="7"/>
      <c r="BJ27" s="7"/>
      <c r="BK27" s="7"/>
      <c r="BL27" s="7"/>
      <c r="BM27" s="7"/>
      <c r="BN27" s="7"/>
      <c r="BO27" s="8"/>
      <c r="BP27" s="7"/>
      <c r="BQ27" s="7"/>
      <c r="BR27" s="7"/>
      <c r="BS27" s="7"/>
      <c r="BT27" s="7"/>
      <c r="BU27" s="7"/>
      <c r="BV27" s="7"/>
      <c r="BW27" s="8"/>
    </row>
    <row r="28" spans="1:75" ht="11.25">
      <c r="A28" s="58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24"/>
      <c r="N28" s="24" t="s">
        <v>20</v>
      </c>
      <c r="O28" s="7"/>
      <c r="P28" s="25"/>
      <c r="Q28" s="12" t="str">
        <f>+N28</f>
        <v>L</v>
      </c>
      <c r="R28" s="7"/>
      <c r="S28" s="7"/>
      <c r="T28" s="7"/>
      <c r="U28" s="7"/>
      <c r="V28" s="7"/>
      <c r="W28" s="7"/>
      <c r="X28" s="7"/>
      <c r="Z28" s="6"/>
      <c r="AA28" s="7"/>
      <c r="AB28" s="7"/>
      <c r="AC28" s="7"/>
      <c r="AD28" s="7"/>
      <c r="AE28" s="7"/>
      <c r="AF28" s="7"/>
      <c r="AG28" s="7"/>
      <c r="AH28" s="6"/>
      <c r="AI28" s="7"/>
      <c r="AJ28" s="7"/>
      <c r="AK28" s="7"/>
      <c r="AL28" s="7"/>
      <c r="AM28" s="7"/>
      <c r="AN28" s="7"/>
      <c r="AO28" s="8"/>
      <c r="AP28" s="6"/>
      <c r="AQ28" s="7"/>
      <c r="AR28" s="7"/>
      <c r="AS28" s="7"/>
      <c r="AT28" s="7"/>
      <c r="AU28" s="7"/>
      <c r="AV28" s="7"/>
      <c r="AW28" s="7"/>
      <c r="AX28" s="7"/>
      <c r="AY28" s="8"/>
      <c r="AZ28" s="6"/>
      <c r="BA28" s="7"/>
      <c r="BB28" s="7"/>
      <c r="BC28" s="7"/>
      <c r="BD28" s="7"/>
      <c r="BE28" s="7"/>
      <c r="BF28" s="7"/>
      <c r="BG28" s="8"/>
      <c r="BH28" s="7"/>
      <c r="BI28" s="7"/>
      <c r="BJ28" s="7"/>
      <c r="BK28" s="7"/>
      <c r="BL28" s="7"/>
      <c r="BM28" s="7"/>
      <c r="BN28" s="7"/>
      <c r="BO28" s="8"/>
      <c r="BP28" s="7"/>
      <c r="BQ28" s="7"/>
      <c r="BR28" s="7"/>
      <c r="BS28" s="7"/>
      <c r="BT28" s="7"/>
      <c r="BU28" s="7"/>
      <c r="BV28" s="7"/>
      <c r="BW28" s="8"/>
    </row>
    <row r="29" spans="1:75" ht="12" thickBot="1">
      <c r="A29" s="59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Z29" s="6"/>
      <c r="AA29" s="7"/>
      <c r="AB29" s="7"/>
      <c r="AC29" s="7"/>
      <c r="AD29" s="7"/>
      <c r="AE29" s="7"/>
      <c r="AF29" s="7"/>
      <c r="AG29" s="7"/>
      <c r="AH29" s="6"/>
      <c r="AI29" s="7"/>
      <c r="AJ29" s="7"/>
      <c r="AK29" s="7"/>
      <c r="AL29" s="7"/>
      <c r="AM29" s="7"/>
      <c r="AN29" s="7"/>
      <c r="AO29" s="8"/>
      <c r="AP29" s="6"/>
      <c r="AQ29" s="7"/>
      <c r="AR29" s="7"/>
      <c r="AS29" s="7"/>
      <c r="AT29" s="7"/>
      <c r="AU29" s="7"/>
      <c r="AV29" s="7"/>
      <c r="AW29" s="7"/>
      <c r="AX29" s="7"/>
      <c r="AY29" s="8"/>
      <c r="AZ29" s="6"/>
      <c r="BA29" s="7"/>
      <c r="BB29" s="7"/>
      <c r="BC29" s="7"/>
      <c r="BD29" s="7"/>
      <c r="BE29" s="7"/>
      <c r="BF29" s="7"/>
      <c r="BG29" s="8"/>
      <c r="BH29" s="7"/>
      <c r="BI29" s="7"/>
      <c r="BJ29" s="7"/>
      <c r="BK29" s="7"/>
      <c r="BL29" s="7"/>
      <c r="BM29" s="7"/>
      <c r="BN29" s="7"/>
      <c r="BO29" s="8"/>
      <c r="BP29" s="7"/>
      <c r="BQ29" s="7"/>
      <c r="BR29" s="7"/>
      <c r="BS29" s="7"/>
      <c r="BT29" s="7"/>
      <c r="BU29" s="7"/>
      <c r="BV29" s="7"/>
      <c r="BW29" s="8"/>
    </row>
    <row r="30" spans="1:75" ht="12" thickTop="1">
      <c r="A30" s="57" t="s">
        <v>681</v>
      </c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3"/>
      <c r="Z30" s="41"/>
      <c r="AA30" s="42"/>
      <c r="AB30" s="42"/>
      <c r="AC30" s="42"/>
      <c r="AD30" s="42"/>
      <c r="AE30" s="42"/>
      <c r="AF30" s="42"/>
      <c r="AG30" s="42"/>
      <c r="AH30" s="41"/>
      <c r="AI30" s="42"/>
      <c r="AJ30" s="42"/>
      <c r="AK30" s="42"/>
      <c r="AL30" s="42"/>
      <c r="AM30" s="42"/>
      <c r="AN30" s="42"/>
      <c r="AO30" s="43"/>
      <c r="AP30" s="41"/>
      <c r="AQ30" s="42"/>
      <c r="AR30" s="42"/>
      <c r="AS30" s="42"/>
      <c r="AT30" s="42"/>
      <c r="AU30" s="42"/>
      <c r="AV30" s="42"/>
      <c r="AW30" s="42"/>
      <c r="AX30" s="42"/>
      <c r="AY30" s="43"/>
      <c r="AZ30" s="41"/>
      <c r="BA30" s="42"/>
      <c r="BB30" s="42"/>
      <c r="BC30" s="42"/>
      <c r="BD30" s="42"/>
      <c r="BE30" s="42"/>
      <c r="BF30" s="42"/>
      <c r="BG30" s="43"/>
      <c r="BH30" s="42"/>
      <c r="BI30" s="42"/>
      <c r="BJ30" s="42"/>
      <c r="BK30" s="42"/>
      <c r="BL30" s="42"/>
      <c r="BM30" s="42"/>
      <c r="BN30" s="42"/>
      <c r="BO30" s="43"/>
      <c r="BP30" s="42"/>
      <c r="BQ30" s="42"/>
      <c r="BR30" s="42"/>
      <c r="BS30" s="42"/>
      <c r="BT30" s="42"/>
      <c r="BU30" s="42"/>
      <c r="BV30" s="42"/>
      <c r="BW30" s="43"/>
    </row>
    <row r="31" spans="1:75" ht="12.75" customHeight="1">
      <c r="A31" s="58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 t="s">
        <v>3</v>
      </c>
      <c r="V31" s="7"/>
      <c r="W31" s="7"/>
      <c r="X31" s="7"/>
      <c r="Y31" s="8"/>
      <c r="Z31" s="6"/>
      <c r="AA31" s="7" t="s">
        <v>76</v>
      </c>
      <c r="AB31" s="7"/>
      <c r="AC31" s="7"/>
      <c r="AD31" s="7"/>
      <c r="AE31" s="49">
        <f>0.08*$AD$2*$AC$7^2</f>
        <v>4.859999999999999</v>
      </c>
      <c r="AF31" s="49"/>
      <c r="AG31" s="49"/>
      <c r="AH31" s="6"/>
      <c r="AI31" s="21" t="s">
        <v>83</v>
      </c>
      <c r="AJ31" s="7"/>
      <c r="AK31" s="7"/>
      <c r="AL31" s="7"/>
      <c r="AM31" s="49">
        <f>0.175*$AL$2*$AK$8</f>
        <v>22.4</v>
      </c>
      <c r="AN31" s="49"/>
      <c r="AO31" s="50"/>
      <c r="AP31" s="6"/>
      <c r="AQ31" s="21" t="s">
        <v>90</v>
      </c>
      <c r="AR31" s="7"/>
      <c r="AS31" s="7"/>
      <c r="AT31" s="7"/>
      <c r="AU31" s="7"/>
      <c r="AV31" s="7"/>
      <c r="AW31" s="49">
        <f>(0.244/0.156)*$AT$2*$AU$8</f>
        <v>82.11538461538461</v>
      </c>
      <c r="AX31" s="49"/>
      <c r="AY31" s="50"/>
      <c r="AZ31" s="6"/>
      <c r="BA31" s="21" t="s">
        <v>97</v>
      </c>
      <c r="BB31" s="7"/>
      <c r="BC31" s="7"/>
      <c r="BD31" s="7"/>
      <c r="BE31" s="49">
        <f>0.108*$BE$10*$BC$8</f>
        <v>1.6667370000000001</v>
      </c>
      <c r="BF31" s="49"/>
      <c r="BG31" s="50"/>
      <c r="BH31" s="7"/>
      <c r="BI31" s="21" t="s">
        <v>104</v>
      </c>
      <c r="BJ31" s="7"/>
      <c r="BK31" s="7"/>
      <c r="BL31" s="7"/>
      <c r="BM31" s="49">
        <f>0.107*$BM$10*$BK$8</f>
        <v>3.0729731249999994</v>
      </c>
      <c r="BN31" s="49"/>
      <c r="BO31" s="50"/>
      <c r="BP31" s="7"/>
      <c r="BQ31" s="21" t="s">
        <v>110</v>
      </c>
      <c r="BR31" s="7"/>
      <c r="BS31" s="7"/>
      <c r="BT31" s="7"/>
      <c r="BU31" s="49">
        <f>0.102*$BU$10*$BS$8</f>
        <v>3.043924799999999</v>
      </c>
      <c r="BV31" s="49"/>
      <c r="BW31" s="50"/>
    </row>
    <row r="32" spans="1:75" ht="12.75" customHeight="1">
      <c r="A32" s="58"/>
      <c r="B32" s="6"/>
      <c r="C32" s="7"/>
      <c r="D32" s="7"/>
      <c r="E32" s="7"/>
      <c r="F32" s="7"/>
      <c r="G32" s="7"/>
      <c r="H32" s="7"/>
      <c r="I32" s="7"/>
      <c r="J32" s="23"/>
      <c r="K32" s="23"/>
      <c r="L32" s="23"/>
      <c r="M32" s="23"/>
      <c r="N32" s="23"/>
      <c r="O32" s="23"/>
      <c r="P32" s="23"/>
      <c r="Q32" s="23"/>
      <c r="R32" s="23"/>
      <c r="S32" s="7"/>
      <c r="T32" s="7"/>
      <c r="U32" s="7" t="s">
        <v>73</v>
      </c>
      <c r="V32" s="7"/>
      <c r="W32" s="7"/>
      <c r="X32" s="7"/>
      <c r="Y32" s="8"/>
      <c r="Z32" s="6"/>
      <c r="AA32" s="7" t="s">
        <v>77</v>
      </c>
      <c r="AB32" s="7"/>
      <c r="AC32" s="7"/>
      <c r="AD32" s="7"/>
      <c r="AE32" s="49">
        <f>0.025*$AD$2*$AC$7^2</f>
        <v>1.5187500000000003</v>
      </c>
      <c r="AF32" s="49"/>
      <c r="AG32" s="49"/>
      <c r="AH32" s="6"/>
      <c r="AI32" s="21" t="s">
        <v>84</v>
      </c>
      <c r="AJ32" s="7"/>
      <c r="AK32" s="7"/>
      <c r="AL32" s="7"/>
      <c r="AM32" s="49">
        <f>0.1*$AL$2*$AK$8</f>
        <v>12.8</v>
      </c>
      <c r="AN32" s="49"/>
      <c r="AO32" s="50"/>
      <c r="AP32" s="6"/>
      <c r="AQ32" s="7"/>
      <c r="AR32" s="7"/>
      <c r="AS32" s="21" t="s">
        <v>91</v>
      </c>
      <c r="AT32" s="7"/>
      <c r="AU32" s="7"/>
      <c r="AV32" s="7"/>
      <c r="AW32" s="49">
        <f>0.067*$AT$2*$AU$8</f>
        <v>3.5175000000000005</v>
      </c>
      <c r="AX32" s="49"/>
      <c r="AY32" s="50"/>
      <c r="AZ32" s="6"/>
      <c r="BA32" s="21" t="s">
        <v>98</v>
      </c>
      <c r="BB32" s="7"/>
      <c r="BC32" s="7"/>
      <c r="BD32" s="7"/>
      <c r="BE32" s="49">
        <f>0.042*$BE$10*$BC$8</f>
        <v>0.6481755000000001</v>
      </c>
      <c r="BF32" s="49"/>
      <c r="BG32" s="50"/>
      <c r="BH32" s="7"/>
      <c r="BI32" s="21" t="s">
        <v>105</v>
      </c>
      <c r="BJ32" s="7"/>
      <c r="BK32" s="7"/>
      <c r="BL32" s="7"/>
      <c r="BM32" s="49">
        <f>0.04*$BM$10*$BK$8</f>
        <v>1.1487749999999999</v>
      </c>
      <c r="BN32" s="49"/>
      <c r="BO32" s="50"/>
      <c r="BP32" s="7"/>
      <c r="BQ32" s="21" t="s">
        <v>111</v>
      </c>
      <c r="BR32" s="7"/>
      <c r="BS32" s="7"/>
      <c r="BT32" s="7"/>
      <c r="BU32" s="49">
        <f>0.036*$BU$10*$BS$8</f>
        <v>1.0743263999999997</v>
      </c>
      <c r="BV32" s="49"/>
      <c r="BW32" s="50"/>
    </row>
    <row r="33" spans="1:75" ht="12.75" customHeight="1">
      <c r="A33" s="58"/>
      <c r="B33" s="6"/>
      <c r="C33" s="7"/>
      <c r="D33" s="7"/>
      <c r="E33" s="7"/>
      <c r="F33" s="7"/>
      <c r="G33" s="7"/>
      <c r="H33" s="7"/>
      <c r="I33" s="7"/>
      <c r="J33" s="7"/>
      <c r="K33" s="12">
        <v>1</v>
      </c>
      <c r="L33" s="7"/>
      <c r="M33" s="7"/>
      <c r="N33" s="12">
        <v>2</v>
      </c>
      <c r="O33" s="7"/>
      <c r="P33" s="7"/>
      <c r="Q33" s="12">
        <v>3</v>
      </c>
      <c r="R33" s="7"/>
      <c r="S33" s="7"/>
      <c r="T33" s="7"/>
      <c r="U33" s="7" t="s">
        <v>44</v>
      </c>
      <c r="V33" s="7"/>
      <c r="W33" s="7"/>
      <c r="X33" s="7"/>
      <c r="Y33" s="8"/>
      <c r="Z33" s="6"/>
      <c r="AA33" s="21" t="s">
        <v>78</v>
      </c>
      <c r="AB33" s="7"/>
      <c r="AC33" s="7"/>
      <c r="AD33" s="7"/>
      <c r="AE33" s="49">
        <f>-0.1*$AD$2*$AC$7^2</f>
        <v>-6.075000000000001</v>
      </c>
      <c r="AF33" s="49"/>
      <c r="AG33" s="49"/>
      <c r="AH33" s="6"/>
      <c r="AI33" s="21" t="s">
        <v>85</v>
      </c>
      <c r="AJ33" s="7"/>
      <c r="AK33" s="7"/>
      <c r="AL33" s="7"/>
      <c r="AM33" s="49">
        <f>-0.15*$AL$2*$AK$8</f>
        <v>-19.2</v>
      </c>
      <c r="AN33" s="49"/>
      <c r="AO33" s="50"/>
      <c r="AP33" s="6"/>
      <c r="AQ33" s="7"/>
      <c r="AR33" s="7"/>
      <c r="AS33" s="21" t="s">
        <v>92</v>
      </c>
      <c r="AT33" s="7"/>
      <c r="AU33" s="7"/>
      <c r="AV33" s="7"/>
      <c r="AW33" s="49">
        <f>-0.267*$AT$2*$AU$8</f>
        <v>-14.0175</v>
      </c>
      <c r="AX33" s="49"/>
      <c r="AY33" s="50"/>
      <c r="AZ33" s="6"/>
      <c r="BA33" s="21" t="s">
        <v>99</v>
      </c>
      <c r="BB33" s="7"/>
      <c r="BC33" s="7"/>
      <c r="BD33" s="7"/>
      <c r="BE33" s="49">
        <f>-0.125*$BE$10*$BC$8</f>
        <v>-1.92909375</v>
      </c>
      <c r="BF33" s="49"/>
      <c r="BG33" s="50"/>
      <c r="BH33" s="7"/>
      <c r="BI33" s="21" t="s">
        <v>106</v>
      </c>
      <c r="BJ33" s="7"/>
      <c r="BK33" s="7"/>
      <c r="BL33" s="7"/>
      <c r="BM33" s="49">
        <f>-0.124*$BM$10*$BK$8</f>
        <v>-3.5612025</v>
      </c>
      <c r="BN33" s="49"/>
      <c r="BO33" s="50"/>
      <c r="BP33" s="7"/>
      <c r="BQ33" s="21" t="s">
        <v>112</v>
      </c>
      <c r="BR33" s="7"/>
      <c r="BS33" s="7"/>
      <c r="BT33" s="7"/>
      <c r="BU33" s="49">
        <f>-0.121*$BU$10*$BS$8</f>
        <v>-3.610930399999999</v>
      </c>
      <c r="BV33" s="49"/>
      <c r="BW33" s="50"/>
    </row>
    <row r="34" spans="1:75" ht="12.75" customHeight="1">
      <c r="A34" s="58"/>
      <c r="B34" s="6"/>
      <c r="C34" s="7"/>
      <c r="D34" s="7"/>
      <c r="E34" s="7"/>
      <c r="F34" s="7"/>
      <c r="G34" s="7"/>
      <c r="H34" s="7"/>
      <c r="I34" s="51" t="s">
        <v>0</v>
      </c>
      <c r="J34" s="51"/>
      <c r="K34" s="12"/>
      <c r="L34" s="51" t="s">
        <v>1</v>
      </c>
      <c r="M34" s="51"/>
      <c r="N34" s="12"/>
      <c r="O34" s="51" t="s">
        <v>2</v>
      </c>
      <c r="P34" s="51"/>
      <c r="Q34" s="12"/>
      <c r="R34" s="51" t="s">
        <v>72</v>
      </c>
      <c r="S34" s="51"/>
      <c r="T34" s="7"/>
      <c r="U34" s="7" t="s">
        <v>0</v>
      </c>
      <c r="V34" s="7"/>
      <c r="W34" s="7"/>
      <c r="X34" s="7"/>
      <c r="Y34" s="8"/>
      <c r="Z34" s="6"/>
      <c r="AA34" s="7" t="s">
        <v>79</v>
      </c>
      <c r="AB34" s="7"/>
      <c r="AC34" s="7"/>
      <c r="AD34" s="7"/>
      <c r="AE34" s="49">
        <f>0.4*$AD$2*$AC$7</f>
        <v>5.4</v>
      </c>
      <c r="AF34" s="49"/>
      <c r="AG34" s="49"/>
      <c r="AH34" s="6"/>
      <c r="AI34" s="21" t="s">
        <v>86</v>
      </c>
      <c r="AJ34" s="7"/>
      <c r="AK34" s="7"/>
      <c r="AL34" s="7"/>
      <c r="AM34" s="49">
        <f>0.35*$AL$2</f>
        <v>11.2</v>
      </c>
      <c r="AN34" s="49"/>
      <c r="AO34" s="50"/>
      <c r="AP34" s="6"/>
      <c r="AQ34" s="7"/>
      <c r="AR34" s="7"/>
      <c r="AS34" s="21" t="s">
        <v>93</v>
      </c>
      <c r="AT34" s="7"/>
      <c r="AU34" s="7"/>
      <c r="AV34" s="7"/>
      <c r="AW34" s="49">
        <f>0.733*$AT$2</f>
        <v>10.995</v>
      </c>
      <c r="AX34" s="49"/>
      <c r="AY34" s="50"/>
      <c r="AZ34" s="6"/>
      <c r="BA34" s="21" t="s">
        <v>100</v>
      </c>
      <c r="BB34" s="7"/>
      <c r="BC34" s="7"/>
      <c r="BD34" s="7"/>
      <c r="BE34" s="49">
        <f>0.375*$BE$10</f>
        <v>2.030625</v>
      </c>
      <c r="BF34" s="49"/>
      <c r="BG34" s="50"/>
      <c r="BH34" s="7"/>
      <c r="BI34" s="21" t="s">
        <v>107</v>
      </c>
      <c r="BJ34" s="7"/>
      <c r="BK34" s="7"/>
      <c r="BL34" s="7"/>
      <c r="BM34" s="49">
        <f>0.376*$BM$10</f>
        <v>2.5408199999999996</v>
      </c>
      <c r="BN34" s="49"/>
      <c r="BO34" s="50"/>
      <c r="BP34" s="7"/>
      <c r="BQ34" s="21" t="s">
        <v>113</v>
      </c>
      <c r="BR34" s="7"/>
      <c r="BS34" s="7"/>
      <c r="BT34" s="7"/>
      <c r="BU34" s="49">
        <f>0.379*$BU$10</f>
        <v>3.0987039999999992</v>
      </c>
      <c r="BV34" s="49"/>
      <c r="BW34" s="50"/>
    </row>
    <row r="35" spans="1:75" ht="12.75" customHeight="1">
      <c r="A35" s="58"/>
      <c r="B35" s="6"/>
      <c r="C35" s="7"/>
      <c r="D35" s="7"/>
      <c r="E35" s="7"/>
      <c r="F35" s="7"/>
      <c r="G35" s="7"/>
      <c r="H35" s="7"/>
      <c r="I35" s="7"/>
      <c r="J35" s="24"/>
      <c r="K35" s="24" t="s">
        <v>20</v>
      </c>
      <c r="L35" s="7"/>
      <c r="M35" s="24"/>
      <c r="N35" s="24" t="s">
        <v>20</v>
      </c>
      <c r="O35" s="7"/>
      <c r="P35" s="25"/>
      <c r="Q35" s="12" t="str">
        <f>+N35</f>
        <v>L</v>
      </c>
      <c r="R35" s="7"/>
      <c r="S35" s="7"/>
      <c r="T35" s="7"/>
      <c r="U35" s="7" t="s">
        <v>1</v>
      </c>
      <c r="V35" s="7"/>
      <c r="W35" s="7"/>
      <c r="X35" s="7"/>
      <c r="Y35" s="8"/>
      <c r="Z35" s="6"/>
      <c r="AA35" s="7" t="s">
        <v>80</v>
      </c>
      <c r="AB35" s="7"/>
      <c r="AC35" s="7"/>
      <c r="AD35" s="7"/>
      <c r="AE35" s="49">
        <f>1.1*$AD$2*$AC$7</f>
        <v>14.850000000000001</v>
      </c>
      <c r="AF35" s="49"/>
      <c r="AG35" s="49"/>
      <c r="AH35" s="6"/>
      <c r="AI35" s="21" t="s">
        <v>87</v>
      </c>
      <c r="AJ35" s="7"/>
      <c r="AK35" s="7"/>
      <c r="AL35" s="7"/>
      <c r="AM35" s="49">
        <f>1.15*$AL$2</f>
        <v>36.8</v>
      </c>
      <c r="AN35" s="49"/>
      <c r="AO35" s="50"/>
      <c r="AP35" s="6"/>
      <c r="AQ35" s="7"/>
      <c r="AR35" s="7"/>
      <c r="AS35" s="21" t="s">
        <v>94</v>
      </c>
      <c r="AT35" s="7"/>
      <c r="AU35" s="7"/>
      <c r="AV35" s="7"/>
      <c r="AW35" s="49">
        <f>2.267*$AT$2</f>
        <v>34.004999999999995</v>
      </c>
      <c r="AX35" s="49"/>
      <c r="AY35" s="50"/>
      <c r="AZ35" s="6"/>
      <c r="BA35" s="21" t="s">
        <v>101</v>
      </c>
      <c r="BB35" s="7"/>
      <c r="BC35" s="7"/>
      <c r="BD35" s="7"/>
      <c r="BE35" s="49">
        <f>1.125*$BE$10</f>
        <v>6.091875</v>
      </c>
      <c r="BF35" s="49"/>
      <c r="BG35" s="50"/>
      <c r="BH35" s="7"/>
      <c r="BI35" s="21" t="s">
        <v>108</v>
      </c>
      <c r="BJ35" s="7"/>
      <c r="BK35" s="7"/>
      <c r="BL35" s="7"/>
      <c r="BM35" s="49">
        <f>1.124*$BM$10</f>
        <v>7.59543</v>
      </c>
      <c r="BN35" s="49"/>
      <c r="BO35" s="50"/>
      <c r="BP35" s="7"/>
      <c r="BQ35" s="21" t="s">
        <v>114</v>
      </c>
      <c r="BR35" s="7"/>
      <c r="BS35" s="7"/>
      <c r="BT35" s="7"/>
      <c r="BU35" s="49">
        <f>1.121*$BU$10</f>
        <v>9.165295999999998</v>
      </c>
      <c r="BV35" s="49"/>
      <c r="BW35" s="50"/>
    </row>
    <row r="36" spans="1:75" ht="12.75" customHeight="1">
      <c r="A36" s="58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 t="s">
        <v>74</v>
      </c>
      <c r="V36" s="7"/>
      <c r="W36" s="7"/>
      <c r="X36" s="7"/>
      <c r="Y36" s="8"/>
      <c r="Z36" s="6"/>
      <c r="AA36" s="21" t="s">
        <v>81</v>
      </c>
      <c r="AB36" s="7"/>
      <c r="AC36" s="7"/>
      <c r="AD36" s="7"/>
      <c r="AE36" s="49">
        <f>-0.6*$AD$2*$AC$7</f>
        <v>-8.1</v>
      </c>
      <c r="AF36" s="49"/>
      <c r="AG36" s="49"/>
      <c r="AH36" s="6"/>
      <c r="AI36" s="21" t="s">
        <v>88</v>
      </c>
      <c r="AJ36" s="7"/>
      <c r="AK36" s="7"/>
      <c r="AL36" s="7"/>
      <c r="AM36" s="49">
        <f>-0.65*$AL$2</f>
        <v>-20.8</v>
      </c>
      <c r="AN36" s="49"/>
      <c r="AO36" s="50"/>
      <c r="AP36" s="6"/>
      <c r="AQ36" s="7"/>
      <c r="AR36" s="7"/>
      <c r="AS36" s="21" t="s">
        <v>95</v>
      </c>
      <c r="AT36" s="7"/>
      <c r="AU36" s="7"/>
      <c r="AV36" s="7"/>
      <c r="AW36" s="49">
        <f>-1.267*$AT$2</f>
        <v>-19.005</v>
      </c>
      <c r="AX36" s="49"/>
      <c r="AY36" s="50"/>
      <c r="AZ36" s="6"/>
      <c r="BA36" s="21" t="s">
        <v>102</v>
      </c>
      <c r="BB36" s="7"/>
      <c r="BC36" s="7"/>
      <c r="BD36" s="7"/>
      <c r="BE36" s="49">
        <f>-0.625*$BE$10</f>
        <v>-3.384375</v>
      </c>
      <c r="BF36" s="49"/>
      <c r="BG36" s="50"/>
      <c r="BH36" s="7"/>
      <c r="BI36" s="21" t="s">
        <v>109</v>
      </c>
      <c r="BJ36" s="7"/>
      <c r="BK36" s="7"/>
      <c r="BL36" s="7"/>
      <c r="BM36" s="49">
        <f>-0.624*$BM$10</f>
        <v>-4.216679999999999</v>
      </c>
      <c r="BN36" s="49"/>
      <c r="BO36" s="50"/>
      <c r="BP36" s="7"/>
      <c r="BQ36" s="21" t="s">
        <v>115</v>
      </c>
      <c r="BR36" s="7"/>
      <c r="BS36" s="7"/>
      <c r="BT36" s="7"/>
      <c r="BU36" s="49">
        <f>-0.621*$BU$10</f>
        <v>-5.077295999999999</v>
      </c>
      <c r="BV36" s="49"/>
      <c r="BW36" s="50"/>
    </row>
    <row r="37" spans="1:75" ht="12.75" customHeight="1">
      <c r="A37" s="58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 t="s">
        <v>75</v>
      </c>
      <c r="V37" s="7"/>
      <c r="W37" s="7"/>
      <c r="X37" s="7"/>
      <c r="Y37" s="8"/>
      <c r="Z37" s="6"/>
      <c r="AA37" s="7" t="s">
        <v>82</v>
      </c>
      <c r="AB37" s="7"/>
      <c r="AC37" s="7"/>
      <c r="AD37" s="7"/>
      <c r="AE37" s="49">
        <f>0.5*$AD$2*$AC$7</f>
        <v>6.75</v>
      </c>
      <c r="AF37" s="49"/>
      <c r="AG37" s="49"/>
      <c r="AH37" s="6"/>
      <c r="AI37" s="21" t="s">
        <v>89</v>
      </c>
      <c r="AJ37" s="7"/>
      <c r="AK37" s="7"/>
      <c r="AL37" s="7"/>
      <c r="AM37" s="49">
        <f>0.5*$AL$2</f>
        <v>16</v>
      </c>
      <c r="AN37" s="49"/>
      <c r="AO37" s="50"/>
      <c r="AP37" s="6"/>
      <c r="AQ37" s="7"/>
      <c r="AR37" s="7"/>
      <c r="AS37" s="21" t="s">
        <v>96</v>
      </c>
      <c r="AT37" s="7"/>
      <c r="AU37" s="7"/>
      <c r="AV37" s="7"/>
      <c r="AW37" s="49">
        <f>1*$AT$2</f>
        <v>15</v>
      </c>
      <c r="AX37" s="49"/>
      <c r="AY37" s="50"/>
      <c r="AZ37" s="6"/>
      <c r="BA37" s="21" t="s">
        <v>103</v>
      </c>
      <c r="BB37" s="7"/>
      <c r="BC37" s="7"/>
      <c r="BD37" s="7"/>
      <c r="BE37" s="49">
        <f>0.5*$BE$10</f>
        <v>2.7075</v>
      </c>
      <c r="BF37" s="49"/>
      <c r="BG37" s="50"/>
      <c r="BH37" s="7"/>
      <c r="BI37" s="21" t="s">
        <v>103</v>
      </c>
      <c r="BJ37" s="7"/>
      <c r="BK37" s="7"/>
      <c r="BL37" s="7"/>
      <c r="BM37" s="49">
        <f>0.5*$BM$10</f>
        <v>3.3787499999999997</v>
      </c>
      <c r="BN37" s="49"/>
      <c r="BO37" s="50"/>
      <c r="BP37" s="7"/>
      <c r="BQ37" s="21" t="s">
        <v>103</v>
      </c>
      <c r="BR37" s="7"/>
      <c r="BS37" s="7"/>
      <c r="BT37" s="7"/>
      <c r="BU37" s="49">
        <f>0.5*$BU$10</f>
        <v>4.087999999999999</v>
      </c>
      <c r="BV37" s="49"/>
      <c r="BW37" s="50"/>
    </row>
    <row r="38" spans="1:75" ht="12.75" customHeight="1">
      <c r="A38" s="58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44"/>
      <c r="Z38" s="6"/>
      <c r="AA38" s="7"/>
      <c r="AB38" s="7"/>
      <c r="AC38" s="7"/>
      <c r="AD38" s="7"/>
      <c r="AE38" s="7"/>
      <c r="AF38" s="7"/>
      <c r="AG38" s="7"/>
      <c r="AH38" s="6"/>
      <c r="AI38" s="7"/>
      <c r="AJ38" s="7"/>
      <c r="AK38" s="7"/>
      <c r="AL38" s="7"/>
      <c r="AM38" s="7"/>
      <c r="AN38" s="7"/>
      <c r="AO38" s="8"/>
      <c r="AP38" s="6"/>
      <c r="AQ38" s="7"/>
      <c r="AR38" s="7"/>
      <c r="AS38" s="7"/>
      <c r="AT38" s="7"/>
      <c r="AU38" s="7"/>
      <c r="AV38" s="7"/>
      <c r="AW38" s="7"/>
      <c r="AX38" s="7"/>
      <c r="AY38" s="8"/>
      <c r="AZ38" s="6"/>
      <c r="BA38" s="7"/>
      <c r="BB38" s="7"/>
      <c r="BC38" s="7"/>
      <c r="BD38" s="7"/>
      <c r="BE38" s="7"/>
      <c r="BF38" s="7"/>
      <c r="BG38" s="8"/>
      <c r="BH38" s="7"/>
      <c r="BI38" s="7"/>
      <c r="BJ38" s="7"/>
      <c r="BK38" s="7"/>
      <c r="BL38" s="7"/>
      <c r="BM38" s="7"/>
      <c r="BN38" s="7"/>
      <c r="BO38" s="8"/>
      <c r="BP38" s="7"/>
      <c r="BQ38" s="7"/>
      <c r="BR38" s="7"/>
      <c r="BS38" s="7"/>
      <c r="BT38" s="7"/>
      <c r="BU38" s="7"/>
      <c r="BV38" s="7"/>
      <c r="BW38" s="8"/>
    </row>
    <row r="39" spans="1:75" ht="12.75" customHeight="1">
      <c r="A39" s="58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Z39" s="3"/>
      <c r="AA39" s="4"/>
      <c r="AB39" s="4"/>
      <c r="AC39" s="4"/>
      <c r="AD39" s="4"/>
      <c r="AE39" s="4"/>
      <c r="AF39" s="4"/>
      <c r="AG39" s="4"/>
      <c r="AH39" s="3"/>
      <c r="AI39" s="4"/>
      <c r="AJ39" s="4"/>
      <c r="AK39" s="4"/>
      <c r="AL39" s="4"/>
      <c r="AM39" s="4"/>
      <c r="AN39" s="4"/>
      <c r="AO39" s="5"/>
      <c r="AP39" s="3"/>
      <c r="AQ39" s="4"/>
      <c r="AR39" s="4"/>
      <c r="AS39" s="4"/>
      <c r="AT39" s="4"/>
      <c r="AU39" s="4"/>
      <c r="AV39" s="4"/>
      <c r="AW39" s="4"/>
      <c r="AX39" s="4"/>
      <c r="AY39" s="5"/>
      <c r="AZ39" s="3"/>
      <c r="BA39" s="4"/>
      <c r="BB39" s="4"/>
      <c r="BC39" s="4"/>
      <c r="BD39" s="4"/>
      <c r="BE39" s="4"/>
      <c r="BF39" s="4"/>
      <c r="BG39" s="5"/>
      <c r="BH39" s="4"/>
      <c r="BI39" s="4"/>
      <c r="BJ39" s="4"/>
      <c r="BK39" s="4"/>
      <c r="BL39" s="4"/>
      <c r="BM39" s="4"/>
      <c r="BN39" s="4"/>
      <c r="BO39" s="5"/>
      <c r="BP39" s="4"/>
      <c r="BQ39" s="4"/>
      <c r="BR39" s="4"/>
      <c r="BS39" s="4"/>
      <c r="BT39" s="4"/>
      <c r="BU39" s="4"/>
      <c r="BV39" s="4"/>
      <c r="BW39" s="5"/>
    </row>
    <row r="40" spans="1:75" ht="13.5" customHeight="1" thickBot="1">
      <c r="A40" s="58"/>
      <c r="B40" s="6"/>
      <c r="C40" s="7"/>
      <c r="D40" s="7"/>
      <c r="E40" s="7"/>
      <c r="F40" s="7"/>
      <c r="G40" s="7"/>
      <c r="H40" s="7"/>
      <c r="I40" s="7"/>
      <c r="J40" s="23"/>
      <c r="K40" s="23"/>
      <c r="L40" s="23"/>
      <c r="M40" s="34"/>
      <c r="N40" s="34"/>
      <c r="O40" s="34"/>
      <c r="P40" s="23"/>
      <c r="Q40" s="23"/>
      <c r="R40" s="23"/>
      <c r="S40" s="7"/>
      <c r="T40" s="7"/>
      <c r="U40" s="7" t="s">
        <v>43</v>
      </c>
      <c r="V40" s="7"/>
      <c r="W40" s="7"/>
      <c r="X40" s="7"/>
      <c r="Z40" s="6"/>
      <c r="AA40" s="7" t="s">
        <v>117</v>
      </c>
      <c r="AB40" s="7"/>
      <c r="AC40" s="7"/>
      <c r="AD40" s="7"/>
      <c r="AE40" s="49">
        <f>0.101*$AD$2*$AC$7^2</f>
        <v>6.135750000000001</v>
      </c>
      <c r="AF40" s="49"/>
      <c r="AG40" s="49"/>
      <c r="AH40" s="6"/>
      <c r="AI40" s="21" t="s">
        <v>120</v>
      </c>
      <c r="AJ40" s="7"/>
      <c r="AK40" s="7"/>
      <c r="AL40" s="7"/>
      <c r="AM40" s="49">
        <f>0.213*$AL$2*$AK$8</f>
        <v>27.264</v>
      </c>
      <c r="AN40" s="49"/>
      <c r="AO40" s="50"/>
      <c r="AP40" s="6"/>
      <c r="AQ40" s="21" t="s">
        <v>123</v>
      </c>
      <c r="AR40" s="7"/>
      <c r="AS40" s="7"/>
      <c r="AT40" s="7"/>
      <c r="AU40" s="7"/>
      <c r="AV40" s="7"/>
      <c r="AW40" s="49">
        <f>(0.289/0.244)*$AT$2*$AU$8</f>
        <v>62.18237704918032</v>
      </c>
      <c r="AX40" s="49"/>
      <c r="AY40" s="50"/>
      <c r="AZ40" s="6"/>
      <c r="BA40" s="21" t="s">
        <v>126</v>
      </c>
      <c r="BB40" s="7"/>
      <c r="BC40" s="7"/>
      <c r="BD40" s="7"/>
      <c r="BE40" s="49">
        <f>0.136*$BE$10*$BC$8</f>
        <v>2.098854</v>
      </c>
      <c r="BF40" s="49"/>
      <c r="BG40" s="50"/>
      <c r="BH40" s="7"/>
      <c r="BI40" s="21" t="s">
        <v>129</v>
      </c>
      <c r="BJ40" s="7"/>
      <c r="BK40" s="7"/>
      <c r="BL40" s="7"/>
      <c r="BM40" s="49">
        <f>0.134*$BM$10*$BK$8</f>
        <v>3.84839625</v>
      </c>
      <c r="BN40" s="49"/>
      <c r="BO40" s="50"/>
      <c r="BP40" s="7"/>
      <c r="BQ40" s="21" t="s">
        <v>132</v>
      </c>
      <c r="BR40" s="7"/>
      <c r="BS40" s="7"/>
      <c r="BT40" s="7"/>
      <c r="BU40" s="49">
        <f>0.128*$BU$10*$BS$8</f>
        <v>3.8198271999999998</v>
      </c>
      <c r="BV40" s="49"/>
      <c r="BW40" s="50"/>
    </row>
    <row r="41" spans="1:75" ht="12.75" customHeight="1">
      <c r="A41" s="58"/>
      <c r="B41" s="6"/>
      <c r="C41" s="7"/>
      <c r="D41" s="7"/>
      <c r="E41" s="7"/>
      <c r="F41" s="7"/>
      <c r="G41" s="7"/>
      <c r="H41" s="7"/>
      <c r="I41" s="7"/>
      <c r="J41" s="7"/>
      <c r="K41" s="12">
        <v>1</v>
      </c>
      <c r="L41" s="7"/>
      <c r="M41" s="7"/>
      <c r="N41" s="12">
        <v>2</v>
      </c>
      <c r="O41" s="7"/>
      <c r="P41" s="7"/>
      <c r="Q41" s="12">
        <v>3</v>
      </c>
      <c r="R41" s="7"/>
      <c r="S41" s="7"/>
      <c r="T41" s="7"/>
      <c r="U41" s="7" t="s">
        <v>116</v>
      </c>
      <c r="V41" s="7"/>
      <c r="W41" s="7"/>
      <c r="X41" s="7"/>
      <c r="Z41" s="6"/>
      <c r="AA41" s="21" t="s">
        <v>118</v>
      </c>
      <c r="AB41" s="7"/>
      <c r="AC41" s="7"/>
      <c r="AD41" s="7"/>
      <c r="AE41" s="49">
        <f>-0.05*$AD$2*$AC$7^2</f>
        <v>-3.0375000000000005</v>
      </c>
      <c r="AF41" s="49"/>
      <c r="AG41" s="49"/>
      <c r="AH41" s="6"/>
      <c r="AI41" s="21" t="s">
        <v>121</v>
      </c>
      <c r="AJ41" s="7"/>
      <c r="AK41" s="7"/>
      <c r="AL41" s="7"/>
      <c r="AM41" s="49">
        <f>-0.075*$AL$2*$AK$8</f>
        <v>-9.6</v>
      </c>
      <c r="AN41" s="49"/>
      <c r="AO41" s="50"/>
      <c r="AP41" s="6"/>
      <c r="AQ41" s="7"/>
      <c r="AR41" s="7"/>
      <c r="AS41" s="21" t="s">
        <v>124</v>
      </c>
      <c r="AT41" s="7"/>
      <c r="AU41" s="7"/>
      <c r="AV41" s="7"/>
      <c r="AW41" s="49">
        <f>-0.133*$AT$2*$AU$8</f>
        <v>-6.9825</v>
      </c>
      <c r="AX41" s="49"/>
      <c r="AY41" s="50"/>
      <c r="AZ41" s="6"/>
      <c r="BA41" s="21" t="s">
        <v>127</v>
      </c>
      <c r="BB41" s="7"/>
      <c r="BC41" s="7"/>
      <c r="BD41" s="7"/>
      <c r="BE41" s="49">
        <f>-0.063*$BE$10*$BC$8</f>
        <v>-0.9722632500000001</v>
      </c>
      <c r="BF41" s="49"/>
      <c r="BG41" s="50"/>
      <c r="BH41" s="7"/>
      <c r="BI41" s="21" t="s">
        <v>130</v>
      </c>
      <c r="BJ41" s="7"/>
      <c r="BK41" s="7"/>
      <c r="BL41" s="7"/>
      <c r="BM41" s="49">
        <f>-0.062*$BM$10*$BK$8</f>
        <v>-1.78060125</v>
      </c>
      <c r="BN41" s="49"/>
      <c r="BO41" s="50"/>
      <c r="BP41" s="7"/>
      <c r="BQ41" s="21" t="s">
        <v>133</v>
      </c>
      <c r="BR41" s="7"/>
      <c r="BS41" s="7"/>
      <c r="BT41" s="7"/>
      <c r="BU41" s="49">
        <f>-0.061*$BU$10*$BS$8</f>
        <v>-1.8203863999999996</v>
      </c>
      <c r="BV41" s="49"/>
      <c r="BW41" s="50"/>
    </row>
    <row r="42" spans="1:75" ht="12.75" customHeight="1">
      <c r="A42" s="58"/>
      <c r="B42" s="6"/>
      <c r="C42" s="7"/>
      <c r="D42" s="7"/>
      <c r="E42" s="7"/>
      <c r="F42" s="7"/>
      <c r="G42" s="7"/>
      <c r="H42" s="7"/>
      <c r="I42" s="51" t="s">
        <v>0</v>
      </c>
      <c r="J42" s="51"/>
      <c r="K42" s="12"/>
      <c r="L42" s="51" t="s">
        <v>1</v>
      </c>
      <c r="M42" s="51"/>
      <c r="N42" s="12"/>
      <c r="O42" s="51" t="s">
        <v>2</v>
      </c>
      <c r="P42" s="51"/>
      <c r="Q42" s="12"/>
      <c r="R42" s="51" t="s">
        <v>72</v>
      </c>
      <c r="S42" s="51"/>
      <c r="T42" s="7"/>
      <c r="U42" s="7" t="s">
        <v>44</v>
      </c>
      <c r="V42" s="7"/>
      <c r="W42" s="7"/>
      <c r="X42" s="7"/>
      <c r="Z42" s="6"/>
      <c r="AA42" s="21" t="s">
        <v>118</v>
      </c>
      <c r="AB42" s="7"/>
      <c r="AC42" s="7"/>
      <c r="AD42" s="7"/>
      <c r="AE42" s="49">
        <f>-0.05*$AD$2*$AC$7^2</f>
        <v>-3.0375000000000005</v>
      </c>
      <c r="AF42" s="49"/>
      <c r="AG42" s="49"/>
      <c r="AH42" s="6"/>
      <c r="AI42" s="21" t="s">
        <v>121</v>
      </c>
      <c r="AJ42" s="7"/>
      <c r="AK42" s="7"/>
      <c r="AL42" s="7"/>
      <c r="AM42" s="49">
        <f>-0.075*$AL$2*$AK$8</f>
        <v>-9.6</v>
      </c>
      <c r="AN42" s="49"/>
      <c r="AO42" s="50"/>
      <c r="AP42" s="6"/>
      <c r="AQ42" s="7"/>
      <c r="AR42" s="7"/>
      <c r="AS42" s="21" t="s">
        <v>124</v>
      </c>
      <c r="AT42" s="7"/>
      <c r="AU42" s="7"/>
      <c r="AV42" s="7"/>
      <c r="AW42" s="49">
        <f>-0.133*$AT$2*$AU$8</f>
        <v>-6.9825</v>
      </c>
      <c r="AX42" s="49"/>
      <c r="AY42" s="50"/>
      <c r="AZ42" s="6"/>
      <c r="BA42" s="21" t="s">
        <v>127</v>
      </c>
      <c r="BB42" s="7"/>
      <c r="BC42" s="7"/>
      <c r="BD42" s="7"/>
      <c r="BE42" s="49">
        <f>-0.063*$BE$10*$BC$8</f>
        <v>-0.9722632500000001</v>
      </c>
      <c r="BF42" s="49"/>
      <c r="BG42" s="50"/>
      <c r="BH42" s="7"/>
      <c r="BI42" s="21" t="s">
        <v>130</v>
      </c>
      <c r="BJ42" s="7"/>
      <c r="BK42" s="7"/>
      <c r="BL42" s="7"/>
      <c r="BM42" s="49">
        <f>-0.062*$BM$10*$BK$8</f>
        <v>-1.78060125</v>
      </c>
      <c r="BN42" s="49"/>
      <c r="BO42" s="50"/>
      <c r="BP42" s="7"/>
      <c r="BQ42" s="21" t="s">
        <v>133</v>
      </c>
      <c r="BR42" s="7"/>
      <c r="BS42" s="7"/>
      <c r="BT42" s="7"/>
      <c r="BU42" s="49">
        <f>-0.061*$BU$10*$BS$8</f>
        <v>-1.8203863999999996</v>
      </c>
      <c r="BV42" s="49"/>
      <c r="BW42" s="50"/>
    </row>
    <row r="43" spans="1:75" ht="12.75" customHeight="1">
      <c r="A43" s="58"/>
      <c r="B43" s="6"/>
      <c r="C43" s="7"/>
      <c r="D43" s="7"/>
      <c r="E43" s="7"/>
      <c r="F43" s="7"/>
      <c r="G43" s="7"/>
      <c r="H43" s="7"/>
      <c r="I43" s="7"/>
      <c r="J43" s="24"/>
      <c r="K43" s="24" t="s">
        <v>20</v>
      </c>
      <c r="L43" s="7"/>
      <c r="M43" s="24"/>
      <c r="N43" s="24" t="s">
        <v>20</v>
      </c>
      <c r="O43" s="7"/>
      <c r="P43" s="25"/>
      <c r="Q43" s="12" t="str">
        <f>+N43</f>
        <v>L</v>
      </c>
      <c r="R43" s="7"/>
      <c r="S43" s="7"/>
      <c r="T43" s="7"/>
      <c r="U43" s="7" t="s">
        <v>45</v>
      </c>
      <c r="V43" s="7"/>
      <c r="W43" s="7"/>
      <c r="X43" s="7"/>
      <c r="Z43" s="6"/>
      <c r="AA43" s="7" t="s">
        <v>119</v>
      </c>
      <c r="AB43" s="7"/>
      <c r="AC43" s="7"/>
      <c r="AD43" s="7"/>
      <c r="AE43" s="49">
        <f>0.45*$AD$2*$AC$7</f>
        <v>6.075</v>
      </c>
      <c r="AF43" s="49"/>
      <c r="AG43" s="49"/>
      <c r="AH43" s="6"/>
      <c r="AI43" s="21" t="s">
        <v>122</v>
      </c>
      <c r="AJ43" s="7"/>
      <c r="AK43" s="7"/>
      <c r="AL43" s="7"/>
      <c r="AM43" s="49">
        <f>0.425*$AL$2</f>
        <v>13.6</v>
      </c>
      <c r="AN43" s="49"/>
      <c r="AO43" s="50"/>
      <c r="AP43" s="6"/>
      <c r="AQ43" s="7"/>
      <c r="AR43" s="7"/>
      <c r="AS43" s="21" t="s">
        <v>125</v>
      </c>
      <c r="AT43" s="7"/>
      <c r="AU43" s="7"/>
      <c r="AV43" s="7"/>
      <c r="AW43" s="49">
        <f>0.867*$AT$2</f>
        <v>13.004999999999999</v>
      </c>
      <c r="AX43" s="49"/>
      <c r="AY43" s="50"/>
      <c r="AZ43" s="6"/>
      <c r="BA43" s="21" t="s">
        <v>128</v>
      </c>
      <c r="BB43" s="7"/>
      <c r="BC43" s="7"/>
      <c r="BD43" s="7"/>
      <c r="BE43" s="49">
        <f>0.437*$BE$10</f>
        <v>2.366355</v>
      </c>
      <c r="BF43" s="49"/>
      <c r="BG43" s="50"/>
      <c r="BH43" s="7"/>
      <c r="BI43" s="21" t="s">
        <v>131</v>
      </c>
      <c r="BJ43" s="7"/>
      <c r="BK43" s="7"/>
      <c r="BL43" s="7"/>
      <c r="BM43" s="49">
        <f>0.438*$BM$10</f>
        <v>2.9597849999999997</v>
      </c>
      <c r="BN43" s="49"/>
      <c r="BO43" s="50"/>
      <c r="BP43" s="7"/>
      <c r="BQ43" s="21" t="s">
        <v>134</v>
      </c>
      <c r="BR43" s="7"/>
      <c r="BS43" s="7"/>
      <c r="BT43" s="7"/>
      <c r="BU43" s="49">
        <f>0.439*$BU$10</f>
        <v>3.589263999999999</v>
      </c>
      <c r="BV43" s="49"/>
      <c r="BW43" s="50"/>
    </row>
    <row r="44" spans="1:75" ht="12.75" customHeight="1">
      <c r="A44" s="58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Z44" s="26"/>
      <c r="AA44" s="27"/>
      <c r="AB44" s="27"/>
      <c r="AC44" s="27"/>
      <c r="AD44" s="27"/>
      <c r="AE44" s="27"/>
      <c r="AF44" s="27"/>
      <c r="AG44" s="27"/>
      <c r="AH44" s="26"/>
      <c r="AI44" s="27"/>
      <c r="AJ44" s="27"/>
      <c r="AK44" s="27"/>
      <c r="AL44" s="27"/>
      <c r="AM44" s="27"/>
      <c r="AN44" s="27"/>
      <c r="AO44" s="44"/>
      <c r="AP44" s="26"/>
      <c r="AQ44" s="27"/>
      <c r="AR44" s="27"/>
      <c r="AS44" s="27"/>
      <c r="AT44" s="27"/>
      <c r="AU44" s="27"/>
      <c r="AV44" s="27"/>
      <c r="AW44" s="27"/>
      <c r="AX44" s="27"/>
      <c r="AY44" s="44"/>
      <c r="AZ44" s="26"/>
      <c r="BA44" s="27"/>
      <c r="BB44" s="27"/>
      <c r="BC44" s="27"/>
      <c r="BD44" s="27"/>
      <c r="BE44" s="27"/>
      <c r="BF44" s="27"/>
      <c r="BG44" s="44"/>
      <c r="BH44" s="27"/>
      <c r="BI44" s="27"/>
      <c r="BJ44" s="27"/>
      <c r="BK44" s="27"/>
      <c r="BL44" s="27"/>
      <c r="BM44" s="27"/>
      <c r="BN44" s="27"/>
      <c r="BO44" s="44"/>
      <c r="BP44" s="27"/>
      <c r="BQ44" s="27"/>
      <c r="BR44" s="27"/>
      <c r="BS44" s="27"/>
      <c r="BT44" s="27"/>
      <c r="BU44" s="27"/>
      <c r="BV44" s="27"/>
      <c r="BW44" s="44"/>
    </row>
    <row r="45" spans="1:75" ht="12.75" customHeight="1">
      <c r="A45" s="58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5"/>
      <c r="Z45" s="6"/>
      <c r="AA45" s="7"/>
      <c r="AB45" s="7"/>
      <c r="AC45" s="7"/>
      <c r="AD45" s="7"/>
      <c r="AE45" s="7"/>
      <c r="AF45" s="7"/>
      <c r="AG45" s="7"/>
      <c r="AH45" s="6"/>
      <c r="AI45" s="7"/>
      <c r="AJ45" s="7"/>
      <c r="AK45" s="7"/>
      <c r="AL45" s="7"/>
      <c r="AM45" s="7"/>
      <c r="AN45" s="7"/>
      <c r="AO45" s="8"/>
      <c r="AP45" s="6"/>
      <c r="AQ45" s="7"/>
      <c r="AR45" s="7"/>
      <c r="AS45" s="7"/>
      <c r="AT45" s="7"/>
      <c r="AU45" s="7"/>
      <c r="AV45" s="7"/>
      <c r="AW45" s="7"/>
      <c r="AX45" s="7"/>
      <c r="AY45" s="8"/>
      <c r="AZ45" s="6"/>
      <c r="BA45" s="7"/>
      <c r="BB45" s="7"/>
      <c r="BC45" s="7"/>
      <c r="BD45" s="7"/>
      <c r="BE45" s="7"/>
      <c r="BF45" s="7"/>
      <c r="BG45" s="8"/>
      <c r="BH45" s="7"/>
      <c r="BI45" s="7"/>
      <c r="BJ45" s="7"/>
      <c r="BK45" s="7"/>
      <c r="BL45" s="7"/>
      <c r="BM45" s="7"/>
      <c r="BN45" s="7"/>
      <c r="BO45" s="8"/>
      <c r="BP45" s="7"/>
      <c r="BQ45" s="7"/>
      <c r="BR45" s="7"/>
      <c r="BS45" s="7"/>
      <c r="BT45" s="7"/>
      <c r="BU45" s="7"/>
      <c r="BV45" s="7"/>
      <c r="BW45" s="8"/>
    </row>
    <row r="46" spans="1:75" ht="13.5" customHeight="1" thickBot="1">
      <c r="A46" s="58"/>
      <c r="B46" s="6"/>
      <c r="C46" s="7"/>
      <c r="D46" s="7"/>
      <c r="E46" s="7"/>
      <c r="F46" s="7"/>
      <c r="G46" s="7"/>
      <c r="H46" s="7"/>
      <c r="I46" s="7"/>
      <c r="J46" s="34"/>
      <c r="K46" s="34"/>
      <c r="L46" s="34"/>
      <c r="M46" s="23"/>
      <c r="N46" s="23"/>
      <c r="O46" s="23"/>
      <c r="P46" s="34"/>
      <c r="Q46" s="34"/>
      <c r="R46" s="34"/>
      <c r="S46" s="7"/>
      <c r="T46" s="7"/>
      <c r="U46" s="7" t="s">
        <v>62</v>
      </c>
      <c r="V46" s="7"/>
      <c r="W46" s="7"/>
      <c r="X46" s="7"/>
      <c r="Y46" s="8"/>
      <c r="Z46" s="6"/>
      <c r="AA46" s="7"/>
      <c r="AB46" s="7"/>
      <c r="AC46" s="7"/>
      <c r="AD46" s="7"/>
      <c r="AE46" s="51"/>
      <c r="AF46" s="51"/>
      <c r="AG46" s="51"/>
      <c r="AH46" s="6"/>
      <c r="AI46" s="21" t="s">
        <v>138</v>
      </c>
      <c r="AJ46" s="7"/>
      <c r="AK46" s="7"/>
      <c r="AL46" s="7"/>
      <c r="AM46" s="49">
        <f>-0.038*$AL$2*$AK$8</f>
        <v>-4.864</v>
      </c>
      <c r="AN46" s="49"/>
      <c r="AO46" s="50"/>
      <c r="AP46" s="6"/>
      <c r="AQ46" s="21" t="s">
        <v>141</v>
      </c>
      <c r="AR46" s="7"/>
      <c r="AS46" s="7"/>
      <c r="AT46" s="7"/>
      <c r="AU46" s="7"/>
      <c r="AV46" s="7"/>
      <c r="AW46" s="49">
        <f>-(0.044/0.089)*$AT$2*$AU$8</f>
        <v>-25.95505617977528</v>
      </c>
      <c r="AX46" s="49"/>
      <c r="AY46" s="50"/>
      <c r="AZ46" s="6"/>
      <c r="BA46" s="21" t="s">
        <v>144</v>
      </c>
      <c r="BB46" s="7"/>
      <c r="BC46" s="7"/>
      <c r="BD46" s="7"/>
      <c r="BE46" s="49">
        <f>-0.028*$BE$10*$BC$8</f>
        <v>-0.43211700000000003</v>
      </c>
      <c r="BF46" s="49"/>
      <c r="BG46" s="50"/>
      <c r="BH46" s="7"/>
      <c r="BI46" s="21" t="s">
        <v>144</v>
      </c>
      <c r="BJ46" s="7"/>
      <c r="BK46" s="7"/>
      <c r="BL46" s="7"/>
      <c r="BM46" s="49">
        <f>-0.028*$BM$10*$BK$8</f>
        <v>-0.8041425</v>
      </c>
      <c r="BN46" s="49"/>
      <c r="BO46" s="50"/>
      <c r="BP46" s="7"/>
      <c r="BQ46" s="21" t="s">
        <v>148</v>
      </c>
      <c r="BR46" s="7"/>
      <c r="BS46" s="7"/>
      <c r="BT46" s="7"/>
      <c r="BU46" s="49">
        <f>-0.027*$BU$10*$BS$8</f>
        <v>-0.8057447999999998</v>
      </c>
      <c r="BV46" s="49"/>
      <c r="BW46" s="50"/>
    </row>
    <row r="47" spans="1:75" ht="12.75" customHeight="1">
      <c r="A47" s="58"/>
      <c r="B47" s="6"/>
      <c r="C47" s="7"/>
      <c r="D47" s="7"/>
      <c r="E47" s="7"/>
      <c r="F47" s="7"/>
      <c r="G47" s="7"/>
      <c r="H47" s="7"/>
      <c r="I47" s="7"/>
      <c r="J47" s="7"/>
      <c r="K47" s="12">
        <v>1</v>
      </c>
      <c r="L47" s="7"/>
      <c r="M47" s="7"/>
      <c r="N47" s="12">
        <v>2</v>
      </c>
      <c r="O47" s="7"/>
      <c r="P47" s="7"/>
      <c r="Q47" s="12">
        <v>3</v>
      </c>
      <c r="R47" s="7"/>
      <c r="S47" s="7"/>
      <c r="T47" s="7"/>
      <c r="U47" s="7" t="s">
        <v>135</v>
      </c>
      <c r="V47" s="7"/>
      <c r="W47" s="7"/>
      <c r="X47" s="7"/>
      <c r="Y47" s="8"/>
      <c r="Z47" s="6"/>
      <c r="AA47" s="7" t="s">
        <v>136</v>
      </c>
      <c r="AB47" s="7"/>
      <c r="AC47" s="7"/>
      <c r="AD47" s="7"/>
      <c r="AE47" s="49">
        <f>0.075*$AD$2*$AC$7^2</f>
        <v>4.5562499999999995</v>
      </c>
      <c r="AF47" s="49"/>
      <c r="AG47" s="49"/>
      <c r="AH47" s="6"/>
      <c r="AI47" s="21" t="s">
        <v>83</v>
      </c>
      <c r="AJ47" s="7"/>
      <c r="AK47" s="7"/>
      <c r="AL47" s="7"/>
      <c r="AM47" s="49">
        <f>0.175*$AL$2*$AK$8</f>
        <v>22.4</v>
      </c>
      <c r="AN47" s="49"/>
      <c r="AO47" s="50"/>
      <c r="AP47" s="6"/>
      <c r="AQ47" s="7"/>
      <c r="AR47" s="7"/>
      <c r="AS47" s="21" t="s">
        <v>143</v>
      </c>
      <c r="AT47" s="7"/>
      <c r="AU47" s="7"/>
      <c r="AV47" s="7"/>
      <c r="AW47" s="49">
        <f>-0.2*$AT$2*$AU$8</f>
        <v>-10.5</v>
      </c>
      <c r="AX47" s="49"/>
      <c r="AY47" s="50"/>
      <c r="AZ47" s="6"/>
      <c r="BA47" s="21" t="s">
        <v>145</v>
      </c>
      <c r="BB47" s="7"/>
      <c r="BC47" s="7"/>
      <c r="BD47" s="7"/>
      <c r="BE47" s="49">
        <f>0.104*$BE$10*$BC$8</f>
        <v>1.605006</v>
      </c>
      <c r="BF47" s="49"/>
      <c r="BG47" s="50"/>
      <c r="BH47" s="7"/>
      <c r="BI47" s="21" t="s">
        <v>110</v>
      </c>
      <c r="BJ47" s="7"/>
      <c r="BK47" s="7"/>
      <c r="BL47" s="7"/>
      <c r="BM47" s="49">
        <f>0.102*$BM$10*$BK$8</f>
        <v>2.92937625</v>
      </c>
      <c r="BN47" s="49"/>
      <c r="BO47" s="50"/>
      <c r="BP47" s="7"/>
      <c r="BQ47" s="21" t="s">
        <v>149</v>
      </c>
      <c r="BR47" s="7"/>
      <c r="BS47" s="7"/>
      <c r="BT47" s="7"/>
      <c r="BU47" s="49">
        <f>0.096*$BU$10*$BS$8</f>
        <v>2.864870399999999</v>
      </c>
      <c r="BV47" s="49"/>
      <c r="BW47" s="50"/>
    </row>
    <row r="48" spans="1:75" ht="12.75" customHeight="1">
      <c r="A48" s="58"/>
      <c r="B48" s="6"/>
      <c r="C48" s="7"/>
      <c r="D48" s="7"/>
      <c r="E48" s="7"/>
      <c r="F48" s="7"/>
      <c r="G48" s="7"/>
      <c r="H48" s="7"/>
      <c r="I48" s="51" t="s">
        <v>0</v>
      </c>
      <c r="J48" s="51"/>
      <c r="K48" s="12"/>
      <c r="L48" s="51" t="s">
        <v>1</v>
      </c>
      <c r="M48" s="51"/>
      <c r="N48" s="12"/>
      <c r="O48" s="51" t="s">
        <v>2</v>
      </c>
      <c r="P48" s="51"/>
      <c r="Q48" s="12"/>
      <c r="R48" s="51" t="s">
        <v>72</v>
      </c>
      <c r="S48" s="51"/>
      <c r="T48" s="7"/>
      <c r="U48" s="7" t="s">
        <v>44</v>
      </c>
      <c r="V48" s="7"/>
      <c r="W48" s="7"/>
      <c r="X48" s="7"/>
      <c r="Y48" s="8"/>
      <c r="Z48" s="6"/>
      <c r="AA48" s="21" t="s">
        <v>118</v>
      </c>
      <c r="AB48" s="7"/>
      <c r="AC48" s="7"/>
      <c r="AD48" s="7"/>
      <c r="AE48" s="49">
        <f>-0.05*$AD$2*$AC$7^2</f>
        <v>-3.0375000000000005</v>
      </c>
      <c r="AF48" s="49"/>
      <c r="AG48" s="49"/>
      <c r="AH48" s="6"/>
      <c r="AI48" s="21" t="s">
        <v>121</v>
      </c>
      <c r="AJ48" s="7"/>
      <c r="AK48" s="7"/>
      <c r="AL48" s="7"/>
      <c r="AM48" s="49">
        <f>-0.075*$AL$2*$AK$8</f>
        <v>-9.6</v>
      </c>
      <c r="AN48" s="49"/>
      <c r="AO48" s="50"/>
      <c r="AP48" s="6"/>
      <c r="AQ48" s="7"/>
      <c r="AR48" s="7"/>
      <c r="AS48" s="21" t="s">
        <v>124</v>
      </c>
      <c r="AT48" s="7"/>
      <c r="AU48" s="7"/>
      <c r="AV48" s="7"/>
      <c r="AW48" s="49">
        <f>-0.133*$AT$2*$AU$8</f>
        <v>-6.9825</v>
      </c>
      <c r="AX48" s="49"/>
      <c r="AY48" s="50"/>
      <c r="AZ48" s="6"/>
      <c r="BA48" s="21" t="s">
        <v>127</v>
      </c>
      <c r="BB48" s="7"/>
      <c r="BC48" s="7"/>
      <c r="BD48" s="7"/>
      <c r="BE48" s="49">
        <f>-0.063*$BE$10*$BC$8</f>
        <v>-0.9722632500000001</v>
      </c>
      <c r="BF48" s="49"/>
      <c r="BG48" s="50"/>
      <c r="BH48" s="7"/>
      <c r="BI48" s="21" t="s">
        <v>130</v>
      </c>
      <c r="BJ48" s="7"/>
      <c r="BK48" s="7"/>
      <c r="BL48" s="7"/>
      <c r="BM48" s="49">
        <f>-0.062*$BM$10*$BK$8</f>
        <v>-1.78060125</v>
      </c>
      <c r="BN48" s="49"/>
      <c r="BO48" s="50"/>
      <c r="BP48" s="7"/>
      <c r="BQ48" s="21" t="s">
        <v>133</v>
      </c>
      <c r="BR48" s="7"/>
      <c r="BS48" s="7"/>
      <c r="BT48" s="7"/>
      <c r="BU48" s="49">
        <f>-0.061*$BU$10*$BS$8</f>
        <v>-1.8203863999999996</v>
      </c>
      <c r="BV48" s="49"/>
      <c r="BW48" s="50"/>
    </row>
    <row r="49" spans="1:75" ht="12.75" customHeight="1">
      <c r="A49" s="58"/>
      <c r="B49" s="6"/>
      <c r="C49" s="7"/>
      <c r="D49" s="7"/>
      <c r="E49" s="7"/>
      <c r="F49" s="7"/>
      <c r="G49" s="7"/>
      <c r="H49" s="7"/>
      <c r="I49" s="7"/>
      <c r="J49" s="24"/>
      <c r="K49" s="24" t="s">
        <v>20</v>
      </c>
      <c r="L49" s="7"/>
      <c r="M49" s="24"/>
      <c r="N49" s="24" t="s">
        <v>20</v>
      </c>
      <c r="O49" s="7"/>
      <c r="P49" s="25"/>
      <c r="Q49" s="12" t="str">
        <f>+N49</f>
        <v>L</v>
      </c>
      <c r="R49" s="7"/>
      <c r="S49" s="7"/>
      <c r="T49" s="7"/>
      <c r="U49" s="7" t="s">
        <v>63</v>
      </c>
      <c r="V49" s="7"/>
      <c r="W49" s="7"/>
      <c r="X49" s="7"/>
      <c r="Y49" s="8"/>
      <c r="Z49" s="6"/>
      <c r="AA49" s="21" t="s">
        <v>137</v>
      </c>
      <c r="AB49" s="7"/>
      <c r="AC49" s="7"/>
      <c r="AD49" s="7"/>
      <c r="AE49" s="49">
        <f>-0.05*$AD$2*$AC$7</f>
        <v>-0.675</v>
      </c>
      <c r="AF49" s="49"/>
      <c r="AG49" s="49"/>
      <c r="AH49" s="6"/>
      <c r="AI49" s="21" t="s">
        <v>139</v>
      </c>
      <c r="AJ49" s="7"/>
      <c r="AK49" s="7"/>
      <c r="AL49" s="7"/>
      <c r="AM49" s="49">
        <f>-0.075*$AL$2</f>
        <v>-2.4</v>
      </c>
      <c r="AN49" s="49"/>
      <c r="AO49" s="50"/>
      <c r="AP49" s="6"/>
      <c r="AQ49" s="7"/>
      <c r="AR49" s="7"/>
      <c r="AS49" s="21" t="s">
        <v>142</v>
      </c>
      <c r="AT49" s="7"/>
      <c r="AU49" s="7"/>
      <c r="AV49" s="7"/>
      <c r="AW49" s="49">
        <f>-0.133*$AT$2</f>
        <v>-1.995</v>
      </c>
      <c r="AX49" s="49"/>
      <c r="AY49" s="50"/>
      <c r="AZ49" s="6"/>
      <c r="BA49" s="21" t="s">
        <v>146</v>
      </c>
      <c r="BB49" s="7"/>
      <c r="BC49" s="7"/>
      <c r="BD49" s="7"/>
      <c r="BE49" s="49">
        <f>-0.063*$BE$10</f>
        <v>-0.34114500000000003</v>
      </c>
      <c r="BF49" s="49"/>
      <c r="BG49" s="50"/>
      <c r="BH49" s="7"/>
      <c r="BI49" s="21" t="s">
        <v>147</v>
      </c>
      <c r="BJ49" s="7"/>
      <c r="BK49" s="7"/>
      <c r="BL49" s="7"/>
      <c r="BM49" s="49">
        <f>-0.062*$BM$10</f>
        <v>-0.418965</v>
      </c>
      <c r="BN49" s="49"/>
      <c r="BO49" s="50"/>
      <c r="BP49" s="7"/>
      <c r="BQ49" s="21" t="s">
        <v>150</v>
      </c>
      <c r="BR49" s="7"/>
      <c r="BS49" s="7"/>
      <c r="BT49" s="7"/>
      <c r="BU49" s="49">
        <f>-0.061*$BU$10</f>
        <v>-0.4987359999999999</v>
      </c>
      <c r="BV49" s="49"/>
      <c r="BW49" s="50"/>
    </row>
    <row r="50" spans="1:75" ht="12.75" customHeight="1">
      <c r="A50" s="58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44"/>
      <c r="Z50" s="6"/>
      <c r="AA50" s="7"/>
      <c r="AB50" s="7"/>
      <c r="AC50" s="7"/>
      <c r="AD50" s="7"/>
      <c r="AE50" s="7"/>
      <c r="AF50" s="7"/>
      <c r="AG50" s="7"/>
      <c r="AH50" s="6"/>
      <c r="AI50" s="7"/>
      <c r="AJ50" s="7"/>
      <c r="AK50" s="7"/>
      <c r="AL50" s="7"/>
      <c r="AM50" s="7"/>
      <c r="AN50" s="7"/>
      <c r="AO50" s="8"/>
      <c r="AP50" s="6"/>
      <c r="AQ50" s="7"/>
      <c r="AR50" s="7"/>
      <c r="AS50" s="7"/>
      <c r="AT50" s="7"/>
      <c r="AU50" s="7"/>
      <c r="AV50" s="7"/>
      <c r="AW50" s="7"/>
      <c r="AX50" s="7"/>
      <c r="AY50" s="8"/>
      <c r="AZ50" s="6"/>
      <c r="BA50" s="7"/>
      <c r="BB50" s="7"/>
      <c r="BC50" s="7"/>
      <c r="BD50" s="7"/>
      <c r="BE50" s="7"/>
      <c r="BF50" s="7"/>
      <c r="BG50" s="8"/>
      <c r="BH50" s="7"/>
      <c r="BI50" s="7"/>
      <c r="BJ50" s="7"/>
      <c r="BK50" s="7"/>
      <c r="BL50" s="7"/>
      <c r="BM50" s="7"/>
      <c r="BN50" s="7"/>
      <c r="BO50" s="8"/>
      <c r="BP50" s="7"/>
      <c r="BQ50" s="7"/>
      <c r="BR50" s="7"/>
      <c r="BS50" s="7"/>
      <c r="BT50" s="7"/>
      <c r="BU50" s="7"/>
      <c r="BV50" s="7"/>
      <c r="BW50" s="8"/>
    </row>
    <row r="51" spans="1:75" ht="12.75" customHeight="1">
      <c r="A51" s="58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Z51" s="3"/>
      <c r="AA51" s="4"/>
      <c r="AB51" s="4"/>
      <c r="AC51" s="4"/>
      <c r="AD51" s="4"/>
      <c r="AE51" s="4"/>
      <c r="AF51" s="4"/>
      <c r="AG51" s="4"/>
      <c r="AH51" s="3"/>
      <c r="AI51" s="4"/>
      <c r="AJ51" s="4"/>
      <c r="AK51" s="4"/>
      <c r="AL51" s="4"/>
      <c r="AM51" s="4"/>
      <c r="AN51" s="4"/>
      <c r="AO51" s="5"/>
      <c r="AP51" s="3"/>
      <c r="AQ51" s="4"/>
      <c r="AR51" s="4"/>
      <c r="AS51" s="4"/>
      <c r="AT51" s="4"/>
      <c r="AU51" s="4"/>
      <c r="AV51" s="4"/>
      <c r="AW51" s="4"/>
      <c r="AX51" s="4"/>
      <c r="AY51" s="5"/>
      <c r="AZ51" s="3"/>
      <c r="BA51" s="4"/>
      <c r="BB51" s="4"/>
      <c r="BC51" s="4"/>
      <c r="BD51" s="4"/>
      <c r="BE51" s="4"/>
      <c r="BF51" s="4"/>
      <c r="BG51" s="5"/>
      <c r="BH51" s="4"/>
      <c r="BI51" s="4"/>
      <c r="BJ51" s="4"/>
      <c r="BK51" s="4"/>
      <c r="BL51" s="4"/>
      <c r="BM51" s="4"/>
      <c r="BN51" s="4"/>
      <c r="BO51" s="5"/>
      <c r="BP51" s="4"/>
      <c r="BQ51" s="4"/>
      <c r="BR51" s="4"/>
      <c r="BS51" s="4"/>
      <c r="BT51" s="4"/>
      <c r="BU51" s="4"/>
      <c r="BV51" s="4"/>
      <c r="BW51" s="5"/>
    </row>
    <row r="52" spans="1:75" ht="13.5" customHeight="1" thickBot="1">
      <c r="A52" s="58"/>
      <c r="B52" s="6"/>
      <c r="C52" s="7"/>
      <c r="D52" s="7"/>
      <c r="E52" s="7"/>
      <c r="F52" s="7"/>
      <c r="G52" s="7"/>
      <c r="H52" s="7"/>
      <c r="I52" s="7"/>
      <c r="J52" s="23"/>
      <c r="K52" s="23"/>
      <c r="L52" s="23"/>
      <c r="M52" s="23"/>
      <c r="N52" s="23"/>
      <c r="O52" s="23"/>
      <c r="P52" s="34"/>
      <c r="Q52" s="34"/>
      <c r="R52" s="34"/>
      <c r="S52" s="7"/>
      <c r="T52" s="7"/>
      <c r="U52" s="7" t="s">
        <v>4</v>
      </c>
      <c r="V52" s="7"/>
      <c r="W52" s="7"/>
      <c r="X52" s="7"/>
      <c r="Z52" s="6"/>
      <c r="AA52" s="21" t="s">
        <v>153</v>
      </c>
      <c r="AB52" s="7"/>
      <c r="AC52" s="7"/>
      <c r="AD52" s="7"/>
      <c r="AE52" s="49">
        <f>-0.117*$AD$2*$AC$7^2</f>
        <v>-7.107750000000001</v>
      </c>
      <c r="AF52" s="49"/>
      <c r="AG52" s="49"/>
      <c r="AH52" s="6"/>
      <c r="AI52" s="21" t="s">
        <v>158</v>
      </c>
      <c r="AJ52" s="7"/>
      <c r="AK52" s="7"/>
      <c r="AL52" s="7"/>
      <c r="AM52" s="49">
        <f>-0.175*$AL$2*$AK$8</f>
        <v>-22.4</v>
      </c>
      <c r="AN52" s="49"/>
      <c r="AO52" s="50"/>
      <c r="AP52" s="6"/>
      <c r="AQ52" s="7"/>
      <c r="AR52" s="7"/>
      <c r="AS52" s="21" t="s">
        <v>163</v>
      </c>
      <c r="AT52" s="7"/>
      <c r="AU52" s="7"/>
      <c r="AV52" s="7"/>
      <c r="AW52" s="49">
        <f>-0.311*$AT$2*$AU$8</f>
        <v>-16.3275</v>
      </c>
      <c r="AX52" s="49"/>
      <c r="AY52" s="50"/>
      <c r="AZ52" s="6"/>
      <c r="BA52" s="21" t="s">
        <v>168</v>
      </c>
      <c r="BB52" s="7"/>
      <c r="BC52" s="7"/>
      <c r="BD52" s="7"/>
      <c r="BE52" s="49">
        <f>-0.146*$BE$10*$BC$8</f>
        <v>-2.2531814999999997</v>
      </c>
      <c r="BF52" s="49"/>
      <c r="BG52" s="50"/>
      <c r="BH52" s="7"/>
      <c r="BI52" s="21" t="s">
        <v>173</v>
      </c>
      <c r="BJ52" s="7"/>
      <c r="BK52" s="7"/>
      <c r="BL52" s="7"/>
      <c r="BM52" s="49">
        <f>-0.145*$BM$10*$BK$8</f>
        <v>-4.164309374999999</v>
      </c>
      <c r="BN52" s="49"/>
      <c r="BO52" s="50"/>
      <c r="BP52" s="7"/>
      <c r="BQ52" s="21" t="s">
        <v>177</v>
      </c>
      <c r="BR52" s="7"/>
      <c r="BS52" s="7"/>
      <c r="BT52" s="7"/>
      <c r="BU52" s="49">
        <f>-0.142*$BU$10*$BS$8</f>
        <v>-4.237620799999998</v>
      </c>
      <c r="BV52" s="49"/>
      <c r="BW52" s="50"/>
    </row>
    <row r="53" spans="1:75" ht="12.75" customHeight="1">
      <c r="A53" s="58"/>
      <c r="B53" s="6"/>
      <c r="C53" s="7"/>
      <c r="D53" s="7"/>
      <c r="E53" s="7"/>
      <c r="F53" s="7"/>
      <c r="G53" s="7"/>
      <c r="H53" s="7"/>
      <c r="I53" s="7"/>
      <c r="J53" s="7"/>
      <c r="K53" s="12">
        <v>1</v>
      </c>
      <c r="L53" s="7"/>
      <c r="M53" s="7"/>
      <c r="N53" s="12">
        <v>2</v>
      </c>
      <c r="O53" s="7"/>
      <c r="P53" s="7"/>
      <c r="Q53" s="12">
        <v>3</v>
      </c>
      <c r="R53" s="7"/>
      <c r="S53" s="7"/>
      <c r="T53" s="7"/>
      <c r="U53" s="7" t="s">
        <v>151</v>
      </c>
      <c r="V53" s="7"/>
      <c r="W53" s="7"/>
      <c r="X53" s="7"/>
      <c r="Z53" s="6"/>
      <c r="AA53" s="21" t="s">
        <v>154</v>
      </c>
      <c r="AB53" s="7"/>
      <c r="AC53" s="7"/>
      <c r="AD53" s="7"/>
      <c r="AE53" s="49">
        <f>-0.033*$AD$2*$AC$7^2</f>
        <v>-2.00475</v>
      </c>
      <c r="AF53" s="49"/>
      <c r="AG53" s="49"/>
      <c r="AH53" s="6"/>
      <c r="AI53" s="21" t="s">
        <v>159</v>
      </c>
      <c r="AJ53" s="7"/>
      <c r="AK53" s="7"/>
      <c r="AL53" s="7"/>
      <c r="AM53" s="49">
        <f>-0.05*$AL$2*$AK$8</f>
        <v>-6.4</v>
      </c>
      <c r="AN53" s="49"/>
      <c r="AO53" s="50"/>
      <c r="AP53" s="6"/>
      <c r="AQ53" s="7"/>
      <c r="AR53" s="7"/>
      <c r="AS53" s="21" t="s">
        <v>164</v>
      </c>
      <c r="AT53" s="7"/>
      <c r="AU53" s="7"/>
      <c r="AV53" s="7"/>
      <c r="AW53" s="49">
        <f>-0.089*$AT$2*$AU$8</f>
        <v>-4.672499999999999</v>
      </c>
      <c r="AX53" s="49"/>
      <c r="AY53" s="50"/>
      <c r="AZ53" s="6"/>
      <c r="BA53" s="21" t="s">
        <v>169</v>
      </c>
      <c r="BB53" s="7"/>
      <c r="BC53" s="7"/>
      <c r="BD53" s="7"/>
      <c r="BE53" s="49">
        <f>-0.041*$BE$10*$BC$8</f>
        <v>-0.63274275</v>
      </c>
      <c r="BF53" s="49"/>
      <c r="BG53" s="50"/>
      <c r="BH53" s="7"/>
      <c r="BI53" s="21" t="s">
        <v>169</v>
      </c>
      <c r="BJ53" s="7"/>
      <c r="BK53" s="7"/>
      <c r="BL53" s="7"/>
      <c r="BM53" s="49">
        <f>-0.041*$BM$10*$BK$8</f>
        <v>-1.177494375</v>
      </c>
      <c r="BN53" s="49"/>
      <c r="BO53" s="50"/>
      <c r="BP53" s="7"/>
      <c r="BQ53" s="21" t="s">
        <v>169</v>
      </c>
      <c r="BR53" s="7"/>
      <c r="BS53" s="7"/>
      <c r="BT53" s="7"/>
      <c r="BU53" s="49">
        <f>-0.041*$BU$10*$BS$8</f>
        <v>-1.2235383999999998</v>
      </c>
      <c r="BV53" s="49"/>
      <c r="BW53" s="50"/>
    </row>
    <row r="54" spans="1:75" ht="12.75" customHeight="1">
      <c r="A54" s="58"/>
      <c r="B54" s="6"/>
      <c r="C54" s="7"/>
      <c r="D54" s="7"/>
      <c r="E54" s="7"/>
      <c r="F54" s="7"/>
      <c r="G54" s="7"/>
      <c r="H54" s="7"/>
      <c r="I54" s="51" t="s">
        <v>0</v>
      </c>
      <c r="J54" s="51"/>
      <c r="K54" s="12"/>
      <c r="L54" s="51" t="s">
        <v>1</v>
      </c>
      <c r="M54" s="51"/>
      <c r="N54" s="12"/>
      <c r="O54" s="51" t="s">
        <v>2</v>
      </c>
      <c r="P54" s="51"/>
      <c r="Q54" s="12"/>
      <c r="R54" s="51" t="s">
        <v>72</v>
      </c>
      <c r="S54" s="51"/>
      <c r="T54" s="7"/>
      <c r="U54" s="7" t="s">
        <v>5</v>
      </c>
      <c r="V54" s="7"/>
      <c r="W54" s="7"/>
      <c r="X54" s="7"/>
      <c r="Z54" s="6"/>
      <c r="AA54" s="7" t="s">
        <v>155</v>
      </c>
      <c r="AB54" s="7"/>
      <c r="AC54" s="7"/>
      <c r="AD54" s="7"/>
      <c r="AE54" s="49">
        <f>1.2*$AD$2*$AC$7</f>
        <v>16.2</v>
      </c>
      <c r="AF54" s="49"/>
      <c r="AG54" s="49"/>
      <c r="AH54" s="6"/>
      <c r="AI54" s="21" t="s">
        <v>160</v>
      </c>
      <c r="AJ54" s="7"/>
      <c r="AK54" s="7"/>
      <c r="AL54" s="7"/>
      <c r="AM54" s="49">
        <f>1.3*$AL$2</f>
        <v>41.6</v>
      </c>
      <c r="AN54" s="49"/>
      <c r="AO54" s="50"/>
      <c r="AP54" s="6"/>
      <c r="AQ54" s="7"/>
      <c r="AR54" s="7"/>
      <c r="AS54" s="21" t="s">
        <v>165</v>
      </c>
      <c r="AT54" s="7"/>
      <c r="AU54" s="7"/>
      <c r="AV54" s="7"/>
      <c r="AW54" s="49">
        <f>2.533*$AT$2</f>
        <v>37.995</v>
      </c>
      <c r="AX54" s="49"/>
      <c r="AY54" s="50"/>
      <c r="AZ54" s="6"/>
      <c r="BA54" s="21" t="s">
        <v>170</v>
      </c>
      <c r="BB54" s="7"/>
      <c r="BC54" s="7"/>
      <c r="BD54" s="7"/>
      <c r="BE54" s="49">
        <f>1.251*$BE$10</f>
        <v>6.774164999999999</v>
      </c>
      <c r="BF54" s="49"/>
      <c r="BG54" s="50"/>
      <c r="BH54" s="7"/>
      <c r="BI54" s="21" t="s">
        <v>174</v>
      </c>
      <c r="BJ54" s="7"/>
      <c r="BK54" s="7"/>
      <c r="BL54" s="7"/>
      <c r="BM54" s="49">
        <f>1.249*$BM$10</f>
        <v>8.4401175</v>
      </c>
      <c r="BN54" s="49"/>
      <c r="BO54" s="50"/>
      <c r="BP54" s="7"/>
      <c r="BQ54" s="21" t="s">
        <v>178</v>
      </c>
      <c r="BR54" s="7"/>
      <c r="BS54" s="7"/>
      <c r="BT54" s="7"/>
      <c r="BU54" s="49">
        <f>1.244*$BU$10</f>
        <v>10.170943999999999</v>
      </c>
      <c r="BV54" s="49"/>
      <c r="BW54" s="50"/>
    </row>
    <row r="55" spans="1:75" ht="12.75" customHeight="1">
      <c r="A55" s="58"/>
      <c r="B55" s="6"/>
      <c r="C55" s="7"/>
      <c r="D55" s="7"/>
      <c r="E55" s="7"/>
      <c r="F55" s="7"/>
      <c r="G55" s="7"/>
      <c r="H55" s="7"/>
      <c r="I55" s="7"/>
      <c r="J55" s="24"/>
      <c r="K55" s="24" t="s">
        <v>20</v>
      </c>
      <c r="L55" s="7"/>
      <c r="M55" s="24"/>
      <c r="N55" s="24" t="s">
        <v>20</v>
      </c>
      <c r="O55" s="7"/>
      <c r="P55" s="25"/>
      <c r="Q55" s="12" t="str">
        <f>+N55</f>
        <v>L</v>
      </c>
      <c r="R55" s="7"/>
      <c r="S55" s="7"/>
      <c r="T55" s="7"/>
      <c r="U55" s="7" t="s">
        <v>6</v>
      </c>
      <c r="V55" s="7"/>
      <c r="W55" s="7"/>
      <c r="X55" s="7"/>
      <c r="Z55" s="6"/>
      <c r="AA55" s="21" t="s">
        <v>156</v>
      </c>
      <c r="AB55" s="7"/>
      <c r="AC55" s="7"/>
      <c r="AD55" s="7"/>
      <c r="AE55" s="49">
        <f>-0.617*$AD$2*$AC$7</f>
        <v>-8.3295</v>
      </c>
      <c r="AF55" s="49"/>
      <c r="AG55" s="49"/>
      <c r="AH55" s="6"/>
      <c r="AI55" s="21" t="s">
        <v>161</v>
      </c>
      <c r="AJ55" s="7"/>
      <c r="AK55" s="7"/>
      <c r="AL55" s="7"/>
      <c r="AM55" s="49">
        <f>-0.675*$AL$2</f>
        <v>-21.6</v>
      </c>
      <c r="AN55" s="49"/>
      <c r="AO55" s="50"/>
      <c r="AP55" s="6"/>
      <c r="AQ55" s="7"/>
      <c r="AR55" s="7"/>
      <c r="AS55" s="21" t="s">
        <v>166</v>
      </c>
      <c r="AT55" s="7"/>
      <c r="AU55" s="7"/>
      <c r="AV55" s="7"/>
      <c r="AW55" s="49">
        <f>-1.311*$AT$2</f>
        <v>-19.665</v>
      </c>
      <c r="AX55" s="49"/>
      <c r="AY55" s="50"/>
      <c r="AZ55" s="6"/>
      <c r="BA55" s="21" t="s">
        <v>171</v>
      </c>
      <c r="BB55" s="7"/>
      <c r="BC55" s="7"/>
      <c r="BD55" s="7"/>
      <c r="BE55" s="49">
        <f>-0.646*$BE$10</f>
        <v>-3.49809</v>
      </c>
      <c r="BF55" s="49"/>
      <c r="BG55" s="50"/>
      <c r="BH55" s="7"/>
      <c r="BI55" s="21" t="s">
        <v>175</v>
      </c>
      <c r="BJ55" s="7"/>
      <c r="BK55" s="7"/>
      <c r="BL55" s="7"/>
      <c r="BM55" s="49">
        <f>-0.645*$BM$10</f>
        <v>-4.3585875</v>
      </c>
      <c r="BN55" s="49"/>
      <c r="BO55" s="50"/>
      <c r="BP55" s="7"/>
      <c r="BQ55" s="21" t="s">
        <v>179</v>
      </c>
      <c r="BR55" s="7"/>
      <c r="BS55" s="7"/>
      <c r="BT55" s="7"/>
      <c r="BU55" s="49">
        <f>-0.642*$BU$10</f>
        <v>-5.248991999999999</v>
      </c>
      <c r="BV55" s="49"/>
      <c r="BW55" s="50"/>
    </row>
    <row r="56" spans="1:75" ht="12.75" customHeight="1">
      <c r="A56" s="58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 t="s">
        <v>152</v>
      </c>
      <c r="V56" s="7"/>
      <c r="W56" s="7"/>
      <c r="X56" s="7"/>
      <c r="Z56" s="6"/>
      <c r="AA56" s="7" t="s">
        <v>157</v>
      </c>
      <c r="AB56" s="7"/>
      <c r="AC56" s="7"/>
      <c r="AD56" s="7"/>
      <c r="AE56" s="49">
        <f>0.583*$AD$2*$AC$7</f>
        <v>7.8705</v>
      </c>
      <c r="AF56" s="49"/>
      <c r="AG56" s="49"/>
      <c r="AH56" s="6"/>
      <c r="AI56" s="21" t="s">
        <v>162</v>
      </c>
      <c r="AJ56" s="7"/>
      <c r="AK56" s="7"/>
      <c r="AL56" s="7"/>
      <c r="AM56" s="49">
        <f>0.625*$AL$2</f>
        <v>20</v>
      </c>
      <c r="AN56" s="49"/>
      <c r="AO56" s="50"/>
      <c r="AP56" s="6"/>
      <c r="AQ56" s="7"/>
      <c r="AR56" s="7"/>
      <c r="AS56" s="21" t="s">
        <v>167</v>
      </c>
      <c r="AT56" s="7"/>
      <c r="AU56" s="7"/>
      <c r="AV56" s="7"/>
      <c r="AW56" s="49">
        <f>1.222*$AT$2</f>
        <v>18.33</v>
      </c>
      <c r="AX56" s="49"/>
      <c r="AY56" s="50"/>
      <c r="AZ56" s="6"/>
      <c r="BA56" s="21" t="s">
        <v>172</v>
      </c>
      <c r="BB56" s="7"/>
      <c r="BC56" s="7"/>
      <c r="BD56" s="7"/>
      <c r="BE56" s="49">
        <f>0.605*$BE$10</f>
        <v>3.276075</v>
      </c>
      <c r="BF56" s="49"/>
      <c r="BG56" s="50"/>
      <c r="BH56" s="7"/>
      <c r="BI56" s="21" t="s">
        <v>176</v>
      </c>
      <c r="BJ56" s="7"/>
      <c r="BK56" s="7"/>
      <c r="BL56" s="7"/>
      <c r="BM56" s="49">
        <f>0.604*$BM$10</f>
        <v>4.08153</v>
      </c>
      <c r="BN56" s="49"/>
      <c r="BO56" s="50"/>
      <c r="BP56" s="7"/>
      <c r="BQ56" s="21" t="s">
        <v>180</v>
      </c>
      <c r="BR56" s="7"/>
      <c r="BS56" s="7"/>
      <c r="BT56" s="7"/>
      <c r="BU56" s="49">
        <f>0.602*$BU$10</f>
        <v>4.921951999999999</v>
      </c>
      <c r="BV56" s="49"/>
      <c r="BW56" s="50"/>
    </row>
    <row r="57" spans="1:75" ht="12.75" customHeight="1">
      <c r="A57" s="58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Z57" s="26"/>
      <c r="AA57" s="27"/>
      <c r="AB57" s="27"/>
      <c r="AC57" s="27"/>
      <c r="AD57" s="27"/>
      <c r="AE57" s="27"/>
      <c r="AF57" s="27"/>
      <c r="AG57" s="27"/>
      <c r="AH57" s="26"/>
      <c r="AI57" s="27"/>
      <c r="AJ57" s="27"/>
      <c r="AK57" s="27"/>
      <c r="AL57" s="27"/>
      <c r="AM57" s="27"/>
      <c r="AN57" s="27"/>
      <c r="AO57" s="44"/>
      <c r="AP57" s="26"/>
      <c r="AQ57" s="27"/>
      <c r="AR57" s="27"/>
      <c r="AS57" s="27"/>
      <c r="AT57" s="27"/>
      <c r="AU57" s="27"/>
      <c r="AV57" s="27"/>
      <c r="AW57" s="27"/>
      <c r="AX57" s="27"/>
      <c r="AY57" s="44"/>
      <c r="AZ57" s="26"/>
      <c r="BA57" s="27"/>
      <c r="BB57" s="27"/>
      <c r="BC57" s="27"/>
      <c r="BD57" s="27"/>
      <c r="BE57" s="27"/>
      <c r="BF57" s="27"/>
      <c r="BG57" s="44"/>
      <c r="BH57" s="27"/>
      <c r="BI57" s="27"/>
      <c r="BJ57" s="27"/>
      <c r="BK57" s="27"/>
      <c r="BL57" s="27"/>
      <c r="BM57" s="27"/>
      <c r="BN57" s="27"/>
      <c r="BO57" s="44"/>
      <c r="BP57" s="27"/>
      <c r="BQ57" s="27"/>
      <c r="BR57" s="27"/>
      <c r="BS57" s="27"/>
      <c r="BT57" s="27"/>
      <c r="BU57" s="27"/>
      <c r="BV57" s="27"/>
      <c r="BW57" s="44"/>
    </row>
    <row r="58" spans="1:75" ht="12.75" customHeight="1">
      <c r="A58" s="58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5"/>
      <c r="Z58" s="6"/>
      <c r="AA58" s="7"/>
      <c r="AB58" s="7"/>
      <c r="AC58" s="7"/>
      <c r="AD58" s="7"/>
      <c r="AE58" s="7"/>
      <c r="AF58" s="7"/>
      <c r="AG58" s="7"/>
      <c r="AH58" s="6"/>
      <c r="AI58" s="7"/>
      <c r="AJ58" s="7"/>
      <c r="AK58" s="7"/>
      <c r="AL58" s="7"/>
      <c r="AM58" s="7"/>
      <c r="AN58" s="7"/>
      <c r="AO58" s="8"/>
      <c r="AP58" s="6"/>
      <c r="AQ58" s="7"/>
      <c r="AR58" s="7"/>
      <c r="AS58" s="7"/>
      <c r="AT58" s="7"/>
      <c r="AU58" s="7"/>
      <c r="AV58" s="7"/>
      <c r="AW58" s="7"/>
      <c r="AX58" s="7"/>
      <c r="AY58" s="8"/>
      <c r="AZ58" s="6"/>
      <c r="BA58" s="7"/>
      <c r="BB58" s="7"/>
      <c r="BC58" s="7"/>
      <c r="BD58" s="7"/>
      <c r="BE58" s="7"/>
      <c r="BF58" s="7"/>
      <c r="BG58" s="8"/>
      <c r="BH58" s="7"/>
      <c r="BI58" s="7"/>
      <c r="BJ58" s="7"/>
      <c r="BK58" s="7"/>
      <c r="BL58" s="7"/>
      <c r="BM58" s="7"/>
      <c r="BN58" s="7"/>
      <c r="BO58" s="8"/>
      <c r="BP58" s="7"/>
      <c r="BQ58" s="7"/>
      <c r="BR58" s="7"/>
      <c r="BS58" s="7"/>
      <c r="BT58" s="7"/>
      <c r="BU58" s="7"/>
      <c r="BV58" s="7"/>
      <c r="BW58" s="8"/>
    </row>
    <row r="59" spans="1:75" ht="13.5" customHeight="1" thickBot="1">
      <c r="A59" s="58"/>
      <c r="B59" s="6"/>
      <c r="C59" s="7"/>
      <c r="D59" s="7"/>
      <c r="E59" s="7"/>
      <c r="F59" s="7"/>
      <c r="G59" s="7"/>
      <c r="H59" s="7"/>
      <c r="I59" s="7"/>
      <c r="J59" s="34"/>
      <c r="K59" s="34"/>
      <c r="L59" s="34"/>
      <c r="M59" s="34"/>
      <c r="N59" s="34"/>
      <c r="O59" s="34"/>
      <c r="P59" s="23"/>
      <c r="Q59" s="23"/>
      <c r="R59" s="23"/>
      <c r="S59" s="7"/>
      <c r="T59" s="7"/>
      <c r="U59" s="7" t="s">
        <v>181</v>
      </c>
      <c r="V59" s="7"/>
      <c r="W59" s="7"/>
      <c r="X59" s="7"/>
      <c r="Y59" s="8"/>
      <c r="Z59" s="6"/>
      <c r="AA59" s="7" t="s">
        <v>182</v>
      </c>
      <c r="AB59" s="7"/>
      <c r="AC59" s="7"/>
      <c r="AD59" s="7"/>
      <c r="AE59" s="49">
        <f>0.017*$AD$2*$AC$7^2</f>
        <v>1.03275</v>
      </c>
      <c r="AF59" s="49"/>
      <c r="AG59" s="49"/>
      <c r="AH59" s="6"/>
      <c r="AI59" s="21" t="s">
        <v>186</v>
      </c>
      <c r="AJ59" s="7"/>
      <c r="AK59" s="7"/>
      <c r="AL59" s="7"/>
      <c r="AM59" s="49">
        <f>0.025*$AL$2*$AK$8</f>
        <v>3.2</v>
      </c>
      <c r="AN59" s="49"/>
      <c r="AO59" s="50"/>
      <c r="AP59" s="6"/>
      <c r="AQ59" s="7"/>
      <c r="AR59" s="7"/>
      <c r="AS59" s="21" t="s">
        <v>190</v>
      </c>
      <c r="AT59" s="7"/>
      <c r="AU59" s="7"/>
      <c r="AV59" s="7"/>
      <c r="AW59" s="49">
        <f>0.044*$AT$2*$AU$8</f>
        <v>2.3099999999999996</v>
      </c>
      <c r="AX59" s="49"/>
      <c r="AY59" s="50"/>
      <c r="AZ59" s="6"/>
      <c r="BA59" s="21" t="s">
        <v>194</v>
      </c>
      <c r="BB59" s="7"/>
      <c r="BC59" s="7"/>
      <c r="BD59" s="7"/>
      <c r="BE59" s="49">
        <f>-0.022*$BE$10*$BC$8</f>
        <v>-0.3395205</v>
      </c>
      <c r="BF59" s="49"/>
      <c r="BG59" s="50"/>
      <c r="BH59" s="7"/>
      <c r="BI59" s="21" t="s">
        <v>198</v>
      </c>
      <c r="BJ59" s="7"/>
      <c r="BK59" s="7"/>
      <c r="BL59" s="7"/>
      <c r="BM59" s="49">
        <f>0.021*$BM$10*$BK$8</f>
        <v>0.6031068749999999</v>
      </c>
      <c r="BN59" s="49"/>
      <c r="BO59" s="50"/>
      <c r="BP59" s="7"/>
      <c r="BQ59" s="21" t="s">
        <v>198</v>
      </c>
      <c r="BR59" s="7"/>
      <c r="BS59" s="7"/>
      <c r="BT59" s="7"/>
      <c r="BU59" s="49">
        <f>0.021*$BU$10*$BS$8</f>
        <v>0.6266904</v>
      </c>
      <c r="BV59" s="49"/>
      <c r="BW59" s="50"/>
    </row>
    <row r="60" spans="1:75" ht="12.75" customHeight="1">
      <c r="A60" s="58"/>
      <c r="B60" s="6"/>
      <c r="C60" s="7"/>
      <c r="D60" s="7"/>
      <c r="E60" s="7"/>
      <c r="F60" s="7"/>
      <c r="G60" s="7"/>
      <c r="H60" s="7"/>
      <c r="I60" s="7"/>
      <c r="J60" s="7"/>
      <c r="K60" s="12">
        <v>1</v>
      </c>
      <c r="L60" s="7"/>
      <c r="M60" s="7"/>
      <c r="N60" s="12">
        <v>2</v>
      </c>
      <c r="O60" s="7"/>
      <c r="P60" s="7"/>
      <c r="Q60" s="12">
        <v>3</v>
      </c>
      <c r="R60" s="7"/>
      <c r="S60" s="7"/>
      <c r="T60" s="7"/>
      <c r="U60" s="7" t="s">
        <v>151</v>
      </c>
      <c r="V60" s="7"/>
      <c r="W60" s="7"/>
      <c r="X60" s="7"/>
      <c r="Y60" s="8"/>
      <c r="Z60" s="6"/>
      <c r="AA60" s="21" t="s">
        <v>183</v>
      </c>
      <c r="AB60" s="7"/>
      <c r="AC60" s="7"/>
      <c r="AD60" s="7"/>
      <c r="AE60" s="49">
        <f>-0.067*$AD$2*$AC$7^2</f>
        <v>-4.070250000000001</v>
      </c>
      <c r="AF60" s="49"/>
      <c r="AG60" s="49"/>
      <c r="AH60" s="6"/>
      <c r="AI60" s="21" t="s">
        <v>187</v>
      </c>
      <c r="AJ60" s="7"/>
      <c r="AK60" s="7"/>
      <c r="AL60" s="7"/>
      <c r="AM60" s="49">
        <f>-0.1*$AL$2*$AK$8</f>
        <v>-12.8</v>
      </c>
      <c r="AN60" s="49"/>
      <c r="AO60" s="50"/>
      <c r="AP60" s="6"/>
      <c r="AQ60" s="7"/>
      <c r="AR60" s="7"/>
      <c r="AS60" s="21" t="s">
        <v>191</v>
      </c>
      <c r="AT60" s="7"/>
      <c r="AU60" s="7"/>
      <c r="AV60" s="7"/>
      <c r="AW60" s="49">
        <f>-0.178*$AT$2*$AU$8</f>
        <v>-9.344999999999999</v>
      </c>
      <c r="AX60" s="49"/>
      <c r="AY60" s="50"/>
      <c r="AZ60" s="6"/>
      <c r="BA60" s="21" t="s">
        <v>195</v>
      </c>
      <c r="BB60" s="7"/>
      <c r="BC60" s="7"/>
      <c r="BD60" s="7"/>
      <c r="BE60" s="49">
        <f>-0.083*$BE$10*$BC$8</f>
        <v>-1.2809182500000003</v>
      </c>
      <c r="BF60" s="49"/>
      <c r="BG60" s="50"/>
      <c r="BH60" s="7"/>
      <c r="BI60" s="21" t="s">
        <v>195</v>
      </c>
      <c r="BJ60" s="7"/>
      <c r="BK60" s="7"/>
      <c r="BL60" s="7"/>
      <c r="BM60" s="49">
        <f>-0.083*$BM$10*$BK$8</f>
        <v>-2.383708125</v>
      </c>
      <c r="BN60" s="49"/>
      <c r="BO60" s="50"/>
      <c r="BP60" s="7"/>
      <c r="BQ60" s="21" t="s">
        <v>201</v>
      </c>
      <c r="BR60" s="7"/>
      <c r="BS60" s="7"/>
      <c r="BT60" s="7"/>
      <c r="BU60" s="49">
        <f>-0.081*$BU$10*$BS$8</f>
        <v>-2.4172343999999995</v>
      </c>
      <c r="BV60" s="49"/>
      <c r="BW60" s="50"/>
    </row>
    <row r="61" spans="1:75" ht="12.75" customHeight="1">
      <c r="A61" s="58"/>
      <c r="B61" s="6"/>
      <c r="C61" s="7"/>
      <c r="D61" s="7"/>
      <c r="E61" s="7"/>
      <c r="F61" s="7"/>
      <c r="G61" s="7"/>
      <c r="H61" s="7"/>
      <c r="I61" s="51" t="s">
        <v>0</v>
      </c>
      <c r="J61" s="51"/>
      <c r="K61" s="12"/>
      <c r="L61" s="51" t="s">
        <v>1</v>
      </c>
      <c r="M61" s="51"/>
      <c r="N61" s="12"/>
      <c r="O61" s="51" t="s">
        <v>2</v>
      </c>
      <c r="P61" s="51"/>
      <c r="Q61" s="12"/>
      <c r="R61" s="51" t="s">
        <v>72</v>
      </c>
      <c r="S61" s="51"/>
      <c r="T61" s="7"/>
      <c r="U61" s="7" t="s">
        <v>6</v>
      </c>
      <c r="V61" s="7"/>
      <c r="W61" s="7"/>
      <c r="X61" s="7"/>
      <c r="Y61" s="8"/>
      <c r="Z61" s="6"/>
      <c r="AA61" s="7" t="s">
        <v>184</v>
      </c>
      <c r="AB61" s="7"/>
      <c r="AC61" s="7"/>
      <c r="AD61" s="7"/>
      <c r="AE61" s="49">
        <f>0.17*$AD$2*$AC$7</f>
        <v>2.295</v>
      </c>
      <c r="AF61" s="49"/>
      <c r="AG61" s="49"/>
      <c r="AH61" s="6"/>
      <c r="AI61" s="21" t="s">
        <v>188</v>
      </c>
      <c r="AJ61" s="7"/>
      <c r="AK61" s="7"/>
      <c r="AL61" s="7"/>
      <c r="AM61" s="49">
        <f>0.025*$AL$2</f>
        <v>0.8</v>
      </c>
      <c r="AN61" s="49"/>
      <c r="AO61" s="50"/>
      <c r="AP61" s="6"/>
      <c r="AQ61" s="7"/>
      <c r="AR61" s="7"/>
      <c r="AS61" s="21" t="s">
        <v>192</v>
      </c>
      <c r="AT61" s="7"/>
      <c r="AU61" s="7"/>
      <c r="AV61" s="7"/>
      <c r="AW61" s="49">
        <f>0.044*$AT$2</f>
        <v>0.6599999999999999</v>
      </c>
      <c r="AX61" s="49"/>
      <c r="AY61" s="50"/>
      <c r="AZ61" s="6"/>
      <c r="BA61" s="21" t="s">
        <v>196</v>
      </c>
      <c r="BB61" s="7"/>
      <c r="BC61" s="7"/>
      <c r="BD61" s="7"/>
      <c r="BE61" s="49">
        <f>0.022*$BE$10</f>
        <v>0.11913</v>
      </c>
      <c r="BF61" s="49"/>
      <c r="BG61" s="50"/>
      <c r="BH61" s="7"/>
      <c r="BI61" s="21" t="s">
        <v>199</v>
      </c>
      <c r="BJ61" s="7"/>
      <c r="BK61" s="7"/>
      <c r="BL61" s="7"/>
      <c r="BM61" s="49">
        <f>0.021*$BM$10</f>
        <v>0.1419075</v>
      </c>
      <c r="BN61" s="49"/>
      <c r="BO61" s="50"/>
      <c r="BP61" s="7"/>
      <c r="BQ61" s="21" t="s">
        <v>199</v>
      </c>
      <c r="BR61" s="7"/>
      <c r="BS61" s="7"/>
      <c r="BT61" s="7"/>
      <c r="BU61" s="49">
        <f>0.021*$BU$10</f>
        <v>0.171696</v>
      </c>
      <c r="BV61" s="49"/>
      <c r="BW61" s="50"/>
    </row>
    <row r="62" spans="1:75" ht="12.75" customHeight="1">
      <c r="A62" s="58"/>
      <c r="B62" s="6"/>
      <c r="C62" s="7"/>
      <c r="D62" s="7"/>
      <c r="E62" s="7"/>
      <c r="F62" s="7"/>
      <c r="G62" s="7"/>
      <c r="H62" s="7"/>
      <c r="I62" s="7"/>
      <c r="J62" s="24"/>
      <c r="K62" s="24" t="s">
        <v>20</v>
      </c>
      <c r="L62" s="7"/>
      <c r="M62" s="24"/>
      <c r="N62" s="24" t="s">
        <v>20</v>
      </c>
      <c r="O62" s="7"/>
      <c r="P62" s="25"/>
      <c r="Q62" s="12" t="str">
        <f>+N62</f>
        <v>L</v>
      </c>
      <c r="R62" s="7"/>
      <c r="S62" s="7"/>
      <c r="T62" s="7"/>
      <c r="U62" s="7" t="s">
        <v>152</v>
      </c>
      <c r="V62" s="7"/>
      <c r="W62" s="7"/>
      <c r="X62" s="7"/>
      <c r="Y62" s="8"/>
      <c r="Z62" s="6"/>
      <c r="AA62" s="21" t="s">
        <v>185</v>
      </c>
      <c r="AB62" s="7"/>
      <c r="AC62" s="7"/>
      <c r="AD62" s="7"/>
      <c r="AE62" s="49">
        <f>-0.083*$AD$2*$AC$7</f>
        <v>-1.1205</v>
      </c>
      <c r="AF62" s="49"/>
      <c r="AG62" s="49"/>
      <c r="AH62" s="6"/>
      <c r="AI62" s="21" t="s">
        <v>189</v>
      </c>
      <c r="AJ62" s="7"/>
      <c r="AK62" s="7"/>
      <c r="AL62" s="7"/>
      <c r="AM62" s="49">
        <f>-0.125*$AL$2</f>
        <v>-4</v>
      </c>
      <c r="AN62" s="49"/>
      <c r="AO62" s="50"/>
      <c r="AP62" s="6"/>
      <c r="AQ62" s="7"/>
      <c r="AR62" s="7"/>
      <c r="AS62" s="21" t="s">
        <v>193</v>
      </c>
      <c r="AT62" s="7"/>
      <c r="AU62" s="7"/>
      <c r="AV62" s="7"/>
      <c r="AW62" s="49">
        <f>-0.222*$AT$2</f>
        <v>-3.33</v>
      </c>
      <c r="AX62" s="49"/>
      <c r="AY62" s="50"/>
      <c r="AZ62" s="6"/>
      <c r="BA62" s="21" t="s">
        <v>197</v>
      </c>
      <c r="BB62" s="7"/>
      <c r="BC62" s="7"/>
      <c r="BD62" s="7"/>
      <c r="BE62" s="49">
        <f>-0.105*$BE$10</f>
        <v>-0.5685749999999999</v>
      </c>
      <c r="BF62" s="49"/>
      <c r="BG62" s="50"/>
      <c r="BH62" s="7"/>
      <c r="BI62" s="21" t="s">
        <v>200</v>
      </c>
      <c r="BJ62" s="7"/>
      <c r="BK62" s="7"/>
      <c r="BL62" s="7"/>
      <c r="BM62" s="49">
        <f>-0.104*$BM$10</f>
        <v>-0.70278</v>
      </c>
      <c r="BN62" s="49"/>
      <c r="BO62" s="50"/>
      <c r="BP62" s="7"/>
      <c r="BQ62" s="21" t="s">
        <v>202</v>
      </c>
      <c r="BR62" s="7"/>
      <c r="BS62" s="7"/>
      <c r="BT62" s="7"/>
      <c r="BU62" s="49">
        <f>-0.102*$BU$10</f>
        <v>-0.8339519999999998</v>
      </c>
      <c r="BV62" s="49"/>
      <c r="BW62" s="50"/>
    </row>
    <row r="63" spans="1:75" ht="13.5" customHeight="1" thickBot="1">
      <c r="A63" s="59"/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5"/>
      <c r="AA63" s="46"/>
      <c r="AB63" s="46"/>
      <c r="AC63" s="46"/>
      <c r="AD63" s="46"/>
      <c r="AE63" s="46"/>
      <c r="AF63" s="46"/>
      <c r="AG63" s="46"/>
      <c r="AH63" s="45"/>
      <c r="AI63" s="46"/>
      <c r="AJ63" s="46"/>
      <c r="AK63" s="46"/>
      <c r="AL63" s="46"/>
      <c r="AM63" s="46"/>
      <c r="AN63" s="46"/>
      <c r="AO63" s="47"/>
      <c r="AP63" s="45"/>
      <c r="AQ63" s="46"/>
      <c r="AR63" s="46"/>
      <c r="AS63" s="46"/>
      <c r="AT63" s="46"/>
      <c r="AU63" s="46"/>
      <c r="AV63" s="46"/>
      <c r="AW63" s="46"/>
      <c r="AX63" s="46"/>
      <c r="AY63" s="47"/>
      <c r="AZ63" s="45"/>
      <c r="BA63" s="46"/>
      <c r="BB63" s="46"/>
      <c r="BC63" s="46"/>
      <c r="BD63" s="46"/>
      <c r="BE63" s="46"/>
      <c r="BF63" s="46"/>
      <c r="BG63" s="47"/>
      <c r="BH63" s="46"/>
      <c r="BI63" s="46"/>
      <c r="BJ63" s="46"/>
      <c r="BK63" s="46"/>
      <c r="BL63" s="46"/>
      <c r="BM63" s="46"/>
      <c r="BN63" s="46"/>
      <c r="BO63" s="47"/>
      <c r="BP63" s="46"/>
      <c r="BQ63" s="46"/>
      <c r="BR63" s="46"/>
      <c r="BS63" s="46"/>
      <c r="BT63" s="46"/>
      <c r="BU63" s="46"/>
      <c r="BV63" s="46"/>
      <c r="BW63" s="47"/>
    </row>
    <row r="64" spans="1:75" ht="12" customHeight="1" thickTop="1">
      <c r="A64" s="57" t="s">
        <v>682</v>
      </c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6"/>
      <c r="AA64" s="7"/>
      <c r="AB64" s="7"/>
      <c r="AC64" s="7"/>
      <c r="AD64" s="7"/>
      <c r="AE64" s="7"/>
      <c r="AF64" s="7"/>
      <c r="AG64" s="7"/>
      <c r="AH64" s="6"/>
      <c r="AI64" s="7"/>
      <c r="AJ64" s="7"/>
      <c r="AK64" s="7"/>
      <c r="AL64" s="7"/>
      <c r="AM64" s="7"/>
      <c r="AN64" s="7"/>
      <c r="AO64" s="8"/>
      <c r="AP64" s="6"/>
      <c r="AQ64" s="7"/>
      <c r="AR64" s="7"/>
      <c r="AS64" s="7"/>
      <c r="AT64" s="7"/>
      <c r="AU64" s="7"/>
      <c r="AV64" s="7"/>
      <c r="AW64" s="7"/>
      <c r="AX64" s="7"/>
      <c r="AY64" s="8"/>
      <c r="AZ64" s="6"/>
      <c r="BA64" s="7"/>
      <c r="BB64" s="7"/>
      <c r="BC64" s="7"/>
      <c r="BD64" s="7"/>
      <c r="BE64" s="7"/>
      <c r="BF64" s="7"/>
      <c r="BG64" s="8"/>
      <c r="BH64" s="7"/>
      <c r="BI64" s="7"/>
      <c r="BJ64" s="7"/>
      <c r="BK64" s="7"/>
      <c r="BL64" s="7"/>
      <c r="BM64" s="7"/>
      <c r="BN64" s="7"/>
      <c r="BO64" s="8"/>
      <c r="BP64" s="7"/>
      <c r="BQ64" s="7"/>
      <c r="BR64" s="7"/>
      <c r="BS64" s="7"/>
      <c r="BT64" s="7"/>
      <c r="BU64" s="7"/>
      <c r="BV64" s="7"/>
      <c r="BW64" s="8"/>
    </row>
    <row r="65" spans="1:75" ht="12.75" customHeight="1">
      <c r="A65" s="58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 t="s">
        <v>3</v>
      </c>
      <c r="V65" s="7"/>
      <c r="W65" s="7"/>
      <c r="X65" s="7"/>
      <c r="Y65" s="7"/>
      <c r="Z65" s="6"/>
      <c r="AA65" s="7" t="s">
        <v>205</v>
      </c>
      <c r="AB65" s="7"/>
      <c r="AC65" s="7"/>
      <c r="AD65" s="7"/>
      <c r="AE65" s="49">
        <f>0.077*$AD$2*$AC$7^2</f>
        <v>4.67775</v>
      </c>
      <c r="AF65" s="49"/>
      <c r="AG65" s="49"/>
      <c r="AH65" s="6"/>
      <c r="AI65" s="21" t="s">
        <v>215</v>
      </c>
      <c r="AJ65" s="7"/>
      <c r="AK65" s="7"/>
      <c r="AL65" s="7"/>
      <c r="AM65" s="49">
        <f>0.17*$AL$2*$AK$8</f>
        <v>21.76</v>
      </c>
      <c r="AN65" s="49"/>
      <c r="AO65" s="50"/>
      <c r="AP65" s="6"/>
      <c r="AQ65" s="21" t="s">
        <v>225</v>
      </c>
      <c r="AR65" s="7"/>
      <c r="AS65" s="7"/>
      <c r="AT65" s="7"/>
      <c r="AU65" s="7"/>
      <c r="AV65" s="7"/>
      <c r="AW65" s="49">
        <f>(0.238/0.143)*$AT$2*$AU$8</f>
        <v>87.37762237762239</v>
      </c>
      <c r="AX65" s="49"/>
      <c r="AY65" s="50"/>
      <c r="AZ65" s="6"/>
      <c r="BA65" s="21" t="s">
        <v>235</v>
      </c>
      <c r="BB65" s="7"/>
      <c r="BC65" s="7"/>
      <c r="BD65" s="7"/>
      <c r="BE65" s="49">
        <f>-0.104*$BE$10*$BC$8</f>
        <v>-1.605006</v>
      </c>
      <c r="BF65" s="49"/>
      <c r="BG65" s="50"/>
      <c r="BH65" s="7"/>
      <c r="BI65" s="21" t="s">
        <v>245</v>
      </c>
      <c r="BJ65" s="7"/>
      <c r="BK65" s="7"/>
      <c r="BL65" s="7"/>
      <c r="BM65" s="49">
        <f>0.103*$BM$10*$BK$8</f>
        <v>2.9580956249999995</v>
      </c>
      <c r="BN65" s="49"/>
      <c r="BO65" s="50"/>
      <c r="BP65" s="7"/>
      <c r="BQ65" s="21" t="s">
        <v>252</v>
      </c>
      <c r="BR65" s="7"/>
      <c r="BS65" s="7"/>
      <c r="BT65" s="7"/>
      <c r="BU65" s="49">
        <f>0.098*$BU$10*$BS$8</f>
        <v>2.9245551999999995</v>
      </c>
      <c r="BV65" s="49"/>
      <c r="BW65" s="50"/>
    </row>
    <row r="66" spans="1:75" ht="12.75" customHeight="1">
      <c r="A66" s="58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 t="s">
        <v>73</v>
      </c>
      <c r="V66" s="7"/>
      <c r="W66" s="7"/>
      <c r="X66" s="7"/>
      <c r="Y66" s="7"/>
      <c r="Z66" s="6"/>
      <c r="AA66" s="7" t="s">
        <v>206</v>
      </c>
      <c r="AB66" s="7"/>
      <c r="AC66" s="7"/>
      <c r="AD66" s="7"/>
      <c r="AE66" s="49">
        <f>0.036*$AD$2*$AC$7^2</f>
        <v>2.187</v>
      </c>
      <c r="AF66" s="49"/>
      <c r="AG66" s="49"/>
      <c r="AH66" s="6"/>
      <c r="AI66" s="21" t="s">
        <v>216</v>
      </c>
      <c r="AJ66" s="7"/>
      <c r="AK66" s="7"/>
      <c r="AL66" s="7"/>
      <c r="AM66" s="49">
        <f>0.116*$AL$2*$AK$8</f>
        <v>14.848</v>
      </c>
      <c r="AN66" s="49"/>
      <c r="AO66" s="50"/>
      <c r="AP66" s="6"/>
      <c r="AQ66" s="21" t="s">
        <v>226</v>
      </c>
      <c r="AR66" s="7"/>
      <c r="AS66" s="7"/>
      <c r="AT66" s="7"/>
      <c r="AU66" s="7"/>
      <c r="AV66" s="7"/>
      <c r="AW66" s="49">
        <f>(0.079/0.111)*$AT$2*$AU$8</f>
        <v>37.36486486486486</v>
      </c>
      <c r="AX66" s="49"/>
      <c r="AY66" s="50"/>
      <c r="AZ66" s="6"/>
      <c r="BA66" s="21" t="s">
        <v>236</v>
      </c>
      <c r="BB66" s="7"/>
      <c r="BC66" s="7"/>
      <c r="BD66" s="7"/>
      <c r="BE66" s="49">
        <f>0.056*$BE$10*$BC$8</f>
        <v>0.8642340000000001</v>
      </c>
      <c r="BF66" s="49"/>
      <c r="BG66" s="50"/>
      <c r="BH66" s="7"/>
      <c r="BI66" s="21" t="s">
        <v>246</v>
      </c>
      <c r="BJ66" s="7"/>
      <c r="BK66" s="7"/>
      <c r="BL66" s="7"/>
      <c r="BM66" s="49">
        <f>0.053*$BM$10*$BK$8</f>
        <v>1.5221268749999999</v>
      </c>
      <c r="BN66" s="49"/>
      <c r="BO66" s="50"/>
      <c r="BP66" s="7"/>
      <c r="BQ66" s="21" t="s">
        <v>253</v>
      </c>
      <c r="BR66" s="7"/>
      <c r="BS66" s="7"/>
      <c r="BT66" s="7"/>
      <c r="BU66" s="49">
        <f>0.049*$BU$10*$BS$8</f>
        <v>1.4622775999999997</v>
      </c>
      <c r="BV66" s="49"/>
      <c r="BW66" s="50"/>
    </row>
    <row r="67" spans="1:75" ht="13.5" customHeight="1" thickBot="1">
      <c r="A67" s="58"/>
      <c r="B67" s="6"/>
      <c r="C67" s="7"/>
      <c r="D67" s="7"/>
      <c r="E67" s="7"/>
      <c r="F67" s="7"/>
      <c r="G67" s="23"/>
      <c r="H67" s="23"/>
      <c r="I67" s="48"/>
      <c r="J67" s="23"/>
      <c r="K67" s="23"/>
      <c r="L67" s="23"/>
      <c r="M67" s="23"/>
      <c r="N67" s="23"/>
      <c r="O67" s="23"/>
      <c r="P67" s="39"/>
      <c r="Q67" s="39"/>
      <c r="R67" s="39"/>
      <c r="S67" s="7"/>
      <c r="T67" s="7"/>
      <c r="U67" s="7" t="s">
        <v>44</v>
      </c>
      <c r="V67" s="7"/>
      <c r="W67" s="7"/>
      <c r="X67" s="7"/>
      <c r="Y67" s="7"/>
      <c r="Z67" s="6"/>
      <c r="AA67" s="21" t="s">
        <v>207</v>
      </c>
      <c r="AB67" s="7"/>
      <c r="AC67" s="7"/>
      <c r="AD67" s="7"/>
      <c r="AE67" s="49">
        <f>-0.107*$AD$2*$AC$7^2</f>
        <v>-6.50025</v>
      </c>
      <c r="AF67" s="49"/>
      <c r="AG67" s="49"/>
      <c r="AH67" s="6"/>
      <c r="AI67" s="21" t="s">
        <v>217</v>
      </c>
      <c r="AJ67" s="7"/>
      <c r="AK67" s="7"/>
      <c r="AL67" s="7"/>
      <c r="AM67" s="49">
        <f>-0.161*$AL$2*$AK$8</f>
        <v>-20.608</v>
      </c>
      <c r="AN67" s="49"/>
      <c r="AO67" s="50"/>
      <c r="AP67" s="6"/>
      <c r="AQ67" s="7"/>
      <c r="AR67" s="7"/>
      <c r="AS67" s="21" t="s">
        <v>227</v>
      </c>
      <c r="AT67" s="7"/>
      <c r="AU67" s="7"/>
      <c r="AV67" s="7"/>
      <c r="AW67" s="49">
        <f>-0.286*$AT$2*$AU$8</f>
        <v>-15.015</v>
      </c>
      <c r="AX67" s="49"/>
      <c r="AY67" s="50"/>
      <c r="AZ67" s="6"/>
      <c r="BA67" s="21" t="s">
        <v>237</v>
      </c>
      <c r="BB67" s="7"/>
      <c r="BC67" s="7"/>
      <c r="BD67" s="7"/>
      <c r="BE67" s="49">
        <f>-0.134*$BE$10*$BC$8</f>
        <v>-2.0679885000000002</v>
      </c>
      <c r="BF67" s="49"/>
      <c r="BG67" s="50"/>
      <c r="BH67" s="7"/>
      <c r="BI67" s="21" t="s">
        <v>247</v>
      </c>
      <c r="BJ67" s="7"/>
      <c r="BK67" s="7"/>
      <c r="BL67" s="7"/>
      <c r="BM67" s="49">
        <f>-0.133*$BM$10*$BK$8</f>
        <v>-3.819676875</v>
      </c>
      <c r="BN67" s="49"/>
      <c r="BO67" s="50"/>
      <c r="BP67" s="7"/>
      <c r="BQ67" s="21" t="s">
        <v>254</v>
      </c>
      <c r="BR67" s="7"/>
      <c r="BS67" s="7"/>
      <c r="BT67" s="7"/>
      <c r="BU67" s="49">
        <f>-0.13*$BU$10*$BS$8</f>
        <v>-3.879511999999999</v>
      </c>
      <c r="BV67" s="49"/>
      <c r="BW67" s="50"/>
    </row>
    <row r="68" spans="1:75" ht="12.75" customHeight="1">
      <c r="A68" s="58"/>
      <c r="B68" s="6"/>
      <c r="C68" s="7"/>
      <c r="D68" s="7"/>
      <c r="E68" s="7"/>
      <c r="F68" s="7"/>
      <c r="G68" s="7"/>
      <c r="H68" s="12">
        <v>1</v>
      </c>
      <c r="I68" s="7"/>
      <c r="J68" s="7"/>
      <c r="K68" s="12">
        <v>2</v>
      </c>
      <c r="L68" s="7"/>
      <c r="M68" s="7"/>
      <c r="N68" s="12">
        <v>3</v>
      </c>
      <c r="O68" s="7"/>
      <c r="P68" s="7"/>
      <c r="Q68" s="12">
        <v>4</v>
      </c>
      <c r="R68" s="7"/>
      <c r="S68" s="7"/>
      <c r="T68" s="7"/>
      <c r="U68" s="7" t="s">
        <v>151</v>
      </c>
      <c r="V68" s="7"/>
      <c r="W68" s="7"/>
      <c r="X68" s="7"/>
      <c r="Y68" s="7"/>
      <c r="Z68" s="6"/>
      <c r="AA68" s="21" t="s">
        <v>208</v>
      </c>
      <c r="AB68" s="7"/>
      <c r="AC68" s="7"/>
      <c r="AD68" s="7"/>
      <c r="AE68" s="49">
        <f>-0.071*$AD$2*$AC$7^2</f>
        <v>-4.313249999999999</v>
      </c>
      <c r="AF68" s="49"/>
      <c r="AG68" s="49"/>
      <c r="AH68" s="6"/>
      <c r="AI68" s="21" t="s">
        <v>218</v>
      </c>
      <c r="AJ68" s="7"/>
      <c r="AK68" s="7"/>
      <c r="AL68" s="7"/>
      <c r="AM68" s="49">
        <f>-0.107*$AL$2*$AK$8</f>
        <v>-13.696</v>
      </c>
      <c r="AN68" s="49"/>
      <c r="AO68" s="50"/>
      <c r="AP68" s="6"/>
      <c r="AQ68" s="7"/>
      <c r="AR68" s="7"/>
      <c r="AS68" s="21" t="s">
        <v>228</v>
      </c>
      <c r="AT68" s="7"/>
      <c r="AU68" s="7"/>
      <c r="AV68" s="7"/>
      <c r="AW68" s="49">
        <f>-0.19*$AT$2*$AU$8</f>
        <v>-9.975</v>
      </c>
      <c r="AX68" s="49"/>
      <c r="AY68" s="50"/>
      <c r="AZ68" s="6"/>
      <c r="BA68" s="21" t="s">
        <v>238</v>
      </c>
      <c r="BB68" s="7"/>
      <c r="BC68" s="7"/>
      <c r="BD68" s="7"/>
      <c r="BE68" s="49">
        <f>-0.089*$BE$10*$BC$8</f>
        <v>-1.37351475</v>
      </c>
      <c r="BF68" s="49"/>
      <c r="BG68" s="50"/>
      <c r="BH68" s="7"/>
      <c r="BI68" s="21" t="s">
        <v>248</v>
      </c>
      <c r="BJ68" s="7"/>
      <c r="BK68" s="7"/>
      <c r="BL68" s="7"/>
      <c r="BM68" s="49">
        <f>-0.088*$BM$10*$BK$8</f>
        <v>-2.5273049999999997</v>
      </c>
      <c r="BN68" s="49"/>
      <c r="BO68" s="50"/>
      <c r="BP68" s="7"/>
      <c r="BQ68" s="21" t="s">
        <v>255</v>
      </c>
      <c r="BR68" s="7"/>
      <c r="BS68" s="7"/>
      <c r="BT68" s="7"/>
      <c r="BU68" s="49">
        <f>-0.086*$BU$10*$BS$8</f>
        <v>-2.566446399999999</v>
      </c>
      <c r="BV68" s="49"/>
      <c r="BW68" s="50"/>
    </row>
    <row r="69" spans="1:75" ht="12.75" customHeight="1">
      <c r="A69" s="58"/>
      <c r="B69" s="6"/>
      <c r="C69" s="7"/>
      <c r="D69" s="7"/>
      <c r="E69" s="7"/>
      <c r="F69" s="51" t="s">
        <v>0</v>
      </c>
      <c r="G69" s="51"/>
      <c r="H69" s="12"/>
      <c r="I69" s="51" t="s">
        <v>1</v>
      </c>
      <c r="J69" s="51"/>
      <c r="K69" s="12"/>
      <c r="L69" s="51" t="s">
        <v>2</v>
      </c>
      <c r="M69" s="51"/>
      <c r="N69" s="12"/>
      <c r="O69" s="51" t="s">
        <v>72</v>
      </c>
      <c r="P69" s="51"/>
      <c r="Q69" s="12"/>
      <c r="R69" s="51" t="s">
        <v>203</v>
      </c>
      <c r="S69" s="51"/>
      <c r="T69" s="7"/>
      <c r="U69" s="7" t="s">
        <v>0</v>
      </c>
      <c r="V69" s="7"/>
      <c r="W69" s="7"/>
      <c r="X69" s="7"/>
      <c r="Y69" s="7"/>
      <c r="Z69" s="6"/>
      <c r="AA69" s="7" t="s">
        <v>209</v>
      </c>
      <c r="AB69" s="7"/>
      <c r="AC69" s="7"/>
      <c r="AD69" s="7"/>
      <c r="AE69" s="49">
        <f>0.393*$AD$2*$AC$7</f>
        <v>5.3055</v>
      </c>
      <c r="AF69" s="49"/>
      <c r="AG69" s="49"/>
      <c r="AH69" s="6"/>
      <c r="AI69" s="21" t="s">
        <v>219</v>
      </c>
      <c r="AJ69" s="7"/>
      <c r="AK69" s="7"/>
      <c r="AL69" s="7"/>
      <c r="AM69" s="49">
        <f>0.339*$AL$2</f>
        <v>10.848</v>
      </c>
      <c r="AN69" s="49"/>
      <c r="AO69" s="50"/>
      <c r="AP69" s="6"/>
      <c r="AQ69" s="7"/>
      <c r="AR69" s="7"/>
      <c r="AS69" s="21" t="s">
        <v>229</v>
      </c>
      <c r="AT69" s="7"/>
      <c r="AU69" s="7"/>
      <c r="AV69" s="7"/>
      <c r="AW69" s="49">
        <f>0.714*$AT$2</f>
        <v>10.709999999999999</v>
      </c>
      <c r="AX69" s="49"/>
      <c r="AY69" s="50"/>
      <c r="AZ69" s="6"/>
      <c r="BA69" s="21" t="s">
        <v>239</v>
      </c>
      <c r="BB69" s="7"/>
      <c r="BC69" s="7"/>
      <c r="BD69" s="7"/>
      <c r="BE69" s="49">
        <f>0.366*$BE$10</f>
        <v>1.98189</v>
      </c>
      <c r="BF69" s="49"/>
      <c r="BG69" s="50"/>
      <c r="BH69" s="7"/>
      <c r="BI69" s="21" t="s">
        <v>249</v>
      </c>
      <c r="BJ69" s="7"/>
      <c r="BK69" s="7"/>
      <c r="BL69" s="7"/>
      <c r="BM69" s="49">
        <f>0.367*$BM$10</f>
        <v>2.4800025</v>
      </c>
      <c r="BN69" s="49"/>
      <c r="BO69" s="50"/>
      <c r="BP69" s="7"/>
      <c r="BQ69" s="21" t="s">
        <v>261</v>
      </c>
      <c r="BR69" s="7"/>
      <c r="BS69" s="7"/>
      <c r="BT69" s="7"/>
      <c r="BU69" s="49">
        <f>0.37*$BU$10</f>
        <v>3.0251199999999994</v>
      </c>
      <c r="BV69" s="49"/>
      <c r="BW69" s="50"/>
    </row>
    <row r="70" spans="1:75" ht="12.75" customHeight="1">
      <c r="A70" s="58"/>
      <c r="B70" s="6"/>
      <c r="C70" s="7"/>
      <c r="D70" s="7"/>
      <c r="E70" s="7"/>
      <c r="F70" s="7"/>
      <c r="G70" s="24"/>
      <c r="H70" s="24" t="s">
        <v>20</v>
      </c>
      <c r="I70" s="7"/>
      <c r="J70" s="24"/>
      <c r="K70" s="24" t="s">
        <v>20</v>
      </c>
      <c r="L70" s="7"/>
      <c r="M70" s="24"/>
      <c r="N70" s="24" t="s">
        <v>20</v>
      </c>
      <c r="O70" s="7"/>
      <c r="P70" s="25"/>
      <c r="Q70" s="12" t="str">
        <f>+N70</f>
        <v>L</v>
      </c>
      <c r="R70" s="7"/>
      <c r="S70" s="7"/>
      <c r="T70" s="7"/>
      <c r="U70" s="7" t="s">
        <v>1</v>
      </c>
      <c r="V70" s="7"/>
      <c r="W70" s="7"/>
      <c r="X70" s="7"/>
      <c r="Y70" s="7"/>
      <c r="Z70" s="6"/>
      <c r="AA70" s="7" t="s">
        <v>210</v>
      </c>
      <c r="AB70" s="7"/>
      <c r="AC70" s="7"/>
      <c r="AD70" s="7"/>
      <c r="AE70" s="49">
        <f>1.143*$AD$2*$AC$7</f>
        <v>15.430500000000002</v>
      </c>
      <c r="AF70" s="49"/>
      <c r="AG70" s="49"/>
      <c r="AH70" s="6"/>
      <c r="AI70" s="21" t="s">
        <v>220</v>
      </c>
      <c r="AJ70" s="7"/>
      <c r="AK70" s="7"/>
      <c r="AL70" s="7"/>
      <c r="AM70" s="49">
        <f>1.214*$AL$2</f>
        <v>38.848</v>
      </c>
      <c r="AN70" s="49"/>
      <c r="AO70" s="50"/>
      <c r="AP70" s="6"/>
      <c r="AQ70" s="7"/>
      <c r="AR70" s="7"/>
      <c r="AS70" s="21" t="s">
        <v>230</v>
      </c>
      <c r="AT70" s="7"/>
      <c r="AU70" s="7"/>
      <c r="AV70" s="7"/>
      <c r="AW70" s="49">
        <f>2.381*$AT$2</f>
        <v>35.714999999999996</v>
      </c>
      <c r="AX70" s="49"/>
      <c r="AY70" s="50"/>
      <c r="AZ70" s="6"/>
      <c r="BA70" s="21" t="s">
        <v>240</v>
      </c>
      <c r="BB70" s="7"/>
      <c r="BC70" s="7"/>
      <c r="BD70" s="7"/>
      <c r="BE70" s="49">
        <f>1.179*$BE$10</f>
        <v>6.384285</v>
      </c>
      <c r="BF70" s="49"/>
      <c r="BG70" s="50"/>
      <c r="BH70" s="7"/>
      <c r="BI70" s="21" t="s">
        <v>250</v>
      </c>
      <c r="BJ70" s="7"/>
      <c r="BK70" s="7"/>
      <c r="BL70" s="7"/>
      <c r="BM70" s="49">
        <f>1.178*$BM$10</f>
        <v>7.960334999999999</v>
      </c>
      <c r="BN70" s="49"/>
      <c r="BO70" s="50"/>
      <c r="BP70" s="7"/>
      <c r="BQ70" s="21" t="s">
        <v>256</v>
      </c>
      <c r="BR70" s="7"/>
      <c r="BS70" s="7"/>
      <c r="BT70" s="7"/>
      <c r="BU70" s="49">
        <f>1.174*$BU$10</f>
        <v>9.598623999999997</v>
      </c>
      <c r="BV70" s="49"/>
      <c r="BW70" s="50"/>
    </row>
    <row r="71" spans="1:75" ht="12.75" customHeight="1">
      <c r="A71" s="58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 t="s">
        <v>2</v>
      </c>
      <c r="V71" s="7"/>
      <c r="W71" s="7"/>
      <c r="X71" s="7"/>
      <c r="Y71" s="7"/>
      <c r="Z71" s="6"/>
      <c r="AA71" s="7" t="s">
        <v>211</v>
      </c>
      <c r="AB71" s="7"/>
      <c r="AC71" s="7"/>
      <c r="AD71" s="7"/>
      <c r="AE71" s="49">
        <f>0.929*$AD$2*$AC$7</f>
        <v>12.5415</v>
      </c>
      <c r="AF71" s="49"/>
      <c r="AG71" s="49"/>
      <c r="AH71" s="6"/>
      <c r="AI71" s="21" t="s">
        <v>221</v>
      </c>
      <c r="AJ71" s="7"/>
      <c r="AK71" s="7"/>
      <c r="AL71" s="7"/>
      <c r="AM71" s="49">
        <f>0.892*$AL$2</f>
        <v>28.544</v>
      </c>
      <c r="AN71" s="49"/>
      <c r="AO71" s="50"/>
      <c r="AP71" s="6"/>
      <c r="AQ71" s="7"/>
      <c r="AR71" s="7"/>
      <c r="AS71" s="21" t="s">
        <v>231</v>
      </c>
      <c r="AT71" s="7"/>
      <c r="AU71" s="7"/>
      <c r="AV71" s="7"/>
      <c r="AW71" s="49">
        <f>1.81*$AT$2</f>
        <v>27.150000000000002</v>
      </c>
      <c r="AX71" s="49"/>
      <c r="AY71" s="50"/>
      <c r="AZ71" s="6"/>
      <c r="BA71" s="21" t="s">
        <v>241</v>
      </c>
      <c r="BB71" s="7"/>
      <c r="BC71" s="7"/>
      <c r="BD71" s="7"/>
      <c r="BE71" s="49">
        <f>0.91*$BE$10</f>
        <v>4.92765</v>
      </c>
      <c r="BF71" s="49"/>
      <c r="BG71" s="50"/>
      <c r="BH71" s="7"/>
      <c r="BI71" s="21" t="s">
        <v>241</v>
      </c>
      <c r="BJ71" s="7"/>
      <c r="BK71" s="7"/>
      <c r="BL71" s="7"/>
      <c r="BM71" s="49">
        <f>0.91*$BM$10</f>
        <v>6.149324999999999</v>
      </c>
      <c r="BN71" s="49"/>
      <c r="BO71" s="50"/>
      <c r="BP71" s="7"/>
      <c r="BQ71" s="21" t="s">
        <v>257</v>
      </c>
      <c r="BR71" s="7"/>
      <c r="BS71" s="7"/>
      <c r="BT71" s="7"/>
      <c r="BU71" s="49">
        <f>0.912*$BU$10</f>
        <v>7.456511999999999</v>
      </c>
      <c r="BV71" s="49"/>
      <c r="BW71" s="50"/>
    </row>
    <row r="72" spans="1:75" ht="12.75" customHeight="1">
      <c r="A72" s="5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 t="s">
        <v>74</v>
      </c>
      <c r="V72" s="7"/>
      <c r="W72" s="7"/>
      <c r="X72" s="7"/>
      <c r="Y72" s="7"/>
      <c r="Z72" s="6"/>
      <c r="AA72" s="21" t="s">
        <v>212</v>
      </c>
      <c r="AB72" s="7"/>
      <c r="AC72" s="7"/>
      <c r="AD72" s="7"/>
      <c r="AE72" s="49">
        <f>-0.607*$AD$2*$AC$7</f>
        <v>-8.1945</v>
      </c>
      <c r="AF72" s="49"/>
      <c r="AG72" s="49"/>
      <c r="AH72" s="6"/>
      <c r="AI72" s="21" t="s">
        <v>222</v>
      </c>
      <c r="AJ72" s="7"/>
      <c r="AK72" s="7"/>
      <c r="AL72" s="7"/>
      <c r="AM72" s="49">
        <f>-0.661*$AL$2</f>
        <v>-21.152</v>
      </c>
      <c r="AN72" s="49"/>
      <c r="AO72" s="50"/>
      <c r="AP72" s="6"/>
      <c r="AQ72" s="7"/>
      <c r="AR72" s="7"/>
      <c r="AS72" s="21" t="s">
        <v>232</v>
      </c>
      <c r="AT72" s="7"/>
      <c r="AU72" s="7"/>
      <c r="AV72" s="7"/>
      <c r="AW72" s="49">
        <f>-1.286*$AT$2</f>
        <v>-19.29</v>
      </c>
      <c r="AX72" s="49"/>
      <c r="AY72" s="50"/>
      <c r="AZ72" s="6"/>
      <c r="BA72" s="21" t="s">
        <v>242</v>
      </c>
      <c r="BB72" s="7"/>
      <c r="BC72" s="7"/>
      <c r="BD72" s="7"/>
      <c r="BE72" s="49">
        <f>-0.634*$BE$10</f>
        <v>-3.43311</v>
      </c>
      <c r="BF72" s="49"/>
      <c r="BG72" s="50"/>
      <c r="BH72" s="7"/>
      <c r="BI72" s="21" t="s">
        <v>251</v>
      </c>
      <c r="BJ72" s="7"/>
      <c r="BK72" s="7"/>
      <c r="BL72" s="7"/>
      <c r="BM72" s="49">
        <f>-0.633*$BM$10</f>
        <v>-4.2774975</v>
      </c>
      <c r="BN72" s="49"/>
      <c r="BO72" s="50"/>
      <c r="BP72" s="7"/>
      <c r="BQ72" s="21" t="s">
        <v>258</v>
      </c>
      <c r="BR72" s="7"/>
      <c r="BS72" s="7"/>
      <c r="BT72" s="7"/>
      <c r="BU72" s="49">
        <f>-0.63*$BU$10</f>
        <v>-5.150879999999999</v>
      </c>
      <c r="BV72" s="49"/>
      <c r="BW72" s="50"/>
    </row>
    <row r="73" spans="1:75" ht="12.75" customHeight="1">
      <c r="A73" s="58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 t="s">
        <v>75</v>
      </c>
      <c r="V73" s="7"/>
      <c r="W73" s="7"/>
      <c r="X73" s="7"/>
      <c r="Y73" s="7"/>
      <c r="Z73" s="6"/>
      <c r="AA73" s="7" t="s">
        <v>213</v>
      </c>
      <c r="AB73" s="7"/>
      <c r="AC73" s="7"/>
      <c r="AD73" s="7"/>
      <c r="AE73" s="49">
        <f>0.536*$AD$2*$AC$7</f>
        <v>7.236000000000001</v>
      </c>
      <c r="AF73" s="49"/>
      <c r="AG73" s="49"/>
      <c r="AH73" s="6"/>
      <c r="AI73" s="21" t="s">
        <v>223</v>
      </c>
      <c r="AJ73" s="7"/>
      <c r="AK73" s="7"/>
      <c r="AL73" s="7"/>
      <c r="AM73" s="49">
        <f>0.554*$AL$2</f>
        <v>17.728</v>
      </c>
      <c r="AN73" s="49"/>
      <c r="AO73" s="50"/>
      <c r="AP73" s="6"/>
      <c r="AQ73" s="7"/>
      <c r="AR73" s="7"/>
      <c r="AS73" s="21" t="s">
        <v>233</v>
      </c>
      <c r="AT73" s="7"/>
      <c r="AU73" s="7"/>
      <c r="AV73" s="7"/>
      <c r="AW73" s="49">
        <f>1.095*$AT$2</f>
        <v>16.425</v>
      </c>
      <c r="AX73" s="49"/>
      <c r="AY73" s="50"/>
      <c r="AZ73" s="6"/>
      <c r="BA73" s="21" t="s">
        <v>243</v>
      </c>
      <c r="BB73" s="7"/>
      <c r="BC73" s="7"/>
      <c r="BD73" s="7"/>
      <c r="BE73" s="49">
        <f>0.545*$BE$10</f>
        <v>2.951175</v>
      </c>
      <c r="BF73" s="49"/>
      <c r="BG73" s="50"/>
      <c r="BH73" s="7"/>
      <c r="BI73" s="21" t="s">
        <v>243</v>
      </c>
      <c r="BJ73" s="7"/>
      <c r="BK73" s="7"/>
      <c r="BL73" s="7"/>
      <c r="BM73" s="49">
        <f>0.545*$BM$10</f>
        <v>3.6828374999999998</v>
      </c>
      <c r="BN73" s="49"/>
      <c r="BO73" s="50"/>
      <c r="BP73" s="7"/>
      <c r="BQ73" s="21" t="s">
        <v>259</v>
      </c>
      <c r="BR73" s="7"/>
      <c r="BS73" s="7"/>
      <c r="BT73" s="7"/>
      <c r="BU73" s="49">
        <f>0.544*$BU$10</f>
        <v>4.447743999999999</v>
      </c>
      <c r="BV73" s="49"/>
      <c r="BW73" s="50"/>
    </row>
    <row r="74" spans="1:75" ht="12.75" customHeight="1">
      <c r="A74" s="58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 t="s">
        <v>204</v>
      </c>
      <c r="V74" s="7"/>
      <c r="W74" s="7"/>
      <c r="X74" s="7"/>
      <c r="Y74" s="7"/>
      <c r="Z74" s="6"/>
      <c r="AA74" s="21" t="s">
        <v>214</v>
      </c>
      <c r="AB74" s="7"/>
      <c r="AC74" s="7"/>
      <c r="AD74" s="7"/>
      <c r="AE74" s="49">
        <f>-0.464*$AD$2*$AC$7</f>
        <v>-6.264</v>
      </c>
      <c r="AF74" s="49"/>
      <c r="AG74" s="49"/>
      <c r="AH74" s="6"/>
      <c r="AI74" s="21" t="s">
        <v>224</v>
      </c>
      <c r="AJ74" s="7"/>
      <c r="AK74" s="7"/>
      <c r="AL74" s="7"/>
      <c r="AM74" s="49">
        <f>-0.446*$AL$2</f>
        <v>-14.272</v>
      </c>
      <c r="AN74" s="49"/>
      <c r="AO74" s="50"/>
      <c r="AP74" s="6"/>
      <c r="AQ74" s="7"/>
      <c r="AR74" s="7"/>
      <c r="AS74" s="21" t="s">
        <v>234</v>
      </c>
      <c r="AT74" s="7"/>
      <c r="AU74" s="7"/>
      <c r="AV74" s="7"/>
      <c r="AW74" s="49">
        <f>-0.905*$AT$2</f>
        <v>-13.575000000000001</v>
      </c>
      <c r="AX74" s="49"/>
      <c r="AY74" s="50"/>
      <c r="AZ74" s="6"/>
      <c r="BA74" s="21" t="s">
        <v>244</v>
      </c>
      <c r="BB74" s="7"/>
      <c r="BC74" s="7"/>
      <c r="BD74" s="7"/>
      <c r="BE74" s="49">
        <f>-0.455*$BE$10</f>
        <v>-2.463825</v>
      </c>
      <c r="BF74" s="49"/>
      <c r="BG74" s="50"/>
      <c r="BH74" s="7"/>
      <c r="BI74" s="21" t="s">
        <v>244</v>
      </c>
      <c r="BJ74" s="7"/>
      <c r="BK74" s="7"/>
      <c r="BL74" s="7"/>
      <c r="BM74" s="49">
        <f>-0.455*$BM$10</f>
        <v>-3.0746624999999996</v>
      </c>
      <c r="BN74" s="49"/>
      <c r="BO74" s="50"/>
      <c r="BP74" s="7"/>
      <c r="BQ74" s="21" t="s">
        <v>260</v>
      </c>
      <c r="BR74" s="7"/>
      <c r="BS74" s="7"/>
      <c r="BT74" s="7"/>
      <c r="BU74" s="49">
        <f>-0.456*$BU$10</f>
        <v>-3.7282559999999996</v>
      </c>
      <c r="BV74" s="49"/>
      <c r="BW74" s="50"/>
    </row>
    <row r="75" spans="1:75" ht="12.75" customHeight="1">
      <c r="A75" s="58"/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6"/>
      <c r="AA75" s="27"/>
      <c r="AB75" s="27"/>
      <c r="AC75" s="27"/>
      <c r="AD75" s="27"/>
      <c r="AE75" s="27"/>
      <c r="AF75" s="27"/>
      <c r="AG75" s="27"/>
      <c r="AH75" s="26"/>
      <c r="AI75" s="27"/>
      <c r="AJ75" s="27"/>
      <c r="AK75" s="27"/>
      <c r="AL75" s="27"/>
      <c r="AM75" s="27"/>
      <c r="AN75" s="27"/>
      <c r="AO75" s="44"/>
      <c r="AP75" s="26"/>
      <c r="AQ75" s="27"/>
      <c r="AR75" s="27"/>
      <c r="AS75" s="27"/>
      <c r="AT75" s="27"/>
      <c r="AU75" s="27"/>
      <c r="AV75" s="27"/>
      <c r="AW75" s="27"/>
      <c r="AX75" s="27"/>
      <c r="AY75" s="44"/>
      <c r="AZ75" s="26"/>
      <c r="BA75" s="27"/>
      <c r="BB75" s="27"/>
      <c r="BC75" s="27"/>
      <c r="BD75" s="27"/>
      <c r="BE75" s="27"/>
      <c r="BF75" s="27"/>
      <c r="BG75" s="44"/>
      <c r="BH75" s="27"/>
      <c r="BI75" s="27"/>
      <c r="BJ75" s="27"/>
      <c r="BK75" s="27"/>
      <c r="BL75" s="27"/>
      <c r="BM75" s="27"/>
      <c r="BN75" s="27"/>
      <c r="BO75" s="44"/>
      <c r="BP75" s="27"/>
      <c r="BQ75" s="27"/>
      <c r="BR75" s="27"/>
      <c r="BS75" s="27"/>
      <c r="BT75" s="27"/>
      <c r="BU75" s="27"/>
      <c r="BV75" s="27"/>
      <c r="BW75" s="44"/>
    </row>
    <row r="76" spans="1:75" ht="12.75" customHeight="1">
      <c r="A76" s="58"/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6"/>
      <c r="AA76" s="7"/>
      <c r="AB76" s="7"/>
      <c r="AC76" s="7"/>
      <c r="AD76" s="7"/>
      <c r="AE76" s="7"/>
      <c r="AF76" s="7"/>
      <c r="AG76" s="7"/>
      <c r="AH76" s="6"/>
      <c r="AI76" s="7"/>
      <c r="AJ76" s="7"/>
      <c r="AK76" s="7"/>
      <c r="AL76" s="7"/>
      <c r="AM76" s="7"/>
      <c r="AN76" s="7"/>
      <c r="AO76" s="8"/>
      <c r="AP76" s="6"/>
      <c r="AQ76" s="7"/>
      <c r="AR76" s="7"/>
      <c r="AS76" s="7"/>
      <c r="AT76" s="7"/>
      <c r="AU76" s="7"/>
      <c r="AV76" s="7"/>
      <c r="AW76" s="7"/>
      <c r="AX76" s="7"/>
      <c r="AY76" s="8"/>
      <c r="AZ76" s="6"/>
      <c r="BA76" s="7"/>
      <c r="BB76" s="7"/>
      <c r="BC76" s="7"/>
      <c r="BD76" s="7"/>
      <c r="BE76" s="7"/>
      <c r="BF76" s="7"/>
      <c r="BG76" s="8"/>
      <c r="BH76" s="7"/>
      <c r="BI76" s="7"/>
      <c r="BJ76" s="7"/>
      <c r="BK76" s="7"/>
      <c r="BL76" s="7"/>
      <c r="BM76" s="7"/>
      <c r="BN76" s="7"/>
      <c r="BO76" s="8"/>
      <c r="BP76" s="7"/>
      <c r="BQ76" s="7"/>
      <c r="BR76" s="7"/>
      <c r="BS76" s="7"/>
      <c r="BT76" s="7"/>
      <c r="BU76" s="7"/>
      <c r="BV76" s="7"/>
      <c r="BW76" s="8"/>
    </row>
    <row r="77" spans="1:75" ht="12.75" customHeight="1">
      <c r="A77" s="58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 t="s">
        <v>43</v>
      </c>
      <c r="V77" s="7"/>
      <c r="W77" s="7"/>
      <c r="X77" s="7"/>
      <c r="Y77" s="7"/>
      <c r="Z77" s="6"/>
      <c r="AA77" s="7" t="s">
        <v>263</v>
      </c>
      <c r="AB77" s="7"/>
      <c r="AC77" s="7"/>
      <c r="AD77" s="7"/>
      <c r="AE77" s="49">
        <f>0.1*$AD$2*$AC$7^2</f>
        <v>6.075000000000001</v>
      </c>
      <c r="AF77" s="49"/>
      <c r="AG77" s="49"/>
      <c r="AH77" s="6"/>
      <c r="AI77" s="21" t="s">
        <v>267</v>
      </c>
      <c r="AJ77" s="7"/>
      <c r="AK77" s="7"/>
      <c r="AL77" s="7"/>
      <c r="AM77" s="49">
        <f>0.21*$AL$2*$AK$8</f>
        <v>26.88</v>
      </c>
      <c r="AN77" s="49"/>
      <c r="AO77" s="50"/>
      <c r="AP77" s="6"/>
      <c r="AQ77" s="21" t="s">
        <v>272</v>
      </c>
      <c r="AR77" s="7"/>
      <c r="AS77" s="7"/>
      <c r="AT77" s="7"/>
      <c r="AU77" s="7"/>
      <c r="AV77" s="7"/>
      <c r="AW77" s="49">
        <f>(0.286/0.238)*$AT$2*$AU$8</f>
        <v>63.088235294117645</v>
      </c>
      <c r="AX77" s="49"/>
      <c r="AY77" s="50"/>
      <c r="AZ77" s="6"/>
      <c r="BA77" s="21" t="s">
        <v>129</v>
      </c>
      <c r="BB77" s="7"/>
      <c r="BC77" s="7"/>
      <c r="BD77" s="7"/>
      <c r="BE77" s="49">
        <f>0.134*$BE$10*$BC$8</f>
        <v>2.0679885000000002</v>
      </c>
      <c r="BF77" s="49"/>
      <c r="BG77" s="50"/>
      <c r="BH77" s="7"/>
      <c r="BI77" s="21" t="s">
        <v>281</v>
      </c>
      <c r="BJ77" s="7"/>
      <c r="BK77" s="7"/>
      <c r="BL77" s="7"/>
      <c r="BM77" s="49">
        <f>0.132*$BM$10*$BK$8</f>
        <v>3.7909574999999998</v>
      </c>
      <c r="BN77" s="49"/>
      <c r="BO77" s="50"/>
      <c r="BP77" s="7"/>
      <c r="BQ77" s="21" t="s">
        <v>58</v>
      </c>
      <c r="BR77" s="7"/>
      <c r="BS77" s="7"/>
      <c r="BT77" s="7"/>
      <c r="BU77" s="49">
        <f>0.126*$BU$10*$BS$8</f>
        <v>3.760142399999999</v>
      </c>
      <c r="BV77" s="49"/>
      <c r="BW77" s="50"/>
    </row>
    <row r="78" spans="1:75" ht="13.5" customHeight="1" thickBot="1">
      <c r="A78" s="58"/>
      <c r="B78" s="6"/>
      <c r="C78" s="7"/>
      <c r="D78" s="7"/>
      <c r="E78" s="7"/>
      <c r="F78" s="7"/>
      <c r="G78" s="23"/>
      <c r="H78" s="23"/>
      <c r="I78" s="48"/>
      <c r="J78" s="34"/>
      <c r="K78" s="34"/>
      <c r="L78" s="34"/>
      <c r="M78" s="23"/>
      <c r="N78" s="23"/>
      <c r="O78" s="23"/>
      <c r="P78" s="34"/>
      <c r="Q78" s="34"/>
      <c r="R78" s="34"/>
      <c r="S78" s="7"/>
      <c r="T78" s="7"/>
      <c r="U78" s="7" t="s">
        <v>116</v>
      </c>
      <c r="V78" s="7"/>
      <c r="W78" s="7"/>
      <c r="X78" s="7"/>
      <c r="Y78" s="7"/>
      <c r="Z78" s="6"/>
      <c r="AA78" s="40" t="s">
        <v>679</v>
      </c>
      <c r="AB78" s="7"/>
      <c r="AC78" s="7"/>
      <c r="AD78" s="7"/>
      <c r="AE78" s="7"/>
      <c r="AF78" s="7"/>
      <c r="AG78" s="7"/>
      <c r="AH78" s="6"/>
      <c r="AI78" s="21" t="s">
        <v>268</v>
      </c>
      <c r="AJ78" s="7"/>
      <c r="AK78" s="7"/>
      <c r="AL78" s="7"/>
      <c r="AM78" s="49">
        <f>-0.067*$AL$2*$AK$8</f>
        <v>-8.576</v>
      </c>
      <c r="AN78" s="49"/>
      <c r="AO78" s="50"/>
      <c r="AP78" s="6"/>
      <c r="AQ78" s="21" t="s">
        <v>273</v>
      </c>
      <c r="AR78" s="7"/>
      <c r="AS78" s="7"/>
      <c r="AT78" s="7"/>
      <c r="AU78" s="7"/>
      <c r="AV78" s="7"/>
      <c r="AW78" s="49">
        <f>-(0.127/0.111)*$AT$2*$AU$8</f>
        <v>-60.06756756756758</v>
      </c>
      <c r="AX78" s="49"/>
      <c r="AY78" s="50"/>
      <c r="AZ78" s="6"/>
      <c r="BA78" s="21" t="s">
        <v>277</v>
      </c>
      <c r="BB78" s="7"/>
      <c r="BC78" s="7"/>
      <c r="BD78" s="7"/>
      <c r="BE78" s="49">
        <f>-0.056*$BE$10*$BC$8</f>
        <v>-0.8642340000000001</v>
      </c>
      <c r="BF78" s="49"/>
      <c r="BG78" s="50"/>
      <c r="BH78" s="7"/>
      <c r="BI78" s="21" t="s">
        <v>277</v>
      </c>
      <c r="BJ78" s="7"/>
      <c r="BK78" s="7"/>
      <c r="BL78" s="7"/>
      <c r="BM78" s="49">
        <f>-0.056*$BM$10*$BK$8</f>
        <v>-1.608285</v>
      </c>
      <c r="BN78" s="49"/>
      <c r="BO78" s="50"/>
      <c r="BP78" s="7"/>
      <c r="BQ78" s="21" t="s">
        <v>282</v>
      </c>
      <c r="BR78" s="7"/>
      <c r="BS78" s="7"/>
      <c r="BT78" s="7"/>
      <c r="BU78" s="49">
        <f>-0.055*$BU$10*$BS$8</f>
        <v>-1.6413319999999996</v>
      </c>
      <c r="BV78" s="49"/>
      <c r="BW78" s="50"/>
    </row>
    <row r="79" spans="1:75" ht="12.75" customHeight="1">
      <c r="A79" s="58"/>
      <c r="B79" s="6"/>
      <c r="C79" s="7"/>
      <c r="D79" s="7"/>
      <c r="E79" s="7"/>
      <c r="F79" s="7"/>
      <c r="G79" s="7"/>
      <c r="H79" s="12">
        <v>1</v>
      </c>
      <c r="I79" s="7"/>
      <c r="J79" s="7"/>
      <c r="K79" s="12">
        <v>2</v>
      </c>
      <c r="L79" s="7"/>
      <c r="M79" s="7"/>
      <c r="N79" s="12">
        <v>3</v>
      </c>
      <c r="O79" s="7"/>
      <c r="P79" s="7"/>
      <c r="Q79" s="12">
        <v>4</v>
      </c>
      <c r="R79" s="7"/>
      <c r="S79" s="7"/>
      <c r="T79" s="7"/>
      <c r="U79" s="7" t="s">
        <v>262</v>
      </c>
      <c r="V79" s="7"/>
      <c r="W79" s="7"/>
      <c r="X79" s="7"/>
      <c r="Y79" s="7"/>
      <c r="Z79" s="6"/>
      <c r="AA79" s="21" t="s">
        <v>264</v>
      </c>
      <c r="AB79" s="7"/>
      <c r="AC79" s="7"/>
      <c r="AD79" s="7"/>
      <c r="AE79" s="49">
        <f>-0.054*$AD$2*$AC$7^2</f>
        <v>-3.2805</v>
      </c>
      <c r="AF79" s="49"/>
      <c r="AG79" s="49"/>
      <c r="AH79" s="6"/>
      <c r="AI79" s="21" t="s">
        <v>269</v>
      </c>
      <c r="AJ79" s="7"/>
      <c r="AK79" s="7"/>
      <c r="AL79" s="7"/>
      <c r="AM79" s="49">
        <f>-0.08*$AL$2*$AK$8</f>
        <v>-10.24</v>
      </c>
      <c r="AN79" s="49"/>
      <c r="AO79" s="50"/>
      <c r="AP79" s="6"/>
      <c r="AQ79" s="7"/>
      <c r="AR79" s="7"/>
      <c r="AS79" s="21" t="s">
        <v>274</v>
      </c>
      <c r="AT79" s="7"/>
      <c r="AU79" s="7"/>
      <c r="AV79" s="7"/>
      <c r="AW79" s="49">
        <f>-0.143*$AT$2*$AU$8</f>
        <v>-7.5075</v>
      </c>
      <c r="AX79" s="49"/>
      <c r="AY79" s="50"/>
      <c r="AZ79" s="6"/>
      <c r="BA79" s="21" t="s">
        <v>278</v>
      </c>
      <c r="BB79" s="7"/>
      <c r="BC79" s="7"/>
      <c r="BD79" s="7"/>
      <c r="BE79" s="49">
        <f>-0.067*$BE$10*$BC$8</f>
        <v>-1.0339942500000001</v>
      </c>
      <c r="BF79" s="49"/>
      <c r="BG79" s="50"/>
      <c r="BH79" s="7"/>
      <c r="BI79" s="21" t="s">
        <v>278</v>
      </c>
      <c r="BJ79" s="7"/>
      <c r="BK79" s="7"/>
      <c r="BL79" s="7"/>
      <c r="BM79" s="49">
        <f>-0.067*$BM$10*$BK$8</f>
        <v>-1.924198125</v>
      </c>
      <c r="BN79" s="49"/>
      <c r="BO79" s="50"/>
      <c r="BP79" s="7"/>
      <c r="BQ79" s="21" t="s">
        <v>283</v>
      </c>
      <c r="BR79" s="7"/>
      <c r="BS79" s="7"/>
      <c r="BT79" s="7"/>
      <c r="BU79" s="49">
        <f>-0.065*$BU$10*$BS$8</f>
        <v>-1.9397559999999996</v>
      </c>
      <c r="BV79" s="49"/>
      <c r="BW79" s="50"/>
    </row>
    <row r="80" spans="1:75" ht="12.75" customHeight="1">
      <c r="A80" s="58"/>
      <c r="B80" s="6"/>
      <c r="C80" s="7"/>
      <c r="D80" s="7"/>
      <c r="E80" s="7"/>
      <c r="F80" s="51" t="s">
        <v>0</v>
      </c>
      <c r="G80" s="51"/>
      <c r="H80" s="12"/>
      <c r="I80" s="51" t="s">
        <v>1</v>
      </c>
      <c r="J80" s="51"/>
      <c r="K80" s="12"/>
      <c r="L80" s="51" t="s">
        <v>2</v>
      </c>
      <c r="M80" s="51"/>
      <c r="N80" s="12"/>
      <c r="O80" s="51" t="s">
        <v>72</v>
      </c>
      <c r="P80" s="51"/>
      <c r="Q80" s="12"/>
      <c r="R80" s="51" t="s">
        <v>203</v>
      </c>
      <c r="S80" s="51"/>
      <c r="T80" s="7"/>
      <c r="U80" s="7" t="s">
        <v>151</v>
      </c>
      <c r="V80" s="7"/>
      <c r="W80" s="7"/>
      <c r="X80" s="7"/>
      <c r="Y80" s="7"/>
      <c r="Z80" s="6"/>
      <c r="AA80" s="21" t="s">
        <v>265</v>
      </c>
      <c r="AB80" s="7"/>
      <c r="AC80" s="7"/>
      <c r="AD80" s="7"/>
      <c r="AE80" s="49">
        <f>-0.036*$AD$2*$AC$7^2</f>
        <v>-2.187</v>
      </c>
      <c r="AF80" s="49"/>
      <c r="AG80" s="49"/>
      <c r="AH80" s="6"/>
      <c r="AI80" s="21" t="s">
        <v>270</v>
      </c>
      <c r="AJ80" s="7"/>
      <c r="AK80" s="7"/>
      <c r="AL80" s="7"/>
      <c r="AM80" s="49">
        <f>-0.054*$AL$2*$AK$8</f>
        <v>-6.912</v>
      </c>
      <c r="AN80" s="49"/>
      <c r="AO80" s="50"/>
      <c r="AP80" s="6"/>
      <c r="AQ80" s="7"/>
      <c r="AR80" s="7"/>
      <c r="AS80" s="21" t="s">
        <v>275</v>
      </c>
      <c r="AT80" s="7"/>
      <c r="AU80" s="7"/>
      <c r="AV80" s="7"/>
      <c r="AW80" s="49">
        <f>-0.095*$AT$2*$AU$8</f>
        <v>-4.9875</v>
      </c>
      <c r="AX80" s="49"/>
      <c r="AY80" s="50"/>
      <c r="AZ80" s="6"/>
      <c r="BA80" s="21" t="s">
        <v>279</v>
      </c>
      <c r="BB80" s="7"/>
      <c r="BC80" s="7"/>
      <c r="BD80" s="7"/>
      <c r="BE80" s="49">
        <f>-0.045*$BE$10*$BC$8</f>
        <v>-0.69447375</v>
      </c>
      <c r="BF80" s="49"/>
      <c r="BG80" s="50"/>
      <c r="BH80" s="7"/>
      <c r="BI80" s="21" t="s">
        <v>279</v>
      </c>
      <c r="BJ80" s="7"/>
      <c r="BK80" s="7"/>
      <c r="BL80" s="7"/>
      <c r="BM80" s="49">
        <f>-0.045*$BM$10*$BK$8</f>
        <v>-1.2923718749999997</v>
      </c>
      <c r="BN80" s="49"/>
      <c r="BO80" s="50"/>
      <c r="BP80" s="7"/>
      <c r="BQ80" s="21" t="s">
        <v>284</v>
      </c>
      <c r="BR80" s="7"/>
      <c r="BS80" s="7"/>
      <c r="BT80" s="7"/>
      <c r="BU80" s="49">
        <f>-0.044*$BU$10*$BS$8</f>
        <v>-1.3130655999999996</v>
      </c>
      <c r="BV80" s="49"/>
      <c r="BW80" s="50"/>
    </row>
    <row r="81" spans="1:75" ht="12.75" customHeight="1">
      <c r="A81" s="58"/>
      <c r="B81" s="6"/>
      <c r="C81" s="7"/>
      <c r="D81" s="7"/>
      <c r="E81" s="7"/>
      <c r="F81" s="7"/>
      <c r="G81" s="24"/>
      <c r="H81" s="24" t="s">
        <v>20</v>
      </c>
      <c r="I81" s="7"/>
      <c r="J81" s="24"/>
      <c r="K81" s="24" t="s">
        <v>20</v>
      </c>
      <c r="L81" s="7"/>
      <c r="M81" s="24"/>
      <c r="N81" s="24" t="s">
        <v>20</v>
      </c>
      <c r="O81" s="7"/>
      <c r="P81" s="25"/>
      <c r="Q81" s="12" t="str">
        <f>+N81</f>
        <v>L</v>
      </c>
      <c r="R81" s="7"/>
      <c r="S81" s="7"/>
      <c r="T81" s="7"/>
      <c r="U81" s="7" t="s">
        <v>45</v>
      </c>
      <c r="V81" s="7"/>
      <c r="W81" s="7"/>
      <c r="X81" s="7"/>
      <c r="Y81" s="7"/>
      <c r="Z81" s="6"/>
      <c r="AA81" s="7" t="s">
        <v>266</v>
      </c>
      <c r="AB81" s="7"/>
      <c r="AC81" s="7"/>
      <c r="AD81" s="7"/>
      <c r="AE81" s="49">
        <f>0.446*$AD$2*$AC$7</f>
        <v>6.021000000000001</v>
      </c>
      <c r="AF81" s="49"/>
      <c r="AG81" s="49"/>
      <c r="AH81" s="6"/>
      <c r="AI81" s="21" t="s">
        <v>271</v>
      </c>
      <c r="AJ81" s="7"/>
      <c r="AK81" s="7"/>
      <c r="AL81" s="7"/>
      <c r="AM81" s="49">
        <f>0.42*$AL$2</f>
        <v>13.44</v>
      </c>
      <c r="AN81" s="49"/>
      <c r="AO81" s="50"/>
      <c r="AP81" s="6"/>
      <c r="AQ81" s="7"/>
      <c r="AR81" s="7"/>
      <c r="AS81" s="21" t="s">
        <v>276</v>
      </c>
      <c r="AT81" s="7"/>
      <c r="AU81" s="7"/>
      <c r="AV81" s="7"/>
      <c r="AW81" s="49">
        <f>0.857*$AT$2</f>
        <v>12.855</v>
      </c>
      <c r="AX81" s="49"/>
      <c r="AY81" s="50"/>
      <c r="AZ81" s="6"/>
      <c r="BA81" s="21" t="s">
        <v>280</v>
      </c>
      <c r="BB81" s="7"/>
      <c r="BC81" s="7"/>
      <c r="BD81" s="7"/>
      <c r="BE81" s="49">
        <f>0.433*$BE$10</f>
        <v>2.344695</v>
      </c>
      <c r="BF81" s="49"/>
      <c r="BG81" s="50"/>
      <c r="BH81" s="7"/>
      <c r="BI81" s="21" t="s">
        <v>280</v>
      </c>
      <c r="BJ81" s="7"/>
      <c r="BK81" s="7"/>
      <c r="BL81" s="7"/>
      <c r="BM81" s="49">
        <f>0.433*$BM$10</f>
        <v>2.9259975</v>
      </c>
      <c r="BN81" s="49"/>
      <c r="BO81" s="50"/>
      <c r="BP81" s="7"/>
      <c r="BQ81" s="21" t="s">
        <v>285</v>
      </c>
      <c r="BR81" s="7"/>
      <c r="BS81" s="7"/>
      <c r="BT81" s="7"/>
      <c r="BU81" s="49">
        <f>0.425*$BU$10</f>
        <v>3.4747999999999992</v>
      </c>
      <c r="BV81" s="49"/>
      <c r="BW81" s="50"/>
    </row>
    <row r="82" spans="1:75" ht="12.75" customHeight="1">
      <c r="A82" s="58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6"/>
      <c r="AA82" s="7"/>
      <c r="AB82" s="7"/>
      <c r="AC82" s="7"/>
      <c r="AD82" s="7"/>
      <c r="AE82" s="7"/>
      <c r="AF82" s="7"/>
      <c r="AG82" s="7"/>
      <c r="AH82" s="6"/>
      <c r="AI82" s="7"/>
      <c r="AJ82" s="7"/>
      <c r="AK82" s="7"/>
      <c r="AL82" s="7"/>
      <c r="AM82" s="7"/>
      <c r="AN82" s="7"/>
      <c r="AO82" s="8"/>
      <c r="AP82" s="6"/>
      <c r="AQ82" s="7"/>
      <c r="AR82" s="7"/>
      <c r="AS82" s="7"/>
      <c r="AT82" s="7"/>
      <c r="AU82" s="7"/>
      <c r="AV82" s="7"/>
      <c r="AW82" s="7"/>
      <c r="AX82" s="7"/>
      <c r="AY82" s="8"/>
      <c r="AZ82" s="6"/>
      <c r="BA82" s="7"/>
      <c r="BB82" s="7"/>
      <c r="BC82" s="7"/>
      <c r="BD82" s="7"/>
      <c r="BE82" s="7"/>
      <c r="BF82" s="7"/>
      <c r="BG82" s="8"/>
      <c r="BH82" s="7"/>
      <c r="BI82" s="7"/>
      <c r="BJ82" s="7"/>
      <c r="BK82" s="7"/>
      <c r="BL82" s="7"/>
      <c r="BM82" s="7"/>
      <c r="BN82" s="7"/>
      <c r="BO82" s="8"/>
      <c r="BP82" s="7"/>
      <c r="BQ82" s="7"/>
      <c r="BR82" s="7"/>
      <c r="BS82" s="7"/>
      <c r="BT82" s="7"/>
      <c r="BU82" s="7"/>
      <c r="BV82" s="7"/>
      <c r="BW82" s="8"/>
    </row>
    <row r="83" spans="1:75" ht="12.75" customHeight="1">
      <c r="A83" s="58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3"/>
      <c r="AA83" s="4"/>
      <c r="AB83" s="4"/>
      <c r="AC83" s="4"/>
      <c r="AD83" s="4"/>
      <c r="AE83" s="4"/>
      <c r="AF83" s="4"/>
      <c r="AG83" s="4"/>
      <c r="AH83" s="3"/>
      <c r="AI83" s="4"/>
      <c r="AJ83" s="4"/>
      <c r="AK83" s="4"/>
      <c r="AL83" s="4"/>
      <c r="AM83" s="4"/>
      <c r="AN83" s="4"/>
      <c r="AO83" s="5"/>
      <c r="AP83" s="3"/>
      <c r="AQ83" s="4"/>
      <c r="AR83" s="4"/>
      <c r="AS83" s="4"/>
      <c r="AT83" s="4"/>
      <c r="AU83" s="4"/>
      <c r="AV83" s="4"/>
      <c r="AW83" s="4"/>
      <c r="AX83" s="4"/>
      <c r="AY83" s="5"/>
      <c r="AZ83" s="3"/>
      <c r="BA83" s="4"/>
      <c r="BB83" s="4"/>
      <c r="BC83" s="4"/>
      <c r="BD83" s="4"/>
      <c r="BE83" s="4"/>
      <c r="BF83" s="4"/>
      <c r="BG83" s="5"/>
      <c r="BH83" s="4"/>
      <c r="BI83" s="4"/>
      <c r="BJ83" s="4"/>
      <c r="BK83" s="4"/>
      <c r="BL83" s="4"/>
      <c r="BM83" s="4"/>
      <c r="BN83" s="4"/>
      <c r="BO83" s="5"/>
      <c r="BP83" s="4"/>
      <c r="BQ83" s="4"/>
      <c r="BR83" s="4"/>
      <c r="BS83" s="4"/>
      <c r="BT83" s="4"/>
      <c r="BU83" s="4"/>
      <c r="BV83" s="4"/>
      <c r="BW83" s="5"/>
    </row>
    <row r="84" spans="1:75" ht="12.75" customHeight="1">
      <c r="A84" s="58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 t="s">
        <v>43</v>
      </c>
      <c r="V84" s="7"/>
      <c r="W84" s="7"/>
      <c r="X84" s="7"/>
      <c r="Y84" s="7"/>
      <c r="Z84" s="6"/>
      <c r="AA84" s="40" t="s">
        <v>679</v>
      </c>
      <c r="AB84" s="7"/>
      <c r="AC84" s="7"/>
      <c r="AD84" s="7"/>
      <c r="AE84" s="7"/>
      <c r="AF84" s="7"/>
      <c r="AG84" s="7"/>
      <c r="AH84" s="6"/>
      <c r="AI84" s="21" t="s">
        <v>287</v>
      </c>
      <c r="AJ84" s="7"/>
      <c r="AK84" s="7"/>
      <c r="AL84" s="7"/>
      <c r="AM84" s="49">
        <f>-0.04*$AL$2*$AK$8</f>
        <v>-5.12</v>
      </c>
      <c r="AN84" s="49"/>
      <c r="AO84" s="50"/>
      <c r="AP84" s="6"/>
      <c r="AQ84" s="21" t="s">
        <v>290</v>
      </c>
      <c r="AR84" s="7"/>
      <c r="AS84" s="7"/>
      <c r="AT84" s="7"/>
      <c r="AU84" s="7"/>
      <c r="AV84" s="7"/>
      <c r="AW84" s="49">
        <f>-(0.048/0.095)*$AT$2*$AU$8</f>
        <v>-26.526315789473685</v>
      </c>
      <c r="AX84" s="49"/>
      <c r="AY84" s="50"/>
      <c r="AZ84" s="6"/>
      <c r="BA84" s="21" t="s">
        <v>293</v>
      </c>
      <c r="BB84" s="7"/>
      <c r="BC84" s="7"/>
      <c r="BD84" s="7"/>
      <c r="BE84" s="49">
        <f>-0.03*$BE$10*$BC$8</f>
        <v>-0.46298249999999996</v>
      </c>
      <c r="BF84" s="49"/>
      <c r="BG84" s="50"/>
      <c r="BH84" s="7"/>
      <c r="BI84" s="21" t="s">
        <v>293</v>
      </c>
      <c r="BJ84" s="7"/>
      <c r="BK84" s="7"/>
      <c r="BL84" s="7"/>
      <c r="BM84" s="49">
        <f>-0.03*$BM$10*$BK$8</f>
        <v>-0.8615812499999999</v>
      </c>
      <c r="BN84" s="49"/>
      <c r="BO84" s="50"/>
      <c r="BP84" s="7"/>
      <c r="BQ84" s="21" t="s">
        <v>296</v>
      </c>
      <c r="BR84" s="7"/>
      <c r="BS84" s="7"/>
      <c r="BT84" s="7"/>
      <c r="BU84" s="49">
        <f>-0.029*$BU$10*$BS$8</f>
        <v>-0.8654295999999998</v>
      </c>
      <c r="BV84" s="49"/>
      <c r="BW84" s="50"/>
    </row>
    <row r="85" spans="1:75" ht="13.5" customHeight="1" thickBot="1">
      <c r="A85" s="58"/>
      <c r="B85" s="6"/>
      <c r="C85" s="7"/>
      <c r="D85" s="7"/>
      <c r="E85" s="7"/>
      <c r="F85" s="7"/>
      <c r="G85" s="34"/>
      <c r="H85" s="34"/>
      <c r="I85" s="34"/>
      <c r="J85" s="23"/>
      <c r="K85" s="23"/>
      <c r="L85" s="23"/>
      <c r="M85" s="34"/>
      <c r="N85" s="34"/>
      <c r="O85" s="34"/>
      <c r="P85" s="39"/>
      <c r="Q85" s="39"/>
      <c r="R85" s="39"/>
      <c r="S85" s="7"/>
      <c r="T85" s="7"/>
      <c r="U85" s="7" t="s">
        <v>116</v>
      </c>
      <c r="V85" s="7"/>
      <c r="W85" s="7"/>
      <c r="X85" s="7"/>
      <c r="Y85" s="7"/>
      <c r="Z85" s="6"/>
      <c r="AA85" s="7" t="s">
        <v>76</v>
      </c>
      <c r="AB85" s="7"/>
      <c r="AC85" s="7"/>
      <c r="AD85" s="7"/>
      <c r="AE85" s="49">
        <f>0.08*$AD$2*$AC$7^2</f>
        <v>4.859999999999999</v>
      </c>
      <c r="AF85" s="49"/>
      <c r="AG85" s="49"/>
      <c r="AH85" s="6"/>
      <c r="AI85" s="21" t="s">
        <v>288</v>
      </c>
      <c r="AJ85" s="7"/>
      <c r="AK85" s="7"/>
      <c r="AL85" s="7"/>
      <c r="AM85" s="49">
        <f>0.183*$AL$2*$AK$8</f>
        <v>23.424</v>
      </c>
      <c r="AN85" s="49"/>
      <c r="AO85" s="50"/>
      <c r="AP85" s="6"/>
      <c r="AQ85" s="21" t="s">
        <v>291</v>
      </c>
      <c r="AR85" s="7"/>
      <c r="AS85" s="7"/>
      <c r="AT85" s="7"/>
      <c r="AU85" s="7"/>
      <c r="AV85" s="7"/>
      <c r="AW85" s="49">
        <f>(0.206/0.222)*$AT$2*$AU$8</f>
        <v>48.71621621621621</v>
      </c>
      <c r="AX85" s="49"/>
      <c r="AY85" s="50"/>
      <c r="AZ85" s="6"/>
      <c r="BA85" s="21" t="s">
        <v>294</v>
      </c>
      <c r="BB85" s="7"/>
      <c r="BC85" s="7"/>
      <c r="BD85" s="7"/>
      <c r="BE85" s="49">
        <f>0.111*$BE$10*$BC$8</f>
        <v>1.71303525</v>
      </c>
      <c r="BF85" s="49"/>
      <c r="BG85" s="50"/>
      <c r="BH85" s="7"/>
      <c r="BI85" s="21" t="s">
        <v>97</v>
      </c>
      <c r="BJ85" s="7"/>
      <c r="BK85" s="7"/>
      <c r="BL85" s="7"/>
      <c r="BM85" s="49">
        <f>0.108*$BM$10*$BK$8</f>
        <v>3.1016925</v>
      </c>
      <c r="BN85" s="49"/>
      <c r="BO85" s="50"/>
      <c r="BP85" s="7"/>
      <c r="BQ85" s="21" t="s">
        <v>110</v>
      </c>
      <c r="BR85" s="7"/>
      <c r="BS85" s="7"/>
      <c r="BT85" s="7"/>
      <c r="BU85" s="49">
        <f>0.102*$BU$10*$BS$8</f>
        <v>3.043924799999999</v>
      </c>
      <c r="BV85" s="49"/>
      <c r="BW85" s="50"/>
    </row>
    <row r="86" spans="1:75" ht="12.75" customHeight="1">
      <c r="A86" s="58"/>
      <c r="B86" s="6"/>
      <c r="C86" s="7"/>
      <c r="D86" s="7"/>
      <c r="E86" s="7"/>
      <c r="F86" s="7"/>
      <c r="G86" s="7"/>
      <c r="H86" s="12">
        <v>1</v>
      </c>
      <c r="I86" s="7"/>
      <c r="J86" s="7"/>
      <c r="K86" s="12">
        <v>2</v>
      </c>
      <c r="L86" s="7"/>
      <c r="M86" s="7"/>
      <c r="N86" s="12">
        <v>3</v>
      </c>
      <c r="O86" s="7"/>
      <c r="P86" s="7"/>
      <c r="Q86" s="12">
        <v>4</v>
      </c>
      <c r="R86" s="7"/>
      <c r="S86" s="7"/>
      <c r="T86" s="7"/>
      <c r="U86" s="7" t="s">
        <v>262</v>
      </c>
      <c r="V86" s="7"/>
      <c r="W86" s="7"/>
      <c r="X86" s="7"/>
      <c r="Y86" s="7"/>
      <c r="Z86" s="6"/>
      <c r="AA86" s="21" t="s">
        <v>264</v>
      </c>
      <c r="AB86" s="7"/>
      <c r="AC86" s="7"/>
      <c r="AD86" s="7"/>
      <c r="AE86" s="49">
        <f>-0.054*$AD$2*$AC$7^2</f>
        <v>-3.2805</v>
      </c>
      <c r="AF86" s="49"/>
      <c r="AG86" s="49"/>
      <c r="AH86" s="6"/>
      <c r="AI86" s="21" t="s">
        <v>269</v>
      </c>
      <c r="AJ86" s="7"/>
      <c r="AK86" s="7"/>
      <c r="AL86" s="7"/>
      <c r="AM86" s="49">
        <f>-0.08*$AL$2*$AK$8</f>
        <v>-10.24</v>
      </c>
      <c r="AN86" s="49"/>
      <c r="AO86" s="50"/>
      <c r="AP86" s="6"/>
      <c r="AQ86" s="7"/>
      <c r="AR86" s="7"/>
      <c r="AS86" s="21" t="s">
        <v>274</v>
      </c>
      <c r="AT86" s="7"/>
      <c r="AU86" s="7"/>
      <c r="AV86" s="7"/>
      <c r="AW86" s="49">
        <f>-0.143*$AT$2*$AU$8</f>
        <v>-7.5075</v>
      </c>
      <c r="AX86" s="49"/>
      <c r="AY86" s="50"/>
      <c r="AZ86" s="6"/>
      <c r="BA86" s="21" t="s">
        <v>278</v>
      </c>
      <c r="BB86" s="7"/>
      <c r="BC86" s="7"/>
      <c r="BD86" s="7"/>
      <c r="BE86" s="49">
        <f>-0.067*$BE$10*$BC$8</f>
        <v>-1.0339942500000001</v>
      </c>
      <c r="BF86" s="49"/>
      <c r="BG86" s="50"/>
      <c r="BH86" s="7"/>
      <c r="BI86" s="21" t="s">
        <v>278</v>
      </c>
      <c r="BJ86" s="7"/>
      <c r="BK86" s="7"/>
      <c r="BL86" s="7"/>
      <c r="BM86" s="49">
        <f>-0.067*$BM$10*$BK$8</f>
        <v>-1.924198125</v>
      </c>
      <c r="BN86" s="49"/>
      <c r="BO86" s="50"/>
      <c r="BP86" s="7"/>
      <c r="BQ86" s="21" t="s">
        <v>283</v>
      </c>
      <c r="BR86" s="7"/>
      <c r="BS86" s="7"/>
      <c r="BT86" s="7"/>
      <c r="BU86" s="49">
        <f>-0.065*$BU$10*$BS$8</f>
        <v>-1.9397559999999996</v>
      </c>
      <c r="BV86" s="49"/>
      <c r="BW86" s="50"/>
    </row>
    <row r="87" spans="1:75" ht="12.75" customHeight="1">
      <c r="A87" s="58"/>
      <c r="B87" s="6"/>
      <c r="C87" s="7"/>
      <c r="D87" s="7"/>
      <c r="E87" s="7"/>
      <c r="F87" s="51" t="s">
        <v>0</v>
      </c>
      <c r="G87" s="51"/>
      <c r="H87" s="12"/>
      <c r="I87" s="51" t="s">
        <v>1</v>
      </c>
      <c r="J87" s="51"/>
      <c r="K87" s="12"/>
      <c r="L87" s="51" t="s">
        <v>2</v>
      </c>
      <c r="M87" s="51"/>
      <c r="N87" s="12"/>
      <c r="O87" s="51" t="s">
        <v>72</v>
      </c>
      <c r="P87" s="51"/>
      <c r="Q87" s="12"/>
      <c r="R87" s="51" t="s">
        <v>203</v>
      </c>
      <c r="S87" s="51"/>
      <c r="T87" s="7"/>
      <c r="U87" s="7" t="s">
        <v>151</v>
      </c>
      <c r="V87" s="7"/>
      <c r="W87" s="7"/>
      <c r="X87" s="7"/>
      <c r="Y87" s="7"/>
      <c r="Z87" s="6"/>
      <c r="AA87" s="21" t="s">
        <v>265</v>
      </c>
      <c r="AB87" s="7"/>
      <c r="AC87" s="7"/>
      <c r="AD87" s="7"/>
      <c r="AE87" s="49">
        <f>-0.036*$AD$2*$AC$7^2</f>
        <v>-2.187</v>
      </c>
      <c r="AF87" s="49"/>
      <c r="AG87" s="49"/>
      <c r="AH87" s="6"/>
      <c r="AI87" s="21" t="s">
        <v>270</v>
      </c>
      <c r="AJ87" s="7"/>
      <c r="AK87" s="7"/>
      <c r="AL87" s="7"/>
      <c r="AM87" s="49">
        <f>-0.054*$AL$2*$AK$8</f>
        <v>-6.912</v>
      </c>
      <c r="AN87" s="49"/>
      <c r="AO87" s="50"/>
      <c r="AP87" s="6"/>
      <c r="AQ87" s="7"/>
      <c r="AR87" s="7"/>
      <c r="AS87" s="21" t="s">
        <v>275</v>
      </c>
      <c r="AT87" s="7"/>
      <c r="AU87" s="7"/>
      <c r="AV87" s="7"/>
      <c r="AW87" s="49">
        <f>-0.095*$AT$2*$AU$8</f>
        <v>-4.9875</v>
      </c>
      <c r="AX87" s="49"/>
      <c r="AY87" s="50"/>
      <c r="AZ87" s="6"/>
      <c r="BA87" s="21" t="s">
        <v>279</v>
      </c>
      <c r="BB87" s="7"/>
      <c r="BC87" s="7"/>
      <c r="BD87" s="7"/>
      <c r="BE87" s="49">
        <f>-0.045*$BE$10*$BC$8</f>
        <v>-0.69447375</v>
      </c>
      <c r="BF87" s="49"/>
      <c r="BG87" s="50"/>
      <c r="BH87" s="7"/>
      <c r="BI87" s="21" t="s">
        <v>279</v>
      </c>
      <c r="BJ87" s="7"/>
      <c r="BK87" s="7"/>
      <c r="BL87" s="7"/>
      <c r="BM87" s="49">
        <f>-0.045*$BM$10*$BK$8</f>
        <v>-1.2923718749999997</v>
      </c>
      <c r="BN87" s="49"/>
      <c r="BO87" s="50"/>
      <c r="BP87" s="7"/>
      <c r="BQ87" s="21" t="s">
        <v>284</v>
      </c>
      <c r="BR87" s="7"/>
      <c r="BS87" s="7"/>
      <c r="BT87" s="7"/>
      <c r="BU87" s="49">
        <f>-0.044*$BU$10*$BS$8</f>
        <v>-1.3130655999999996</v>
      </c>
      <c r="BV87" s="49"/>
      <c r="BW87" s="50"/>
    </row>
    <row r="88" spans="1:75" ht="12.75" customHeight="1">
      <c r="A88" s="58"/>
      <c r="B88" s="6"/>
      <c r="C88" s="7"/>
      <c r="D88" s="7"/>
      <c r="E88" s="7"/>
      <c r="F88" s="7"/>
      <c r="G88" s="24"/>
      <c r="H88" s="24" t="s">
        <v>20</v>
      </c>
      <c r="I88" s="7"/>
      <c r="J88" s="24"/>
      <c r="K88" s="24" t="s">
        <v>20</v>
      </c>
      <c r="L88" s="7"/>
      <c r="M88" s="24"/>
      <c r="N88" s="24" t="s">
        <v>20</v>
      </c>
      <c r="O88" s="7"/>
      <c r="P88" s="25"/>
      <c r="Q88" s="12" t="str">
        <f>+N88</f>
        <v>L</v>
      </c>
      <c r="R88" s="7"/>
      <c r="S88" s="7"/>
      <c r="T88" s="7"/>
      <c r="U88" s="7" t="s">
        <v>63</v>
      </c>
      <c r="V88" s="7"/>
      <c r="W88" s="7"/>
      <c r="X88" s="7"/>
      <c r="Y88" s="7"/>
      <c r="Z88" s="6"/>
      <c r="AA88" s="21" t="s">
        <v>286</v>
      </c>
      <c r="AB88" s="7"/>
      <c r="AC88" s="7"/>
      <c r="AD88" s="7"/>
      <c r="AE88" s="49">
        <f>-0.054*$AD$2*$AC$7</f>
        <v>-0.729</v>
      </c>
      <c r="AF88" s="49"/>
      <c r="AG88" s="49"/>
      <c r="AH88" s="6"/>
      <c r="AI88" s="21" t="s">
        <v>289</v>
      </c>
      <c r="AJ88" s="7"/>
      <c r="AK88" s="7"/>
      <c r="AL88" s="7"/>
      <c r="AM88" s="49">
        <f>-0.08*$AL$2</f>
        <v>-2.56</v>
      </c>
      <c r="AN88" s="49"/>
      <c r="AO88" s="50"/>
      <c r="AP88" s="6"/>
      <c r="AQ88" s="7"/>
      <c r="AR88" s="7"/>
      <c r="AS88" s="21" t="s">
        <v>292</v>
      </c>
      <c r="AT88" s="7"/>
      <c r="AU88" s="7"/>
      <c r="AV88" s="7"/>
      <c r="AW88" s="49">
        <f>-0.143*$AT$2</f>
        <v>-2.145</v>
      </c>
      <c r="AX88" s="49"/>
      <c r="AY88" s="50"/>
      <c r="AZ88" s="6"/>
      <c r="BA88" s="21" t="s">
        <v>295</v>
      </c>
      <c r="BB88" s="7"/>
      <c r="BC88" s="7"/>
      <c r="BD88" s="7"/>
      <c r="BE88" s="49">
        <f>-0.067*$BE$10</f>
        <v>-0.36280500000000004</v>
      </c>
      <c r="BF88" s="49"/>
      <c r="BG88" s="50"/>
      <c r="BH88" s="7"/>
      <c r="BI88" s="21" t="s">
        <v>295</v>
      </c>
      <c r="BJ88" s="7"/>
      <c r="BK88" s="7"/>
      <c r="BL88" s="7"/>
      <c r="BM88" s="49">
        <f>-0.067*$BM$10</f>
        <v>-0.4527525</v>
      </c>
      <c r="BN88" s="49"/>
      <c r="BO88" s="50"/>
      <c r="BP88" s="7"/>
      <c r="BQ88" s="21" t="s">
        <v>297</v>
      </c>
      <c r="BR88" s="7"/>
      <c r="BS88" s="7"/>
      <c r="BT88" s="7"/>
      <c r="BU88" s="49">
        <f>-0.065*$BU$10</f>
        <v>-0.5314399999999999</v>
      </c>
      <c r="BV88" s="49"/>
      <c r="BW88" s="50"/>
    </row>
    <row r="89" spans="1:75" ht="12.75" customHeight="1">
      <c r="A89" s="58"/>
      <c r="B89" s="2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6"/>
      <c r="AA89" s="27"/>
      <c r="AB89" s="27"/>
      <c r="AC89" s="27"/>
      <c r="AD89" s="27"/>
      <c r="AE89" s="27"/>
      <c r="AF89" s="27"/>
      <c r="AG89" s="27"/>
      <c r="AH89" s="26"/>
      <c r="AI89" s="27"/>
      <c r="AJ89" s="27"/>
      <c r="AK89" s="27"/>
      <c r="AL89" s="27"/>
      <c r="AM89" s="27"/>
      <c r="AN89" s="27"/>
      <c r="AO89" s="44"/>
      <c r="AP89" s="26"/>
      <c r="AQ89" s="27"/>
      <c r="AR89" s="27"/>
      <c r="AS89" s="27"/>
      <c r="AT89" s="27"/>
      <c r="AU89" s="27"/>
      <c r="AV89" s="27"/>
      <c r="AW89" s="27"/>
      <c r="AX89" s="27"/>
      <c r="AY89" s="44"/>
      <c r="AZ89" s="26"/>
      <c r="BA89" s="27"/>
      <c r="BB89" s="27"/>
      <c r="BC89" s="27"/>
      <c r="BD89" s="27"/>
      <c r="BE89" s="27"/>
      <c r="BF89" s="27"/>
      <c r="BG89" s="44"/>
      <c r="BH89" s="27"/>
      <c r="BI89" s="27"/>
      <c r="BJ89" s="27"/>
      <c r="BK89" s="27"/>
      <c r="BL89" s="27"/>
      <c r="BM89" s="27"/>
      <c r="BN89" s="27"/>
      <c r="BO89" s="44"/>
      <c r="BP89" s="27"/>
      <c r="BQ89" s="27"/>
      <c r="BR89" s="27"/>
      <c r="BS89" s="27"/>
      <c r="BT89" s="27"/>
      <c r="BU89" s="27"/>
      <c r="BV89" s="27"/>
      <c r="BW89" s="44"/>
    </row>
    <row r="90" spans="1:75" ht="12.75" customHeight="1">
      <c r="A90" s="58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6"/>
      <c r="AA90" s="7"/>
      <c r="AB90" s="7"/>
      <c r="AC90" s="7"/>
      <c r="AD90" s="7"/>
      <c r="AE90" s="7"/>
      <c r="AF90" s="7"/>
      <c r="AG90" s="7"/>
      <c r="AH90" s="6"/>
      <c r="AI90" s="7"/>
      <c r="AJ90" s="7"/>
      <c r="AK90" s="7"/>
      <c r="AL90" s="7"/>
      <c r="AM90" s="7"/>
      <c r="AN90" s="7"/>
      <c r="AO90" s="8"/>
      <c r="AP90" s="6"/>
      <c r="AQ90" s="7"/>
      <c r="AR90" s="7"/>
      <c r="AS90" s="7"/>
      <c r="AT90" s="7"/>
      <c r="AU90" s="7"/>
      <c r="AV90" s="7"/>
      <c r="AW90" s="7"/>
      <c r="AX90" s="7"/>
      <c r="AY90" s="8"/>
      <c r="AZ90" s="6"/>
      <c r="BA90" s="7"/>
      <c r="BB90" s="7"/>
      <c r="BC90" s="7"/>
      <c r="BD90" s="7"/>
      <c r="BE90" s="7"/>
      <c r="BF90" s="7"/>
      <c r="BG90" s="8"/>
      <c r="BH90" s="7"/>
      <c r="BI90" s="7"/>
      <c r="BJ90" s="7"/>
      <c r="BK90" s="7"/>
      <c r="BL90" s="7"/>
      <c r="BM90" s="7"/>
      <c r="BN90" s="7"/>
      <c r="BO90" s="8"/>
      <c r="BP90" s="7"/>
      <c r="BQ90" s="7"/>
      <c r="BR90" s="7"/>
      <c r="BS90" s="7"/>
      <c r="BT90" s="7"/>
      <c r="BU90" s="7"/>
      <c r="BV90" s="7"/>
      <c r="BW90" s="8"/>
    </row>
    <row r="91" spans="1:75" ht="12.75" customHeight="1">
      <c r="A91" s="58"/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 t="s">
        <v>4</v>
      </c>
      <c r="V91" s="7"/>
      <c r="W91" s="7"/>
      <c r="X91" s="7"/>
      <c r="Y91" s="7"/>
      <c r="Z91" s="6"/>
      <c r="AA91" s="21" t="s">
        <v>302</v>
      </c>
      <c r="AB91" s="7"/>
      <c r="AC91" s="7"/>
      <c r="AD91" s="7"/>
      <c r="AE91" s="49">
        <f>-0.121*$AD$2*$AC$7^2</f>
        <v>-7.35075</v>
      </c>
      <c r="AF91" s="49"/>
      <c r="AG91" s="49"/>
      <c r="AH91" s="6"/>
      <c r="AI91" s="21" t="s">
        <v>308</v>
      </c>
      <c r="AJ91" s="7"/>
      <c r="AK91" s="7"/>
      <c r="AL91" s="7"/>
      <c r="AM91" s="49">
        <f>-0.181*$AL$2*$AK$8</f>
        <v>-23.168</v>
      </c>
      <c r="AN91" s="49"/>
      <c r="AO91" s="50"/>
      <c r="AP91" s="6"/>
      <c r="AQ91" s="7"/>
      <c r="AR91" s="7"/>
      <c r="AS91" s="21" t="s">
        <v>314</v>
      </c>
      <c r="AT91" s="7"/>
      <c r="AU91" s="7"/>
      <c r="AV91" s="7"/>
      <c r="AW91" s="49">
        <f>-0.321*$AT$2*$AU$8</f>
        <v>-16.852500000000003</v>
      </c>
      <c r="AX91" s="49"/>
      <c r="AY91" s="50"/>
      <c r="AZ91" s="6"/>
      <c r="BA91" s="21" t="s">
        <v>39</v>
      </c>
      <c r="BB91" s="7"/>
      <c r="BC91" s="7"/>
      <c r="BD91" s="7"/>
      <c r="BE91" s="49">
        <f>-0.151*$BE$10*$BC$8</f>
        <v>-2.33034525</v>
      </c>
      <c r="BF91" s="49"/>
      <c r="BG91" s="50"/>
      <c r="BH91" s="7"/>
      <c r="BI91" s="21" t="s">
        <v>324</v>
      </c>
      <c r="BJ91" s="7"/>
      <c r="BK91" s="7"/>
      <c r="BL91" s="7"/>
      <c r="BM91" s="49">
        <f>-0.15*$BM$10*$BK$8</f>
        <v>-4.307906249999999</v>
      </c>
      <c r="BN91" s="49"/>
      <c r="BO91" s="50"/>
      <c r="BP91" s="7"/>
      <c r="BQ91" s="21" t="s">
        <v>168</v>
      </c>
      <c r="BR91" s="7"/>
      <c r="BS91" s="7"/>
      <c r="BT91" s="7"/>
      <c r="BU91" s="49">
        <f>-0.146*$BU$10*$BS$8</f>
        <v>-4.356990399999999</v>
      </c>
      <c r="BV91" s="49"/>
      <c r="BW91" s="50"/>
    </row>
    <row r="92" spans="1:75" ht="13.5" customHeight="1" thickBot="1">
      <c r="A92" s="58"/>
      <c r="B92" s="6"/>
      <c r="C92" s="7"/>
      <c r="D92" s="7"/>
      <c r="E92" s="7"/>
      <c r="F92" s="7"/>
      <c r="G92" s="23"/>
      <c r="H92" s="23"/>
      <c r="I92" s="48"/>
      <c r="J92" s="23"/>
      <c r="K92" s="23"/>
      <c r="L92" s="23"/>
      <c r="M92" s="34"/>
      <c r="N92" s="34"/>
      <c r="O92" s="34"/>
      <c r="P92" s="39"/>
      <c r="Q92" s="39"/>
      <c r="R92" s="39"/>
      <c r="S92" s="7"/>
      <c r="T92" s="7"/>
      <c r="U92" s="7" t="s">
        <v>151</v>
      </c>
      <c r="V92" s="7"/>
      <c r="W92" s="7"/>
      <c r="X92" s="7"/>
      <c r="Y92" s="7"/>
      <c r="Z92" s="6"/>
      <c r="AA92" s="21" t="s">
        <v>303</v>
      </c>
      <c r="AB92" s="7"/>
      <c r="AC92" s="7"/>
      <c r="AD92" s="7"/>
      <c r="AE92" s="49">
        <f>-0.018*$AD$2*$AC$7^2</f>
        <v>-1.0935</v>
      </c>
      <c r="AF92" s="49"/>
      <c r="AG92" s="49"/>
      <c r="AH92" s="6"/>
      <c r="AI92" s="21" t="s">
        <v>309</v>
      </c>
      <c r="AJ92" s="7"/>
      <c r="AK92" s="7"/>
      <c r="AL92" s="7"/>
      <c r="AM92" s="49">
        <f>-0.027*$AL$2*$AK$8</f>
        <v>-3.456</v>
      </c>
      <c r="AN92" s="49"/>
      <c r="AO92" s="50"/>
      <c r="AP92" s="6"/>
      <c r="AQ92" s="7"/>
      <c r="AR92" s="7"/>
      <c r="AS92" s="21" t="s">
        <v>315</v>
      </c>
      <c r="AT92" s="7"/>
      <c r="AU92" s="7"/>
      <c r="AV92" s="7"/>
      <c r="AW92" s="49">
        <f>-0.048*$AT$2*$AU$8</f>
        <v>-2.52</v>
      </c>
      <c r="AX92" s="49"/>
      <c r="AY92" s="50"/>
      <c r="AZ92" s="6"/>
      <c r="BA92" s="21" t="s">
        <v>320</v>
      </c>
      <c r="BB92" s="7"/>
      <c r="BC92" s="7"/>
      <c r="BD92" s="7"/>
      <c r="BE92" s="49">
        <f>-0.023*$BE$10*$BC$8</f>
        <v>-0.35495325</v>
      </c>
      <c r="BF92" s="49"/>
      <c r="BG92" s="50"/>
      <c r="BH92" s="7"/>
      <c r="BI92" s="21" t="s">
        <v>194</v>
      </c>
      <c r="BJ92" s="7"/>
      <c r="BK92" s="7"/>
      <c r="BL92" s="7"/>
      <c r="BM92" s="49">
        <f>-0.022*$BM$10*$BK$8</f>
        <v>-0.6318262499999999</v>
      </c>
      <c r="BN92" s="49"/>
      <c r="BO92" s="50"/>
      <c r="BP92" s="7"/>
      <c r="BQ92" s="21" t="s">
        <v>194</v>
      </c>
      <c r="BR92" s="7"/>
      <c r="BS92" s="7"/>
      <c r="BT92" s="7"/>
      <c r="BU92" s="49">
        <f>-0.022*$BU$10*$BS$8</f>
        <v>-0.6565327999999998</v>
      </c>
      <c r="BV92" s="49"/>
      <c r="BW92" s="50"/>
    </row>
    <row r="93" spans="1:75" ht="12.75" customHeight="1">
      <c r="A93" s="58"/>
      <c r="B93" s="6"/>
      <c r="C93" s="7"/>
      <c r="D93" s="7"/>
      <c r="E93" s="7"/>
      <c r="F93" s="7"/>
      <c r="G93" s="7"/>
      <c r="H93" s="12">
        <v>1</v>
      </c>
      <c r="I93" s="7"/>
      <c r="J93" s="7"/>
      <c r="K93" s="12">
        <v>2</v>
      </c>
      <c r="L93" s="7"/>
      <c r="M93" s="7"/>
      <c r="N93" s="12">
        <v>3</v>
      </c>
      <c r="O93" s="7"/>
      <c r="P93" s="7"/>
      <c r="Q93" s="12">
        <v>4</v>
      </c>
      <c r="R93" s="7"/>
      <c r="S93" s="7"/>
      <c r="T93" s="7"/>
      <c r="U93" s="7" t="s">
        <v>298</v>
      </c>
      <c r="V93" s="7"/>
      <c r="W93" s="7"/>
      <c r="X93" s="7"/>
      <c r="Y93" s="7"/>
      <c r="Z93" s="6"/>
      <c r="AA93" s="21" t="s">
        <v>304</v>
      </c>
      <c r="AB93" s="7"/>
      <c r="AC93" s="7"/>
      <c r="AD93" s="7"/>
      <c r="AE93" s="49">
        <f>-0.058*$AD$2*$AC$7^2</f>
        <v>-3.5235000000000003</v>
      </c>
      <c r="AF93" s="49"/>
      <c r="AG93" s="49"/>
      <c r="AH93" s="6"/>
      <c r="AI93" s="21" t="s">
        <v>310</v>
      </c>
      <c r="AJ93" s="7"/>
      <c r="AK93" s="7"/>
      <c r="AL93" s="7"/>
      <c r="AM93" s="49">
        <f>-0.087*$AL$2*$AK$8</f>
        <v>-11.136</v>
      </c>
      <c r="AN93" s="49"/>
      <c r="AO93" s="50"/>
      <c r="AP93" s="6"/>
      <c r="AQ93" s="7"/>
      <c r="AR93" s="7"/>
      <c r="AS93" s="21" t="s">
        <v>316</v>
      </c>
      <c r="AT93" s="7"/>
      <c r="AU93" s="7"/>
      <c r="AV93" s="7"/>
      <c r="AW93" s="49">
        <f>-0.155*$AT$2*$AU$8</f>
        <v>-8.137500000000001</v>
      </c>
      <c r="AX93" s="49"/>
      <c r="AY93" s="50"/>
      <c r="AZ93" s="6"/>
      <c r="BA93" s="21" t="s">
        <v>321</v>
      </c>
      <c r="BB93" s="7"/>
      <c r="BC93" s="7"/>
      <c r="BD93" s="7"/>
      <c r="BE93" s="49">
        <f>-0.072*$BE$10*$BC$8</f>
        <v>-1.1111579999999999</v>
      </c>
      <c r="BF93" s="49"/>
      <c r="BG93" s="50"/>
      <c r="BH93" s="7"/>
      <c r="BI93" s="21" t="s">
        <v>321</v>
      </c>
      <c r="BJ93" s="7"/>
      <c r="BK93" s="7"/>
      <c r="BL93" s="7"/>
      <c r="BM93" s="49">
        <f>-0.072*$BM$10*$BK$8</f>
        <v>-2.067795</v>
      </c>
      <c r="BN93" s="49"/>
      <c r="BO93" s="50"/>
      <c r="BP93" s="7"/>
      <c r="BQ93" s="21" t="s">
        <v>327</v>
      </c>
      <c r="BR93" s="7"/>
      <c r="BS93" s="7"/>
      <c r="BT93" s="7"/>
      <c r="BU93" s="49">
        <f>-0.07*$BU$10*$BS$8</f>
        <v>-2.088968</v>
      </c>
      <c r="BV93" s="49"/>
      <c r="BW93" s="50"/>
    </row>
    <row r="94" spans="1:75" ht="12.75" customHeight="1">
      <c r="A94" s="58"/>
      <c r="B94" s="6"/>
      <c r="C94" s="7"/>
      <c r="D94" s="7"/>
      <c r="E94" s="7"/>
      <c r="F94" s="51" t="s">
        <v>0</v>
      </c>
      <c r="G94" s="51"/>
      <c r="H94" s="12"/>
      <c r="I94" s="51" t="s">
        <v>1</v>
      </c>
      <c r="J94" s="51"/>
      <c r="K94" s="12"/>
      <c r="L94" s="51" t="s">
        <v>2</v>
      </c>
      <c r="M94" s="51"/>
      <c r="N94" s="12"/>
      <c r="O94" s="51" t="s">
        <v>72</v>
      </c>
      <c r="P94" s="51"/>
      <c r="Q94" s="12"/>
      <c r="R94" s="51" t="s">
        <v>203</v>
      </c>
      <c r="S94" s="51"/>
      <c r="T94" s="7"/>
      <c r="U94" s="7" t="s">
        <v>299</v>
      </c>
      <c r="V94" s="7"/>
      <c r="W94" s="7"/>
      <c r="X94" s="7"/>
      <c r="Y94" s="7"/>
      <c r="Z94" s="6"/>
      <c r="AA94" s="7" t="s">
        <v>305</v>
      </c>
      <c r="AB94" s="7"/>
      <c r="AC94" s="7"/>
      <c r="AD94" s="7"/>
      <c r="AE94" s="49">
        <f>1.223*$AD$2*$AC$7</f>
        <v>16.5105</v>
      </c>
      <c r="AF94" s="49"/>
      <c r="AG94" s="49"/>
      <c r="AH94" s="6"/>
      <c r="AI94" s="21" t="s">
        <v>311</v>
      </c>
      <c r="AJ94" s="7"/>
      <c r="AK94" s="7"/>
      <c r="AL94" s="7"/>
      <c r="AM94" s="49">
        <f>1.335*$AL$2</f>
        <v>42.72</v>
      </c>
      <c r="AN94" s="49"/>
      <c r="AO94" s="50"/>
      <c r="AP94" s="6"/>
      <c r="AQ94" s="7"/>
      <c r="AR94" s="7"/>
      <c r="AS94" s="21" t="s">
        <v>317</v>
      </c>
      <c r="AT94" s="7"/>
      <c r="AU94" s="7"/>
      <c r="AV94" s="7"/>
      <c r="AW94" s="49">
        <f>2.595*$AT$2</f>
        <v>38.925000000000004</v>
      </c>
      <c r="AX94" s="49"/>
      <c r="AY94" s="50"/>
      <c r="AZ94" s="6"/>
      <c r="BA94" s="21" t="s">
        <v>322</v>
      </c>
      <c r="BB94" s="7"/>
      <c r="BC94" s="7"/>
      <c r="BD94" s="7"/>
      <c r="BE94" s="49">
        <f>1.279*$BE$10</f>
        <v>6.925784999999999</v>
      </c>
      <c r="BF94" s="49"/>
      <c r="BG94" s="50"/>
      <c r="BH94" s="7"/>
      <c r="BI94" s="21" t="s">
        <v>325</v>
      </c>
      <c r="BJ94" s="7"/>
      <c r="BK94" s="7"/>
      <c r="BL94" s="7"/>
      <c r="BM94" s="49">
        <f>1.278*$BM$10</f>
        <v>8.636085</v>
      </c>
      <c r="BN94" s="49"/>
      <c r="BO94" s="50"/>
      <c r="BP94" s="7"/>
      <c r="BQ94" s="21" t="s">
        <v>328</v>
      </c>
      <c r="BR94" s="7"/>
      <c r="BS94" s="7"/>
      <c r="BT94" s="7"/>
      <c r="BU94" s="49">
        <f>1.27*$BU$10</f>
        <v>10.383519999999999</v>
      </c>
      <c r="BV94" s="49"/>
      <c r="BW94" s="50"/>
    </row>
    <row r="95" spans="1:75" ht="12.75" customHeight="1">
      <c r="A95" s="58"/>
      <c r="B95" s="6"/>
      <c r="C95" s="7"/>
      <c r="D95" s="7"/>
      <c r="E95" s="7"/>
      <c r="F95" s="7"/>
      <c r="G95" s="24"/>
      <c r="H95" s="24" t="s">
        <v>20</v>
      </c>
      <c r="I95" s="7"/>
      <c r="J95" s="24"/>
      <c r="K95" s="24" t="s">
        <v>20</v>
      </c>
      <c r="L95" s="7"/>
      <c r="M95" s="24"/>
      <c r="N95" s="24" t="s">
        <v>20</v>
      </c>
      <c r="O95" s="7"/>
      <c r="P95" s="25"/>
      <c r="Q95" s="12" t="str">
        <f>+N95</f>
        <v>L</v>
      </c>
      <c r="R95" s="7"/>
      <c r="S95" s="7"/>
      <c r="T95" s="7"/>
      <c r="U95" s="7" t="s">
        <v>300</v>
      </c>
      <c r="V95" s="7"/>
      <c r="W95" s="7"/>
      <c r="X95" s="7"/>
      <c r="Y95" s="7"/>
      <c r="Z95" s="6"/>
      <c r="AA95" s="21" t="s">
        <v>306</v>
      </c>
      <c r="AB95" s="7"/>
      <c r="AC95" s="7"/>
      <c r="AD95" s="7"/>
      <c r="AE95" s="49">
        <f>-0.621*$AD$2*$AC$7</f>
        <v>-8.3835</v>
      </c>
      <c r="AF95" s="49"/>
      <c r="AG95" s="49"/>
      <c r="AH95" s="6"/>
      <c r="AI95" s="21" t="s">
        <v>312</v>
      </c>
      <c r="AJ95" s="7"/>
      <c r="AK95" s="7"/>
      <c r="AL95" s="7"/>
      <c r="AM95" s="49">
        <f>-0.681*$AL$2</f>
        <v>-21.792</v>
      </c>
      <c r="AN95" s="49"/>
      <c r="AO95" s="50"/>
      <c r="AP95" s="6"/>
      <c r="AQ95" s="7"/>
      <c r="AR95" s="7"/>
      <c r="AS95" s="21" t="s">
        <v>318</v>
      </c>
      <c r="AT95" s="7"/>
      <c r="AU95" s="7"/>
      <c r="AV95" s="7"/>
      <c r="AW95" s="49">
        <f>-1.321*$AT$2</f>
        <v>-19.814999999999998</v>
      </c>
      <c r="AX95" s="49"/>
      <c r="AY95" s="50"/>
      <c r="AZ95" s="6"/>
      <c r="BA95" s="21" t="s">
        <v>42</v>
      </c>
      <c r="BB95" s="7"/>
      <c r="BC95" s="7"/>
      <c r="BD95" s="7"/>
      <c r="BE95" s="49">
        <f>-0.651*$BE$10</f>
        <v>-3.5251650000000003</v>
      </c>
      <c r="BF95" s="49"/>
      <c r="BG95" s="50"/>
      <c r="BH95" s="7"/>
      <c r="BI95" s="21" t="s">
        <v>326</v>
      </c>
      <c r="BJ95" s="7"/>
      <c r="BK95" s="7"/>
      <c r="BL95" s="7"/>
      <c r="BM95" s="49">
        <f>-0.65*$BM$10</f>
        <v>-4.3923749999999995</v>
      </c>
      <c r="BN95" s="49"/>
      <c r="BO95" s="50"/>
      <c r="BP95" s="7"/>
      <c r="BQ95" s="21" t="s">
        <v>171</v>
      </c>
      <c r="BR95" s="7"/>
      <c r="BS95" s="7"/>
      <c r="BT95" s="7"/>
      <c r="BU95" s="49">
        <f>-0.646*$BU$10</f>
        <v>-5.281695999999999</v>
      </c>
      <c r="BV95" s="49"/>
      <c r="BW95" s="50"/>
    </row>
    <row r="96" spans="1:75" ht="12.75" customHeight="1">
      <c r="A96" s="58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 t="s">
        <v>301</v>
      </c>
      <c r="V96" s="7"/>
      <c r="W96" s="7"/>
      <c r="X96" s="7"/>
      <c r="Y96" s="7"/>
      <c r="Z96" s="6"/>
      <c r="AA96" s="7" t="s">
        <v>307</v>
      </c>
      <c r="AB96" s="7"/>
      <c r="AC96" s="7"/>
      <c r="AD96" s="7"/>
      <c r="AE96" s="49">
        <f>0.603*$AD$2*$AC$7</f>
        <v>8.1405</v>
      </c>
      <c r="AF96" s="49"/>
      <c r="AG96" s="49"/>
      <c r="AH96" s="6"/>
      <c r="AI96" s="21" t="s">
        <v>313</v>
      </c>
      <c r="AJ96" s="7"/>
      <c r="AK96" s="7"/>
      <c r="AL96" s="7"/>
      <c r="AM96" s="49">
        <f>0.654*$AL$2</f>
        <v>20.928</v>
      </c>
      <c r="AN96" s="49"/>
      <c r="AO96" s="50"/>
      <c r="AP96" s="6"/>
      <c r="AQ96" s="7"/>
      <c r="AR96" s="7"/>
      <c r="AS96" s="21" t="s">
        <v>319</v>
      </c>
      <c r="AT96" s="7"/>
      <c r="AU96" s="7"/>
      <c r="AV96" s="7"/>
      <c r="AW96" s="49">
        <f>1.274*$AT$2</f>
        <v>19.11</v>
      </c>
      <c r="AX96" s="49"/>
      <c r="AY96" s="50"/>
      <c r="AZ96" s="6"/>
      <c r="BA96" s="21" t="s">
        <v>323</v>
      </c>
      <c r="BB96" s="7"/>
      <c r="BC96" s="7"/>
      <c r="BD96" s="7"/>
      <c r="BE96" s="49">
        <f>0.628*$BE$10</f>
        <v>3.40062</v>
      </c>
      <c r="BF96" s="49"/>
      <c r="BG96" s="50"/>
      <c r="BH96" s="7"/>
      <c r="BI96" s="21" t="s">
        <v>323</v>
      </c>
      <c r="BJ96" s="7"/>
      <c r="BK96" s="7"/>
      <c r="BL96" s="7"/>
      <c r="BM96" s="49">
        <f>0.628*$BM$10</f>
        <v>4.243709999999999</v>
      </c>
      <c r="BN96" s="49"/>
      <c r="BO96" s="50"/>
      <c r="BP96" s="7"/>
      <c r="BQ96" s="21" t="s">
        <v>354</v>
      </c>
      <c r="BR96" s="7"/>
      <c r="BS96" s="7"/>
      <c r="BT96" s="7"/>
      <c r="BU96" s="49">
        <f>0.624*$BU$10</f>
        <v>5.101823999999999</v>
      </c>
      <c r="BV96" s="49"/>
      <c r="BW96" s="50"/>
    </row>
    <row r="97" spans="1:75" ht="12.75" customHeight="1">
      <c r="A97" s="58"/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6"/>
      <c r="AA97" s="7"/>
      <c r="AB97" s="7"/>
      <c r="AC97" s="7"/>
      <c r="AD97" s="7"/>
      <c r="AE97" s="7"/>
      <c r="AF97" s="7"/>
      <c r="AG97" s="7"/>
      <c r="AH97" s="6"/>
      <c r="AI97" s="7"/>
      <c r="AJ97" s="7"/>
      <c r="AK97" s="7"/>
      <c r="AL97" s="7"/>
      <c r="AM97" s="7"/>
      <c r="AN97" s="7"/>
      <c r="AO97" s="8"/>
      <c r="AP97" s="6"/>
      <c r="AQ97" s="7"/>
      <c r="AR97" s="7"/>
      <c r="AS97" s="7"/>
      <c r="AT97" s="7"/>
      <c r="AU97" s="7"/>
      <c r="AV97" s="7"/>
      <c r="AW97" s="7"/>
      <c r="AX97" s="7"/>
      <c r="AY97" s="8"/>
      <c r="AZ97" s="6"/>
      <c r="BA97" s="7"/>
      <c r="BB97" s="7"/>
      <c r="BC97" s="7"/>
      <c r="BD97" s="7"/>
      <c r="BE97" s="7"/>
      <c r="BF97" s="7"/>
      <c r="BG97" s="8"/>
      <c r="BH97" s="7"/>
      <c r="BI97" s="7"/>
      <c r="BJ97" s="7"/>
      <c r="BK97" s="7"/>
      <c r="BL97" s="7"/>
      <c r="BM97" s="7"/>
      <c r="BN97" s="7"/>
      <c r="BO97" s="8"/>
      <c r="BP97" s="7"/>
      <c r="BQ97" s="7"/>
      <c r="BR97" s="7"/>
      <c r="BS97" s="7"/>
      <c r="BT97" s="7"/>
      <c r="BU97" s="7"/>
      <c r="BV97" s="7"/>
      <c r="BW97" s="8"/>
    </row>
    <row r="98" spans="1:75" ht="12.75" customHeight="1">
      <c r="A98" s="58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3"/>
      <c r="AA98" s="4"/>
      <c r="AB98" s="4"/>
      <c r="AC98" s="4"/>
      <c r="AD98" s="4"/>
      <c r="AE98" s="4"/>
      <c r="AF98" s="4"/>
      <c r="AG98" s="4"/>
      <c r="AH98" s="3"/>
      <c r="AI98" s="4"/>
      <c r="AJ98" s="4"/>
      <c r="AK98" s="4"/>
      <c r="AL98" s="4"/>
      <c r="AM98" s="4"/>
      <c r="AN98" s="4"/>
      <c r="AO98" s="5"/>
      <c r="AP98" s="3"/>
      <c r="AQ98" s="4"/>
      <c r="AR98" s="4"/>
      <c r="AS98" s="4"/>
      <c r="AT98" s="4"/>
      <c r="AU98" s="4"/>
      <c r="AV98" s="4"/>
      <c r="AW98" s="4"/>
      <c r="AX98" s="4"/>
      <c r="AY98" s="5"/>
      <c r="AZ98" s="3"/>
      <c r="BA98" s="4"/>
      <c r="BB98" s="4"/>
      <c r="BC98" s="4"/>
      <c r="BD98" s="4"/>
      <c r="BE98" s="4"/>
      <c r="BF98" s="4"/>
      <c r="BG98" s="5"/>
      <c r="BH98" s="4"/>
      <c r="BI98" s="4"/>
      <c r="BJ98" s="4"/>
      <c r="BK98" s="4"/>
      <c r="BL98" s="4"/>
      <c r="BM98" s="4"/>
      <c r="BN98" s="4"/>
      <c r="BO98" s="5"/>
      <c r="BP98" s="4"/>
      <c r="BQ98" s="4"/>
      <c r="BR98" s="4"/>
      <c r="BS98" s="4"/>
      <c r="BT98" s="4"/>
      <c r="BU98" s="4"/>
      <c r="BV98" s="4"/>
      <c r="BW98" s="5"/>
    </row>
    <row r="99" spans="1:75" ht="13.5" customHeight="1" thickBot="1">
      <c r="A99" s="58"/>
      <c r="B99" s="6"/>
      <c r="C99" s="7"/>
      <c r="D99" s="7"/>
      <c r="E99" s="7"/>
      <c r="F99" s="7"/>
      <c r="G99" s="34"/>
      <c r="H99" s="34"/>
      <c r="I99" s="34"/>
      <c r="J99" s="34"/>
      <c r="K99" s="34"/>
      <c r="L99" s="34"/>
      <c r="M99" s="23"/>
      <c r="N99" s="23"/>
      <c r="O99" s="23"/>
      <c r="P99" s="34"/>
      <c r="Q99" s="34"/>
      <c r="R99" s="34"/>
      <c r="S99" s="7"/>
      <c r="T99" s="7"/>
      <c r="U99" s="7" t="s">
        <v>181</v>
      </c>
      <c r="V99" s="7"/>
      <c r="W99" s="7"/>
      <c r="X99" s="7"/>
      <c r="Y99" s="7"/>
      <c r="Z99" s="6"/>
      <c r="AA99" s="7" t="s">
        <v>329</v>
      </c>
      <c r="AB99" s="7"/>
      <c r="AC99" s="7"/>
      <c r="AD99" s="7"/>
      <c r="AE99" s="49">
        <f>0.013*$AD$2*$AC$7^2</f>
        <v>0.78975</v>
      </c>
      <c r="AF99" s="49"/>
      <c r="AG99" s="49"/>
      <c r="AH99" s="6"/>
      <c r="AI99" s="21" t="s">
        <v>334</v>
      </c>
      <c r="AJ99" s="7"/>
      <c r="AK99" s="7"/>
      <c r="AL99" s="7"/>
      <c r="AM99" s="49">
        <f>0.02*$AL$2*$AK$8</f>
        <v>2.56</v>
      </c>
      <c r="AN99" s="49"/>
      <c r="AO99" s="50"/>
      <c r="AP99" s="6"/>
      <c r="AQ99" s="7"/>
      <c r="AR99" s="7"/>
      <c r="AS99" s="21" t="s">
        <v>339</v>
      </c>
      <c r="AT99" s="7"/>
      <c r="AU99" s="7"/>
      <c r="AV99" s="7"/>
      <c r="AW99" s="49">
        <f>0.036*$AT$2*$AU$8</f>
        <v>1.8899999999999997</v>
      </c>
      <c r="AX99" s="49"/>
      <c r="AY99" s="50"/>
      <c r="AZ99" s="6"/>
      <c r="BA99" s="21" t="s">
        <v>344</v>
      </c>
      <c r="BB99" s="7"/>
      <c r="BC99" s="7"/>
      <c r="BD99" s="7"/>
      <c r="BE99" s="49">
        <f>0.017*$BE$10*$BC$8</f>
        <v>0.26235675</v>
      </c>
      <c r="BF99" s="49"/>
      <c r="BG99" s="50"/>
      <c r="BH99" s="7"/>
      <c r="BI99" s="21" t="s">
        <v>344</v>
      </c>
      <c r="BJ99" s="7"/>
      <c r="BK99" s="7"/>
      <c r="BL99" s="7"/>
      <c r="BM99" s="49">
        <f>0.017*$BM$10*$BK$8</f>
        <v>0.48822937499999997</v>
      </c>
      <c r="BN99" s="49"/>
      <c r="BO99" s="50"/>
      <c r="BP99" s="7"/>
      <c r="BQ99" s="21" t="s">
        <v>350</v>
      </c>
      <c r="BR99" s="7"/>
      <c r="BS99" s="7"/>
      <c r="BT99" s="7"/>
      <c r="BU99" s="49">
        <f>0.016*$BU$10*$BS$8</f>
        <v>0.47747839999999997</v>
      </c>
      <c r="BV99" s="49"/>
      <c r="BW99" s="50"/>
    </row>
    <row r="100" spans="1:75" ht="12.75" customHeight="1">
      <c r="A100" s="58"/>
      <c r="B100" s="6"/>
      <c r="C100" s="7"/>
      <c r="D100" s="7"/>
      <c r="E100" s="7"/>
      <c r="F100" s="7"/>
      <c r="G100" s="7"/>
      <c r="H100" s="12">
        <v>1</v>
      </c>
      <c r="I100" s="7"/>
      <c r="J100" s="7"/>
      <c r="K100" s="12">
        <v>2</v>
      </c>
      <c r="L100" s="7"/>
      <c r="M100" s="7"/>
      <c r="N100" s="12">
        <v>3</v>
      </c>
      <c r="O100" s="7"/>
      <c r="P100" s="7"/>
      <c r="Q100" s="12">
        <v>4</v>
      </c>
      <c r="R100" s="7"/>
      <c r="S100" s="7"/>
      <c r="T100" s="7"/>
      <c r="U100" s="7" t="s">
        <v>151</v>
      </c>
      <c r="V100" s="7"/>
      <c r="W100" s="7"/>
      <c r="X100" s="7"/>
      <c r="Y100" s="7"/>
      <c r="Z100" s="6"/>
      <c r="AA100" s="21" t="s">
        <v>264</v>
      </c>
      <c r="AB100" s="7"/>
      <c r="AC100" s="7"/>
      <c r="AD100" s="7"/>
      <c r="AE100" s="49">
        <f>-0.054*$AD$2*$AC$7^2</f>
        <v>-3.2805</v>
      </c>
      <c r="AF100" s="49"/>
      <c r="AG100" s="49"/>
      <c r="AH100" s="6"/>
      <c r="AI100" s="21" t="s">
        <v>269</v>
      </c>
      <c r="AJ100" s="7"/>
      <c r="AK100" s="7"/>
      <c r="AL100" s="7"/>
      <c r="AM100" s="49">
        <f>-0.08*$AL$2*$AK$8</f>
        <v>-10.24</v>
      </c>
      <c r="AN100" s="49"/>
      <c r="AO100" s="50"/>
      <c r="AP100" s="6"/>
      <c r="AQ100" s="7"/>
      <c r="AR100" s="7"/>
      <c r="AS100" s="21" t="s">
        <v>274</v>
      </c>
      <c r="AT100" s="7"/>
      <c r="AU100" s="7"/>
      <c r="AV100" s="7"/>
      <c r="AW100" s="49">
        <f>-0.143*$AT$2*$AU$8</f>
        <v>-7.5075</v>
      </c>
      <c r="AX100" s="49"/>
      <c r="AY100" s="50"/>
      <c r="AZ100" s="6"/>
      <c r="BA100" s="21" t="s">
        <v>345</v>
      </c>
      <c r="BB100" s="7"/>
      <c r="BC100" s="7"/>
      <c r="BD100" s="7"/>
      <c r="BE100" s="49">
        <f>-0.066*$BE$10*$BC$8</f>
        <v>-1.0185615000000001</v>
      </c>
      <c r="BF100" s="49"/>
      <c r="BG100" s="50"/>
      <c r="BH100" s="7"/>
      <c r="BI100" s="21" t="s">
        <v>345</v>
      </c>
      <c r="BJ100" s="7"/>
      <c r="BK100" s="7"/>
      <c r="BL100" s="7"/>
      <c r="BM100" s="49">
        <f>-0.066*$BM$10*$BK$8</f>
        <v>-1.8954787499999999</v>
      </c>
      <c r="BN100" s="49"/>
      <c r="BO100" s="50"/>
      <c r="BP100" s="7"/>
      <c r="BQ100" s="21" t="s">
        <v>351</v>
      </c>
      <c r="BR100" s="7"/>
      <c r="BS100" s="7"/>
      <c r="BT100" s="7"/>
      <c r="BU100" s="49">
        <f>-0.064*$BU$10*$BS$8</f>
        <v>-1.9099135999999999</v>
      </c>
      <c r="BV100" s="49"/>
      <c r="BW100" s="50"/>
    </row>
    <row r="101" spans="1:75" ht="12.75" customHeight="1">
      <c r="A101" s="58"/>
      <c r="B101" s="6"/>
      <c r="C101" s="7"/>
      <c r="D101" s="7"/>
      <c r="E101" s="7"/>
      <c r="F101" s="51" t="s">
        <v>0</v>
      </c>
      <c r="G101" s="51"/>
      <c r="H101" s="12"/>
      <c r="I101" s="51" t="s">
        <v>1</v>
      </c>
      <c r="J101" s="51"/>
      <c r="K101" s="12"/>
      <c r="L101" s="51" t="s">
        <v>2</v>
      </c>
      <c r="M101" s="51"/>
      <c r="N101" s="12"/>
      <c r="O101" s="51" t="s">
        <v>72</v>
      </c>
      <c r="P101" s="51"/>
      <c r="Q101" s="12"/>
      <c r="R101" s="51" t="s">
        <v>203</v>
      </c>
      <c r="S101" s="51"/>
      <c r="T101" s="7"/>
      <c r="U101" s="7" t="s">
        <v>298</v>
      </c>
      <c r="V101" s="7"/>
      <c r="W101" s="7"/>
      <c r="X101" s="7"/>
      <c r="Y101" s="7"/>
      <c r="Z101" s="6"/>
      <c r="AA101" s="21" t="s">
        <v>330</v>
      </c>
      <c r="AB101" s="7"/>
      <c r="AC101" s="7"/>
      <c r="AD101" s="7"/>
      <c r="AE101" s="49">
        <f>-0.049*$AD$2*$AC$7^2</f>
        <v>-2.9767500000000005</v>
      </c>
      <c r="AF101" s="49"/>
      <c r="AG101" s="49"/>
      <c r="AH101" s="6"/>
      <c r="AI101" s="21" t="s">
        <v>335</v>
      </c>
      <c r="AJ101" s="7"/>
      <c r="AK101" s="7"/>
      <c r="AL101" s="7"/>
      <c r="AM101" s="49">
        <f>-0.074*$AL$2*$AK$8</f>
        <v>-9.472</v>
      </c>
      <c r="AN101" s="49"/>
      <c r="AO101" s="50"/>
      <c r="AP101" s="6"/>
      <c r="AQ101" s="7"/>
      <c r="AR101" s="7"/>
      <c r="AS101" s="21" t="s">
        <v>340</v>
      </c>
      <c r="AT101" s="7"/>
      <c r="AU101" s="7"/>
      <c r="AV101" s="7"/>
      <c r="AW101" s="49">
        <f>-0.131*$AT$2*$AU$8</f>
        <v>-6.8775</v>
      </c>
      <c r="AX101" s="49"/>
      <c r="AY101" s="50"/>
      <c r="AZ101" s="6"/>
      <c r="BA101" s="21" t="s">
        <v>130</v>
      </c>
      <c r="BB101" s="7"/>
      <c r="BC101" s="7"/>
      <c r="BD101" s="7"/>
      <c r="BE101" s="49">
        <f>-0.062*$BE$10*$BC$8</f>
        <v>-0.9568304999999999</v>
      </c>
      <c r="BF101" s="49"/>
      <c r="BG101" s="50"/>
      <c r="BH101" s="7"/>
      <c r="BI101" s="21" t="s">
        <v>133</v>
      </c>
      <c r="BJ101" s="7"/>
      <c r="BK101" s="7"/>
      <c r="BL101" s="7"/>
      <c r="BM101" s="49">
        <f>-0.061*$BM$10*$BK$8</f>
        <v>-1.7518818749999998</v>
      </c>
      <c r="BN101" s="49"/>
      <c r="BO101" s="50"/>
      <c r="BP101" s="7"/>
      <c r="BQ101" s="21" t="s">
        <v>352</v>
      </c>
      <c r="BR101" s="7"/>
      <c r="BS101" s="7"/>
      <c r="BT101" s="7"/>
      <c r="BU101" s="49">
        <f>-0.06*$BU$10*$BS$8</f>
        <v>-1.7905439999999995</v>
      </c>
      <c r="BV101" s="49"/>
      <c r="BW101" s="50"/>
    </row>
    <row r="102" spans="1:75" ht="12.75" customHeight="1">
      <c r="A102" s="58"/>
      <c r="B102" s="6"/>
      <c r="C102" s="7"/>
      <c r="D102" s="7"/>
      <c r="E102" s="7"/>
      <c r="F102" s="7"/>
      <c r="G102" s="24"/>
      <c r="H102" s="24" t="s">
        <v>20</v>
      </c>
      <c r="I102" s="7"/>
      <c r="J102" s="24"/>
      <c r="K102" s="24" t="s">
        <v>20</v>
      </c>
      <c r="L102" s="7"/>
      <c r="M102" s="24"/>
      <c r="N102" s="24" t="s">
        <v>20</v>
      </c>
      <c r="O102" s="7"/>
      <c r="P102" s="25"/>
      <c r="Q102" s="12" t="str">
        <f>+N102</f>
        <v>L</v>
      </c>
      <c r="R102" s="7"/>
      <c r="S102" s="7"/>
      <c r="T102" s="7"/>
      <c r="U102" s="7" t="s">
        <v>5</v>
      </c>
      <c r="V102" s="7"/>
      <c r="W102" s="7"/>
      <c r="X102" s="7"/>
      <c r="Y102" s="7"/>
      <c r="Z102" s="6"/>
      <c r="AA102" s="21" t="s">
        <v>331</v>
      </c>
      <c r="AB102" s="7"/>
      <c r="AC102" s="7"/>
      <c r="AD102" s="7"/>
      <c r="AE102" s="49">
        <f>-0.08*$AD$2*$AC$7</f>
        <v>-1.08</v>
      </c>
      <c r="AF102" s="49"/>
      <c r="AG102" s="49"/>
      <c r="AH102" s="6"/>
      <c r="AI102" s="21" t="s">
        <v>336</v>
      </c>
      <c r="AJ102" s="7"/>
      <c r="AK102" s="7"/>
      <c r="AL102" s="7"/>
      <c r="AM102" s="49">
        <f>-0.121*$AL$2</f>
        <v>-3.872</v>
      </c>
      <c r="AN102" s="49"/>
      <c r="AO102" s="50"/>
      <c r="AP102" s="6"/>
      <c r="AQ102" s="7"/>
      <c r="AR102" s="7"/>
      <c r="AS102" s="21" t="s">
        <v>341</v>
      </c>
      <c r="AT102" s="7"/>
      <c r="AU102" s="7"/>
      <c r="AV102" s="7"/>
      <c r="AW102" s="49">
        <f>-0.214*$AT$2</f>
        <v>-3.21</v>
      </c>
      <c r="AX102" s="49"/>
      <c r="AY102" s="50"/>
      <c r="AZ102" s="6"/>
      <c r="BA102" s="21" t="s">
        <v>346</v>
      </c>
      <c r="BB102" s="7"/>
      <c r="BC102" s="7"/>
      <c r="BD102" s="7"/>
      <c r="BE102" s="49">
        <f>-0.1*$BE$10</f>
        <v>-0.5415</v>
      </c>
      <c r="BF102" s="49"/>
      <c r="BG102" s="50"/>
      <c r="BH102" s="7"/>
      <c r="BI102" s="21" t="s">
        <v>346</v>
      </c>
      <c r="BJ102" s="7"/>
      <c r="BK102" s="7"/>
      <c r="BL102" s="7"/>
      <c r="BM102" s="49">
        <f>-0.1*$BM$10</f>
        <v>-0.67575</v>
      </c>
      <c r="BN102" s="49"/>
      <c r="BO102" s="50"/>
      <c r="BP102" s="7"/>
      <c r="BQ102" s="21" t="s">
        <v>353</v>
      </c>
      <c r="BR102" s="7"/>
      <c r="BS102" s="7"/>
      <c r="BT102" s="7"/>
      <c r="BU102" s="49">
        <f>-0.096*$BU$10</f>
        <v>-0.7848959999999998</v>
      </c>
      <c r="BV102" s="49"/>
      <c r="BW102" s="50"/>
    </row>
    <row r="103" spans="1:75" ht="12.75" customHeight="1">
      <c r="A103" s="58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 t="s">
        <v>6</v>
      </c>
      <c r="V103" s="7"/>
      <c r="W103" s="7"/>
      <c r="X103" s="7"/>
      <c r="Y103" s="7"/>
      <c r="Z103" s="6"/>
      <c r="AA103" s="7" t="s">
        <v>332</v>
      </c>
      <c r="AB103" s="7"/>
      <c r="AC103" s="7"/>
      <c r="AD103" s="7"/>
      <c r="AE103" s="49">
        <f>0.013*$AD$2*$AC$7</f>
        <v>0.1755</v>
      </c>
      <c r="AF103" s="49"/>
      <c r="AG103" s="49"/>
      <c r="AH103" s="6"/>
      <c r="AI103" s="21" t="s">
        <v>337</v>
      </c>
      <c r="AJ103" s="7"/>
      <c r="AK103" s="7"/>
      <c r="AL103" s="7"/>
      <c r="AM103" s="49">
        <f>0.02*$AL$2</f>
        <v>0.64</v>
      </c>
      <c r="AN103" s="49"/>
      <c r="AO103" s="50"/>
      <c r="AP103" s="6"/>
      <c r="AQ103" s="7"/>
      <c r="AR103" s="7"/>
      <c r="AS103" s="21" t="s">
        <v>342</v>
      </c>
      <c r="AT103" s="7"/>
      <c r="AU103" s="7"/>
      <c r="AV103" s="7"/>
      <c r="AW103" s="49">
        <f>0.036*$AT$2</f>
        <v>0.5399999999999999</v>
      </c>
      <c r="AX103" s="49"/>
      <c r="AY103" s="50"/>
      <c r="AZ103" s="6"/>
      <c r="BA103" s="21" t="s">
        <v>347</v>
      </c>
      <c r="BB103" s="7"/>
      <c r="BC103" s="7"/>
      <c r="BD103" s="7"/>
      <c r="BE103" s="49">
        <f>0.017*$BE$10</f>
        <v>0.09205500000000001</v>
      </c>
      <c r="BF103" s="49"/>
      <c r="BG103" s="50"/>
      <c r="BH103" s="7"/>
      <c r="BI103" s="21" t="s">
        <v>347</v>
      </c>
      <c r="BJ103" s="7"/>
      <c r="BK103" s="7"/>
      <c r="BL103" s="7"/>
      <c r="BM103" s="49">
        <f>0.017*$BM$10</f>
        <v>0.1148775</v>
      </c>
      <c r="BN103" s="49"/>
      <c r="BO103" s="50"/>
      <c r="BP103" s="7"/>
      <c r="BQ103" s="21" t="s">
        <v>355</v>
      </c>
      <c r="BR103" s="7"/>
      <c r="BS103" s="7"/>
      <c r="BT103" s="7"/>
      <c r="BU103" s="49">
        <f>0.016*$BU$10</f>
        <v>0.130816</v>
      </c>
      <c r="BV103" s="49"/>
      <c r="BW103" s="50"/>
    </row>
    <row r="104" spans="1:75" ht="12.75" customHeight="1">
      <c r="A104" s="58"/>
      <c r="B104" s="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152</v>
      </c>
      <c r="V104" s="7"/>
      <c r="W104" s="7"/>
      <c r="X104" s="7"/>
      <c r="Y104" s="7"/>
      <c r="Z104" s="6"/>
      <c r="AA104" s="21" t="s">
        <v>333</v>
      </c>
      <c r="AB104" s="7"/>
      <c r="AC104" s="7"/>
      <c r="AD104" s="7"/>
      <c r="AE104" s="49">
        <f>-0.067*$AD$2*$AC$7</f>
        <v>-0.9045000000000001</v>
      </c>
      <c r="AF104" s="49"/>
      <c r="AG104" s="49"/>
      <c r="AH104" s="6"/>
      <c r="AI104" s="21" t="s">
        <v>338</v>
      </c>
      <c r="AJ104" s="7"/>
      <c r="AK104" s="7"/>
      <c r="AL104" s="7"/>
      <c r="AM104" s="49">
        <f>-0.1*$AL$2</f>
        <v>-3.2</v>
      </c>
      <c r="AN104" s="49"/>
      <c r="AO104" s="50"/>
      <c r="AP104" s="6"/>
      <c r="AQ104" s="7"/>
      <c r="AR104" s="7"/>
      <c r="AS104" s="21" t="s">
        <v>343</v>
      </c>
      <c r="AT104" s="7"/>
      <c r="AU104" s="7"/>
      <c r="AV104" s="7"/>
      <c r="AW104" s="49">
        <f>-0.178*$AT$2</f>
        <v>-2.67</v>
      </c>
      <c r="AX104" s="49"/>
      <c r="AY104" s="50"/>
      <c r="AZ104" s="6"/>
      <c r="BA104" s="21" t="s">
        <v>348</v>
      </c>
      <c r="BB104" s="7"/>
      <c r="BC104" s="7"/>
      <c r="BD104" s="7"/>
      <c r="BE104" s="49">
        <f>-0.083*$BE$10</f>
        <v>-0.44944500000000004</v>
      </c>
      <c r="BF104" s="49"/>
      <c r="BG104" s="50"/>
      <c r="BH104" s="7"/>
      <c r="BI104" s="21" t="s">
        <v>349</v>
      </c>
      <c r="BJ104" s="7"/>
      <c r="BK104" s="7"/>
      <c r="BL104" s="7"/>
      <c r="BM104" s="49">
        <f>0.083*$BM$10</f>
        <v>0.5608725</v>
      </c>
      <c r="BN104" s="49"/>
      <c r="BO104" s="50"/>
      <c r="BP104" s="7"/>
      <c r="BQ104" s="21" t="s">
        <v>356</v>
      </c>
      <c r="BR104" s="7"/>
      <c r="BS104" s="7"/>
      <c r="BT104" s="7"/>
      <c r="BU104" s="49">
        <f>-0.08*$BU$10</f>
        <v>-0.6540799999999999</v>
      </c>
      <c r="BV104" s="49"/>
      <c r="BW104" s="50"/>
    </row>
    <row r="105" spans="1:75" ht="12.75" customHeight="1">
      <c r="A105" s="58"/>
      <c r="B105" s="26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6"/>
      <c r="AA105" s="27"/>
      <c r="AB105" s="27"/>
      <c r="AC105" s="27"/>
      <c r="AD105" s="27"/>
      <c r="AE105" s="27"/>
      <c r="AF105" s="27"/>
      <c r="AG105" s="27"/>
      <c r="AH105" s="26"/>
      <c r="AI105" s="27"/>
      <c r="AJ105" s="27"/>
      <c r="AK105" s="27"/>
      <c r="AL105" s="27"/>
      <c r="AM105" s="27"/>
      <c r="AN105" s="27"/>
      <c r="AO105" s="44"/>
      <c r="AP105" s="26"/>
      <c r="AQ105" s="27"/>
      <c r="AR105" s="27"/>
      <c r="AS105" s="27"/>
      <c r="AT105" s="27"/>
      <c r="AU105" s="27"/>
      <c r="AV105" s="27"/>
      <c r="AW105" s="27"/>
      <c r="AX105" s="27"/>
      <c r="AY105" s="44"/>
      <c r="AZ105" s="26"/>
      <c r="BA105" s="27"/>
      <c r="BB105" s="27"/>
      <c r="BC105" s="27"/>
      <c r="BD105" s="27"/>
      <c r="BE105" s="27"/>
      <c r="BF105" s="27"/>
      <c r="BG105" s="44"/>
      <c r="BH105" s="27"/>
      <c r="BI105" s="27"/>
      <c r="BJ105" s="27"/>
      <c r="BK105" s="27"/>
      <c r="BL105" s="27"/>
      <c r="BM105" s="27"/>
      <c r="BN105" s="27"/>
      <c r="BO105" s="44"/>
      <c r="BP105" s="27"/>
      <c r="BQ105" s="27"/>
      <c r="BR105" s="27"/>
      <c r="BS105" s="27"/>
      <c r="BT105" s="27"/>
      <c r="BU105" s="27"/>
      <c r="BV105" s="27"/>
      <c r="BW105" s="44"/>
    </row>
    <row r="106" spans="1:75" ht="12.75" customHeight="1">
      <c r="A106" s="58"/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6"/>
      <c r="AA106" s="7"/>
      <c r="AB106" s="7"/>
      <c r="AC106" s="7"/>
      <c r="AD106" s="7"/>
      <c r="AE106" s="7"/>
      <c r="AF106" s="7"/>
      <c r="AG106" s="7"/>
      <c r="AH106" s="6"/>
      <c r="AI106" s="7"/>
      <c r="AJ106" s="7"/>
      <c r="AK106" s="7"/>
      <c r="AL106" s="7"/>
      <c r="AM106" s="7"/>
      <c r="AN106" s="7"/>
      <c r="AO106" s="8"/>
      <c r="AP106" s="6"/>
      <c r="AQ106" s="7"/>
      <c r="AR106" s="7"/>
      <c r="AS106" s="7"/>
      <c r="AT106" s="7"/>
      <c r="AU106" s="7"/>
      <c r="AV106" s="7"/>
      <c r="AW106" s="7"/>
      <c r="AX106" s="7"/>
      <c r="AY106" s="8"/>
      <c r="AZ106" s="6"/>
      <c r="BA106" s="7"/>
      <c r="BB106" s="7"/>
      <c r="BC106" s="7"/>
      <c r="BD106" s="7"/>
      <c r="BE106" s="7"/>
      <c r="BF106" s="7"/>
      <c r="BG106" s="8"/>
      <c r="BH106" s="7"/>
      <c r="BI106" s="7"/>
      <c r="BJ106" s="7"/>
      <c r="BK106" s="7"/>
      <c r="BL106" s="7"/>
      <c r="BM106" s="7"/>
      <c r="BN106" s="7"/>
      <c r="BO106" s="8"/>
      <c r="BP106" s="7"/>
      <c r="BQ106" s="7"/>
      <c r="BR106" s="7"/>
      <c r="BS106" s="7"/>
      <c r="BT106" s="7"/>
      <c r="BU106" s="7"/>
      <c r="BV106" s="7"/>
      <c r="BW106" s="8"/>
    </row>
    <row r="107" spans="1:75" ht="13.5" customHeight="1" thickBot="1">
      <c r="A107" s="58"/>
      <c r="B107" s="6"/>
      <c r="C107" s="7"/>
      <c r="D107" s="7"/>
      <c r="E107" s="7"/>
      <c r="F107" s="7"/>
      <c r="G107" s="34"/>
      <c r="H107" s="34"/>
      <c r="I107" s="34"/>
      <c r="J107" s="23"/>
      <c r="K107" s="23"/>
      <c r="L107" s="23"/>
      <c r="M107" s="23"/>
      <c r="N107" s="23"/>
      <c r="O107" s="23"/>
      <c r="P107" s="34"/>
      <c r="Q107" s="34"/>
      <c r="R107" s="34"/>
      <c r="S107" s="7"/>
      <c r="T107" s="7"/>
      <c r="U107" s="7" t="s">
        <v>44</v>
      </c>
      <c r="V107" s="7"/>
      <c r="W107" s="7"/>
      <c r="X107" s="7"/>
      <c r="Y107" s="7"/>
      <c r="Z107" s="6"/>
      <c r="AA107" s="21" t="s">
        <v>265</v>
      </c>
      <c r="AB107" s="7"/>
      <c r="AC107" s="7"/>
      <c r="AD107" s="7"/>
      <c r="AE107" s="49">
        <f>-0.036*$AD$2*$AC$7^2</f>
        <v>-2.187</v>
      </c>
      <c r="AF107" s="49"/>
      <c r="AG107" s="49"/>
      <c r="AH107" s="6"/>
      <c r="AI107" s="21" t="s">
        <v>270</v>
      </c>
      <c r="AJ107" s="7"/>
      <c r="AK107" s="7"/>
      <c r="AL107" s="7"/>
      <c r="AM107" s="49">
        <f>-0.054*$AL$2*$AK$8</f>
        <v>-6.912</v>
      </c>
      <c r="AN107" s="49"/>
      <c r="AO107" s="50"/>
      <c r="AP107" s="6"/>
      <c r="AQ107" s="7"/>
      <c r="AR107" s="7"/>
      <c r="AS107" s="21" t="s">
        <v>275</v>
      </c>
      <c r="AT107" s="7"/>
      <c r="AU107" s="7"/>
      <c r="AV107" s="7"/>
      <c r="AW107" s="49">
        <f>-0.095*$AT$2*$AU$8</f>
        <v>-4.9875</v>
      </c>
      <c r="AX107" s="49"/>
      <c r="AY107" s="50"/>
      <c r="AZ107" s="6"/>
      <c r="BA107" s="21" t="s">
        <v>279</v>
      </c>
      <c r="BB107" s="7"/>
      <c r="BC107" s="7"/>
      <c r="BD107" s="7"/>
      <c r="BE107" s="49">
        <f>-0.045*$BE$10*$BC$8</f>
        <v>-0.69447375</v>
      </c>
      <c r="BF107" s="49"/>
      <c r="BG107" s="50"/>
      <c r="BH107" s="7"/>
      <c r="BI107" s="21" t="s">
        <v>279</v>
      </c>
      <c r="BJ107" s="7"/>
      <c r="BK107" s="7"/>
      <c r="BL107" s="7"/>
      <c r="BM107" s="49">
        <f>-0.045*$BM$10*$BK$8</f>
        <v>-1.2923718749999997</v>
      </c>
      <c r="BN107" s="49"/>
      <c r="BO107" s="50"/>
      <c r="BP107" s="7"/>
      <c r="BQ107" s="21" t="s">
        <v>284</v>
      </c>
      <c r="BR107" s="7"/>
      <c r="BS107" s="7"/>
      <c r="BT107" s="7"/>
      <c r="BU107" s="49">
        <f>-0.044*$BU$10*$BS$8</f>
        <v>-1.3130655999999996</v>
      </c>
      <c r="BV107" s="49"/>
      <c r="BW107" s="50"/>
    </row>
    <row r="108" spans="1:75" ht="12.75" customHeight="1">
      <c r="A108" s="58"/>
      <c r="B108" s="6"/>
      <c r="C108" s="7"/>
      <c r="D108" s="7"/>
      <c r="E108" s="7"/>
      <c r="F108" s="7"/>
      <c r="G108" s="7"/>
      <c r="H108" s="12">
        <v>1</v>
      </c>
      <c r="I108" s="7"/>
      <c r="J108" s="7"/>
      <c r="K108" s="12">
        <v>2</v>
      </c>
      <c r="L108" s="7"/>
      <c r="M108" s="7"/>
      <c r="N108" s="12">
        <v>3</v>
      </c>
      <c r="O108" s="7"/>
      <c r="P108" s="7"/>
      <c r="Q108" s="12">
        <v>4</v>
      </c>
      <c r="R108" s="7"/>
      <c r="S108" s="7"/>
      <c r="T108" s="7"/>
      <c r="U108" s="7" t="s">
        <v>360</v>
      </c>
      <c r="V108" s="7"/>
      <c r="W108" s="7"/>
      <c r="X108" s="7"/>
      <c r="Y108" s="7"/>
      <c r="Z108" s="6"/>
      <c r="AA108" s="21" t="s">
        <v>207</v>
      </c>
      <c r="AB108" s="7"/>
      <c r="AC108" s="7"/>
      <c r="AD108" s="7"/>
      <c r="AE108" s="49">
        <f>-0.107*$AD$2*$AC$7^2</f>
        <v>-6.50025</v>
      </c>
      <c r="AF108" s="49"/>
      <c r="AG108" s="49"/>
      <c r="AH108" s="6"/>
      <c r="AI108" s="21" t="s">
        <v>217</v>
      </c>
      <c r="AJ108" s="7"/>
      <c r="AK108" s="7"/>
      <c r="AL108" s="7"/>
      <c r="AM108" s="49">
        <f>-0.161*$AL$2*$AK$8</f>
        <v>-20.608</v>
      </c>
      <c r="AN108" s="49"/>
      <c r="AO108" s="50"/>
      <c r="AP108" s="6"/>
      <c r="AQ108" s="7"/>
      <c r="AR108" s="7"/>
      <c r="AS108" s="21" t="s">
        <v>227</v>
      </c>
      <c r="AT108" s="7"/>
      <c r="AU108" s="7"/>
      <c r="AV108" s="7"/>
      <c r="AW108" s="49">
        <f>-0.286*$AT$2*$AU$8</f>
        <v>-15.015</v>
      </c>
      <c r="AX108" s="49"/>
      <c r="AY108" s="50"/>
      <c r="AZ108" s="6"/>
      <c r="BA108" s="21" t="s">
        <v>237</v>
      </c>
      <c r="BB108" s="7"/>
      <c r="BC108" s="7"/>
      <c r="BD108" s="7"/>
      <c r="BE108" s="49">
        <f>-0.134*$BE$10*$BC$8</f>
        <v>-2.0679885000000002</v>
      </c>
      <c r="BF108" s="49"/>
      <c r="BG108" s="50"/>
      <c r="BH108" s="7"/>
      <c r="BI108" s="21" t="s">
        <v>247</v>
      </c>
      <c r="BJ108" s="7"/>
      <c r="BK108" s="7"/>
      <c r="BL108" s="7"/>
      <c r="BM108" s="49">
        <f>-0.133*$BM$10*$BK$8</f>
        <v>-3.819676875</v>
      </c>
      <c r="BN108" s="49"/>
      <c r="BO108" s="50"/>
      <c r="BP108" s="7"/>
      <c r="BQ108" s="21" t="s">
        <v>254</v>
      </c>
      <c r="BR108" s="7"/>
      <c r="BS108" s="7"/>
      <c r="BT108" s="7"/>
      <c r="BU108" s="49">
        <f>-0.13*$BU$10*$BS$8</f>
        <v>-3.879511999999999</v>
      </c>
      <c r="BV108" s="49"/>
      <c r="BW108" s="50"/>
    </row>
    <row r="109" spans="1:75" ht="12.75" customHeight="1">
      <c r="A109" s="58"/>
      <c r="B109" s="6"/>
      <c r="C109" s="7"/>
      <c r="D109" s="7"/>
      <c r="E109" s="7"/>
      <c r="F109" s="51" t="s">
        <v>0</v>
      </c>
      <c r="G109" s="51"/>
      <c r="H109" s="12"/>
      <c r="I109" s="51" t="s">
        <v>1</v>
      </c>
      <c r="J109" s="51"/>
      <c r="K109" s="12"/>
      <c r="L109" s="51" t="s">
        <v>2</v>
      </c>
      <c r="M109" s="51"/>
      <c r="N109" s="12"/>
      <c r="O109" s="51" t="s">
        <v>72</v>
      </c>
      <c r="P109" s="51"/>
      <c r="Q109" s="12"/>
      <c r="R109" s="51" t="s">
        <v>203</v>
      </c>
      <c r="S109" s="51"/>
      <c r="T109" s="7"/>
      <c r="U109" s="7" t="s">
        <v>361</v>
      </c>
      <c r="V109" s="7"/>
      <c r="W109" s="7"/>
      <c r="X109" s="7"/>
      <c r="Y109" s="7"/>
      <c r="Z109" s="6"/>
      <c r="AA109" s="7" t="s">
        <v>210</v>
      </c>
      <c r="AB109" s="7"/>
      <c r="AC109" s="7"/>
      <c r="AD109" s="7"/>
      <c r="AE109" s="49">
        <f>1.143*$AD$2*$AC$7</f>
        <v>15.430500000000002</v>
      </c>
      <c r="AF109" s="49"/>
      <c r="AG109" s="49"/>
      <c r="AH109" s="6"/>
      <c r="AI109" s="21" t="s">
        <v>220</v>
      </c>
      <c r="AJ109" s="7"/>
      <c r="AK109" s="7"/>
      <c r="AL109" s="7"/>
      <c r="AM109" s="49">
        <f>1.214*$AL$2</f>
        <v>38.848</v>
      </c>
      <c r="AN109" s="49"/>
      <c r="AO109" s="50"/>
      <c r="AP109" s="6"/>
      <c r="AQ109" s="7"/>
      <c r="AR109" s="7"/>
      <c r="AS109" s="21" t="s">
        <v>230</v>
      </c>
      <c r="AT109" s="7"/>
      <c r="AU109" s="7"/>
      <c r="AV109" s="7"/>
      <c r="AW109" s="49">
        <f>2.381*$AT$2</f>
        <v>35.714999999999996</v>
      </c>
      <c r="AX109" s="49"/>
      <c r="AY109" s="50"/>
      <c r="AZ109" s="6"/>
      <c r="BA109" s="21" t="s">
        <v>250</v>
      </c>
      <c r="BB109" s="7"/>
      <c r="BC109" s="7"/>
      <c r="BD109" s="7"/>
      <c r="BE109" s="49">
        <f>1.178*$BE$10</f>
        <v>6.37887</v>
      </c>
      <c r="BF109" s="49"/>
      <c r="BG109" s="50"/>
      <c r="BH109" s="7"/>
      <c r="BI109" s="21" t="s">
        <v>366</v>
      </c>
      <c r="BJ109" s="7"/>
      <c r="BK109" s="7"/>
      <c r="BL109" s="7"/>
      <c r="BM109" s="49">
        <f>1.176*$BM$10</f>
        <v>7.946819999999999</v>
      </c>
      <c r="BN109" s="49"/>
      <c r="BO109" s="50"/>
      <c r="BP109" s="7"/>
      <c r="BQ109" s="21" t="s">
        <v>368</v>
      </c>
      <c r="BR109" s="7"/>
      <c r="BS109" s="7"/>
      <c r="BT109" s="7"/>
      <c r="BU109" s="49">
        <f>1.172*$BU$10</f>
        <v>9.582271999999998</v>
      </c>
      <c r="BV109" s="49"/>
      <c r="BW109" s="50"/>
    </row>
    <row r="110" spans="1:75" ht="12.75" customHeight="1">
      <c r="A110" s="58"/>
      <c r="B110" s="6"/>
      <c r="C110" s="7"/>
      <c r="D110" s="7"/>
      <c r="E110" s="7"/>
      <c r="F110" s="7"/>
      <c r="G110" s="24"/>
      <c r="H110" s="24" t="s">
        <v>20</v>
      </c>
      <c r="I110" s="7"/>
      <c r="J110" s="24"/>
      <c r="K110" s="24" t="s">
        <v>20</v>
      </c>
      <c r="L110" s="7"/>
      <c r="M110" s="24"/>
      <c r="N110" s="24" t="s">
        <v>20</v>
      </c>
      <c r="O110" s="7"/>
      <c r="P110" s="25"/>
      <c r="Q110" s="12" t="str">
        <f>+N110</f>
        <v>L</v>
      </c>
      <c r="R110" s="7"/>
      <c r="S110" s="7"/>
      <c r="T110" s="7"/>
      <c r="U110" s="7" t="s">
        <v>359</v>
      </c>
      <c r="V110" s="7"/>
      <c r="W110" s="7"/>
      <c r="X110" s="7"/>
      <c r="Y110" s="7"/>
      <c r="Z110" s="6"/>
      <c r="AA110" s="21" t="s">
        <v>362</v>
      </c>
      <c r="AB110" s="7"/>
      <c r="AC110" s="7"/>
      <c r="AD110" s="7"/>
      <c r="AE110" s="49">
        <f>-0.571*$AD$2*$AC$7</f>
        <v>-7.708499999999999</v>
      </c>
      <c r="AF110" s="49"/>
      <c r="AG110" s="49"/>
      <c r="AH110" s="6"/>
      <c r="AI110" s="21" t="s">
        <v>363</v>
      </c>
      <c r="AJ110" s="7"/>
      <c r="AK110" s="7"/>
      <c r="AL110" s="7"/>
      <c r="AM110" s="49">
        <f>-0.607*$AL$2</f>
        <v>-19.424</v>
      </c>
      <c r="AN110" s="49"/>
      <c r="AO110" s="50"/>
      <c r="AP110" s="6"/>
      <c r="AQ110" s="7"/>
      <c r="AR110" s="7"/>
      <c r="AS110" s="21" t="s">
        <v>364</v>
      </c>
      <c r="AT110" s="7"/>
      <c r="AU110" s="7"/>
      <c r="AV110" s="7"/>
      <c r="AW110" s="49">
        <f>-1.191*$AT$2</f>
        <v>-17.865000000000002</v>
      </c>
      <c r="AX110" s="49"/>
      <c r="AY110" s="50"/>
      <c r="AZ110" s="6"/>
      <c r="BA110" s="21" t="s">
        <v>365</v>
      </c>
      <c r="BB110" s="7"/>
      <c r="BC110" s="7"/>
      <c r="BD110" s="7"/>
      <c r="BE110" s="49">
        <f>-0.589*$BE$10</f>
        <v>-3.189435</v>
      </c>
      <c r="BF110" s="49"/>
      <c r="BG110" s="50"/>
      <c r="BH110" s="7"/>
      <c r="BI110" s="21" t="s">
        <v>367</v>
      </c>
      <c r="BJ110" s="7"/>
      <c r="BK110" s="7"/>
      <c r="BL110" s="7"/>
      <c r="BM110" s="49">
        <f>-0.588*$BM$10</f>
        <v>-3.9734099999999994</v>
      </c>
      <c r="BN110" s="49"/>
      <c r="BO110" s="50"/>
      <c r="BP110" s="7"/>
      <c r="BQ110" s="21" t="s">
        <v>369</v>
      </c>
      <c r="BR110" s="7"/>
      <c r="BS110" s="7"/>
      <c r="BT110" s="7"/>
      <c r="BU110" s="49">
        <f>0.586*$BU$10</f>
        <v>4.791135999999999</v>
      </c>
      <c r="BV110" s="49"/>
      <c r="BW110" s="50"/>
    </row>
    <row r="111" spans="1:75" ht="12.75" customHeight="1">
      <c r="A111" s="58"/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6"/>
      <c r="AA111" s="7"/>
      <c r="AB111" s="7"/>
      <c r="AC111" s="7"/>
      <c r="AD111" s="7"/>
      <c r="AE111" s="7"/>
      <c r="AF111" s="7"/>
      <c r="AG111" s="7"/>
      <c r="AH111" s="6"/>
      <c r="AI111" s="7"/>
      <c r="AJ111" s="7"/>
      <c r="AK111" s="7"/>
      <c r="AL111" s="7"/>
      <c r="AM111" s="7"/>
      <c r="AN111" s="7"/>
      <c r="AO111" s="8"/>
      <c r="AP111" s="6"/>
      <c r="AQ111" s="7"/>
      <c r="AR111" s="7"/>
      <c r="AS111" s="7"/>
      <c r="AT111" s="7"/>
      <c r="AU111" s="7"/>
      <c r="AV111" s="7"/>
      <c r="AW111" s="7"/>
      <c r="AX111" s="7"/>
      <c r="AY111" s="8"/>
      <c r="AZ111" s="6"/>
      <c r="BA111" s="7"/>
      <c r="BB111" s="7"/>
      <c r="BC111" s="7"/>
      <c r="BD111" s="7"/>
      <c r="BE111" s="7"/>
      <c r="BF111" s="7"/>
      <c r="BG111" s="8"/>
      <c r="BH111" s="7"/>
      <c r="BI111" s="7"/>
      <c r="BJ111" s="7"/>
      <c r="BK111" s="7"/>
      <c r="BL111" s="7"/>
      <c r="BM111" s="7"/>
      <c r="BN111" s="7"/>
      <c r="BO111" s="8"/>
      <c r="BP111" s="7"/>
      <c r="BQ111" s="7"/>
      <c r="BR111" s="7"/>
      <c r="BS111" s="7"/>
      <c r="BT111" s="7"/>
      <c r="BU111" s="7"/>
      <c r="BV111" s="7"/>
      <c r="BW111" s="8"/>
    </row>
    <row r="112" spans="1:75" ht="12.75" customHeight="1">
      <c r="A112" s="58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3"/>
      <c r="AA112" s="4"/>
      <c r="AB112" s="4"/>
      <c r="AC112" s="4"/>
      <c r="AD112" s="4"/>
      <c r="AE112" s="4"/>
      <c r="AF112" s="4"/>
      <c r="AG112" s="4"/>
      <c r="AH112" s="3"/>
      <c r="AI112" s="4"/>
      <c r="AJ112" s="4"/>
      <c r="AK112" s="4"/>
      <c r="AL112" s="4"/>
      <c r="AM112" s="4"/>
      <c r="AN112" s="4"/>
      <c r="AO112" s="5"/>
      <c r="AP112" s="3"/>
      <c r="AQ112" s="4"/>
      <c r="AR112" s="4"/>
      <c r="AS112" s="4"/>
      <c r="AT112" s="4"/>
      <c r="AU112" s="4"/>
      <c r="AV112" s="4"/>
      <c r="AW112" s="4"/>
      <c r="AX112" s="4"/>
      <c r="AY112" s="5"/>
      <c r="AZ112" s="3"/>
      <c r="BA112" s="4"/>
      <c r="BB112" s="4"/>
      <c r="BC112" s="4"/>
      <c r="BD112" s="4"/>
      <c r="BE112" s="4"/>
      <c r="BF112" s="4"/>
      <c r="BG112" s="5"/>
      <c r="BH112" s="4"/>
      <c r="BI112" s="4"/>
      <c r="BJ112" s="4"/>
      <c r="BK112" s="4"/>
      <c r="BL112" s="4"/>
      <c r="BM112" s="4"/>
      <c r="BN112" s="4"/>
      <c r="BO112" s="5"/>
      <c r="BP112" s="4"/>
      <c r="BQ112" s="4"/>
      <c r="BR112" s="4"/>
      <c r="BS112" s="4"/>
      <c r="BT112" s="4"/>
      <c r="BU112" s="4"/>
      <c r="BV112" s="4"/>
      <c r="BW112" s="5"/>
    </row>
    <row r="113" spans="1:75" ht="13.5" customHeight="1" thickBot="1">
      <c r="A113" s="58"/>
      <c r="B113" s="6"/>
      <c r="C113" s="7"/>
      <c r="D113" s="7"/>
      <c r="E113" s="7"/>
      <c r="F113" s="7"/>
      <c r="G113" s="23"/>
      <c r="H113" s="23"/>
      <c r="I113" s="48"/>
      <c r="J113" s="34"/>
      <c r="K113" s="34"/>
      <c r="L113" s="34"/>
      <c r="M113" s="34"/>
      <c r="N113" s="34"/>
      <c r="O113" s="34"/>
      <c r="P113" s="39"/>
      <c r="Q113" s="39"/>
      <c r="R113" s="39"/>
      <c r="S113" s="7"/>
      <c r="T113" s="7"/>
      <c r="U113" s="7" t="s">
        <v>44</v>
      </c>
      <c r="V113" s="7"/>
      <c r="W113" s="7"/>
      <c r="X113" s="7"/>
      <c r="Y113" s="7"/>
      <c r="Z113" s="6"/>
      <c r="AA113" s="21" t="s">
        <v>208</v>
      </c>
      <c r="AB113" s="7"/>
      <c r="AC113" s="7"/>
      <c r="AD113" s="7"/>
      <c r="AE113" s="49">
        <f>-0.071*$AD$2*$AC$7^2</f>
        <v>-4.313249999999999</v>
      </c>
      <c r="AF113" s="49"/>
      <c r="AG113" s="49"/>
      <c r="AH113" s="6"/>
      <c r="AI113" s="21" t="s">
        <v>218</v>
      </c>
      <c r="AJ113" s="7"/>
      <c r="AK113" s="7"/>
      <c r="AL113" s="7"/>
      <c r="AM113" s="49">
        <f>-0.107*$AL$2*$AK$8</f>
        <v>-13.696</v>
      </c>
      <c r="AN113" s="49"/>
      <c r="AO113" s="50"/>
      <c r="AP113" s="6"/>
      <c r="AQ113" s="7"/>
      <c r="AR113" s="7"/>
      <c r="AS113" s="21" t="s">
        <v>228</v>
      </c>
      <c r="AT113" s="7"/>
      <c r="AU113" s="7"/>
      <c r="AV113" s="7"/>
      <c r="AW113" s="49">
        <f>-0.19*$AT$2*$AU$8</f>
        <v>-9.975</v>
      </c>
      <c r="AX113" s="49"/>
      <c r="AY113" s="50"/>
      <c r="AZ113" s="6"/>
      <c r="BA113" s="21" t="s">
        <v>238</v>
      </c>
      <c r="BB113" s="7"/>
      <c r="BC113" s="7"/>
      <c r="BD113" s="7"/>
      <c r="BE113" s="49">
        <f>-0.089*$BE$10*$BC$8</f>
        <v>-1.37351475</v>
      </c>
      <c r="BF113" s="49"/>
      <c r="BG113" s="50"/>
      <c r="BH113" s="7"/>
      <c r="BI113" s="21" t="s">
        <v>248</v>
      </c>
      <c r="BJ113" s="7"/>
      <c r="BK113" s="7"/>
      <c r="BL113" s="7"/>
      <c r="BM113" s="49">
        <f>-0.088*$BM$10*$BK$8</f>
        <v>-2.5273049999999997</v>
      </c>
      <c r="BN113" s="49"/>
      <c r="BO113" s="50"/>
      <c r="BP113" s="7"/>
      <c r="BQ113" s="21" t="s">
        <v>255</v>
      </c>
      <c r="BR113" s="7"/>
      <c r="BS113" s="7"/>
      <c r="BT113" s="7"/>
      <c r="BU113" s="49">
        <f>-0.086*$BU$10*$BS$8</f>
        <v>-2.566446399999999</v>
      </c>
      <c r="BV113" s="49"/>
      <c r="BW113" s="50"/>
    </row>
    <row r="114" spans="1:75" ht="12.75" customHeight="1">
      <c r="A114" s="58"/>
      <c r="B114" s="6"/>
      <c r="C114" s="7"/>
      <c r="D114" s="7"/>
      <c r="E114" s="7"/>
      <c r="F114" s="7"/>
      <c r="G114" s="7"/>
      <c r="H114" s="12">
        <v>1</v>
      </c>
      <c r="I114" s="7"/>
      <c r="J114" s="7"/>
      <c r="K114" s="12">
        <v>2</v>
      </c>
      <c r="L114" s="7"/>
      <c r="M114" s="7"/>
      <c r="N114" s="12">
        <v>3</v>
      </c>
      <c r="O114" s="7"/>
      <c r="P114" s="7"/>
      <c r="Q114" s="12">
        <v>4</v>
      </c>
      <c r="R114" s="7"/>
      <c r="S114" s="7"/>
      <c r="T114" s="7"/>
      <c r="U114" s="7" t="s">
        <v>357</v>
      </c>
      <c r="V114" s="7"/>
      <c r="W114" s="7"/>
      <c r="X114" s="7"/>
      <c r="Y114" s="7"/>
      <c r="Z114" s="6"/>
      <c r="AA114" s="7" t="s">
        <v>206</v>
      </c>
      <c r="AB114" s="7"/>
      <c r="AC114" s="7"/>
      <c r="AD114" s="7"/>
      <c r="AE114" s="49">
        <f>0.036*$AD$2*$AC$7^2</f>
        <v>2.187</v>
      </c>
      <c r="AF114" s="49"/>
      <c r="AG114" s="49"/>
      <c r="AH114" s="6"/>
      <c r="AI114" s="21" t="s">
        <v>372</v>
      </c>
      <c r="AJ114" s="7"/>
      <c r="AK114" s="7"/>
      <c r="AL114" s="7"/>
      <c r="AM114" s="49">
        <f>0.054*$AL$2*$AK$8</f>
        <v>6.912</v>
      </c>
      <c r="AN114" s="49"/>
      <c r="AO114" s="50"/>
      <c r="AP114" s="6"/>
      <c r="AQ114" s="7"/>
      <c r="AR114" s="7"/>
      <c r="AS114" s="21" t="s">
        <v>375</v>
      </c>
      <c r="AT114" s="7"/>
      <c r="AU114" s="7"/>
      <c r="AV114" s="7"/>
      <c r="AW114" s="49">
        <f>0.095*$AT$2*$AU$8</f>
        <v>4.9875</v>
      </c>
      <c r="AX114" s="49"/>
      <c r="AY114" s="50"/>
      <c r="AZ114" s="6"/>
      <c r="BA114" s="21" t="s">
        <v>380</v>
      </c>
      <c r="BB114" s="7"/>
      <c r="BC114" s="7"/>
      <c r="BD114" s="7"/>
      <c r="BE114" s="49">
        <f>0.045*$BE$10*$BC$8</f>
        <v>0.69447375</v>
      </c>
      <c r="BF114" s="49"/>
      <c r="BG114" s="50"/>
      <c r="BH114" s="7"/>
      <c r="BI114" s="21" t="s">
        <v>380</v>
      </c>
      <c r="BJ114" s="7"/>
      <c r="BK114" s="7"/>
      <c r="BL114" s="7"/>
      <c r="BM114" s="49">
        <f>0.045*$BM$10*$BK$8</f>
        <v>1.2923718749999997</v>
      </c>
      <c r="BN114" s="49"/>
      <c r="BO114" s="50"/>
      <c r="BP114" s="7"/>
      <c r="BQ114" s="21" t="s">
        <v>384</v>
      </c>
      <c r="BR114" s="7"/>
      <c r="BS114" s="7"/>
      <c r="BT114" s="7"/>
      <c r="BU114" s="49">
        <f>0.044*$BU$10*$BS$8</f>
        <v>1.3130655999999996</v>
      </c>
      <c r="BV114" s="49"/>
      <c r="BW114" s="50"/>
    </row>
    <row r="115" spans="1:75" ht="12.75" customHeight="1">
      <c r="A115" s="58"/>
      <c r="B115" s="6"/>
      <c r="C115" s="7"/>
      <c r="D115" s="7"/>
      <c r="E115" s="7"/>
      <c r="F115" s="51" t="s">
        <v>0</v>
      </c>
      <c r="G115" s="51"/>
      <c r="H115" s="12"/>
      <c r="I115" s="51" t="s">
        <v>1</v>
      </c>
      <c r="J115" s="51"/>
      <c r="K115" s="12"/>
      <c r="L115" s="51" t="s">
        <v>2</v>
      </c>
      <c r="M115" s="51"/>
      <c r="N115" s="12"/>
      <c r="O115" s="51" t="s">
        <v>72</v>
      </c>
      <c r="P115" s="51"/>
      <c r="Q115" s="12"/>
      <c r="R115" s="51" t="s">
        <v>203</v>
      </c>
      <c r="S115" s="51"/>
      <c r="T115" s="7"/>
      <c r="U115" s="7" t="s">
        <v>358</v>
      </c>
      <c r="V115" s="7"/>
      <c r="W115" s="7"/>
      <c r="X115" s="7"/>
      <c r="Y115" s="7"/>
      <c r="Z115" s="6"/>
      <c r="AA115" s="21" t="s">
        <v>370</v>
      </c>
      <c r="AB115" s="7"/>
      <c r="AC115" s="7"/>
      <c r="AD115" s="7"/>
      <c r="AE115" s="49">
        <f>-0.214*$AD$2*$AC$7</f>
        <v>-2.8890000000000002</v>
      </c>
      <c r="AF115" s="49"/>
      <c r="AG115" s="49"/>
      <c r="AH115" s="6"/>
      <c r="AI115" s="21" t="s">
        <v>373</v>
      </c>
      <c r="AJ115" s="7"/>
      <c r="AK115" s="7"/>
      <c r="AL115" s="7"/>
      <c r="AM115" s="49">
        <f>-0.321*$AL$2</f>
        <v>-10.272</v>
      </c>
      <c r="AN115" s="49"/>
      <c r="AO115" s="50"/>
      <c r="AP115" s="6"/>
      <c r="AQ115" s="7"/>
      <c r="AR115" s="7"/>
      <c r="AS115" s="21" t="s">
        <v>376</v>
      </c>
      <c r="AT115" s="7"/>
      <c r="AU115" s="7"/>
      <c r="AV115" s="7"/>
      <c r="AW115" s="49">
        <f>-0.571*$AT$2</f>
        <v>-8.565</v>
      </c>
      <c r="AX115" s="49"/>
      <c r="AY115" s="50"/>
      <c r="AZ115" s="6"/>
      <c r="BA115" s="21" t="s">
        <v>378</v>
      </c>
      <c r="BB115" s="7"/>
      <c r="BC115" s="7"/>
      <c r="BD115" s="7"/>
      <c r="BE115" s="49">
        <f>-0.268*$BE$10</f>
        <v>-1.4512200000000002</v>
      </c>
      <c r="BF115" s="49"/>
      <c r="BG115" s="50"/>
      <c r="BH115" s="7"/>
      <c r="BI115" s="21" t="s">
        <v>381</v>
      </c>
      <c r="BJ115" s="7"/>
      <c r="BK115" s="7"/>
      <c r="BL115" s="7"/>
      <c r="BM115" s="49">
        <f>-0.266*$BM$10</f>
        <v>-1.7974949999999998</v>
      </c>
      <c r="BN115" s="49"/>
      <c r="BO115" s="50"/>
      <c r="BP115" s="7"/>
      <c r="BQ115" s="21" t="s">
        <v>383</v>
      </c>
      <c r="BR115" s="7"/>
      <c r="BS115" s="7"/>
      <c r="BT115" s="7"/>
      <c r="BU115" s="49">
        <f>-0.26*$BU$10</f>
        <v>-2.1257599999999996</v>
      </c>
      <c r="BV115" s="49"/>
      <c r="BW115" s="50"/>
    </row>
    <row r="116" spans="1:75" ht="12.75" customHeight="1">
      <c r="A116" s="58"/>
      <c r="B116" s="6"/>
      <c r="C116" s="7"/>
      <c r="D116" s="7"/>
      <c r="E116" s="7"/>
      <c r="F116" s="7"/>
      <c r="G116" s="24"/>
      <c r="H116" s="24" t="s">
        <v>20</v>
      </c>
      <c r="I116" s="7"/>
      <c r="J116" s="24"/>
      <c r="K116" s="24" t="s">
        <v>20</v>
      </c>
      <c r="L116" s="7"/>
      <c r="M116" s="24"/>
      <c r="N116" s="24" t="s">
        <v>20</v>
      </c>
      <c r="O116" s="7"/>
      <c r="P116" s="25"/>
      <c r="Q116" s="12" t="str">
        <f>+N116</f>
        <v>L</v>
      </c>
      <c r="R116" s="7"/>
      <c r="S116" s="7"/>
      <c r="T116" s="7"/>
      <c r="U116" s="7" t="s">
        <v>359</v>
      </c>
      <c r="V116" s="7"/>
      <c r="W116" s="7"/>
      <c r="X116" s="7"/>
      <c r="Y116" s="7"/>
      <c r="Z116" s="6"/>
      <c r="AA116" s="7" t="s">
        <v>371</v>
      </c>
      <c r="AB116" s="7"/>
      <c r="AC116" s="7"/>
      <c r="AD116" s="7"/>
      <c r="AE116" s="49">
        <f>0.107*$AD$2*$AC$7</f>
        <v>1.4445000000000001</v>
      </c>
      <c r="AF116" s="49"/>
      <c r="AG116" s="49"/>
      <c r="AH116" s="6"/>
      <c r="AI116" s="21" t="s">
        <v>374</v>
      </c>
      <c r="AJ116" s="7"/>
      <c r="AK116" s="7"/>
      <c r="AL116" s="7"/>
      <c r="AM116" s="49">
        <f>0.161*$AL$2</f>
        <v>5.152</v>
      </c>
      <c r="AN116" s="49"/>
      <c r="AO116" s="50"/>
      <c r="AP116" s="6"/>
      <c r="AQ116" s="7"/>
      <c r="AR116" s="7"/>
      <c r="AS116" s="21" t="s">
        <v>377</v>
      </c>
      <c r="AT116" s="7"/>
      <c r="AU116" s="7"/>
      <c r="AV116" s="7"/>
      <c r="AW116" s="49">
        <f>0.286*$AT$2</f>
        <v>4.29</v>
      </c>
      <c r="AX116" s="49"/>
      <c r="AY116" s="50"/>
      <c r="AZ116" s="6"/>
      <c r="BA116" s="21" t="s">
        <v>379</v>
      </c>
      <c r="BB116" s="7"/>
      <c r="BC116" s="7"/>
      <c r="BD116" s="7"/>
      <c r="BE116" s="49">
        <f>0.134*$BE$10</f>
        <v>0.7256100000000001</v>
      </c>
      <c r="BF116" s="49"/>
      <c r="BG116" s="50"/>
      <c r="BH116" s="7"/>
      <c r="BI116" s="21" t="s">
        <v>382</v>
      </c>
      <c r="BJ116" s="7"/>
      <c r="BK116" s="7"/>
      <c r="BL116" s="7"/>
      <c r="BM116" s="49">
        <f>0.133*$BM$10</f>
        <v>0.8987474999999999</v>
      </c>
      <c r="BN116" s="49"/>
      <c r="BO116" s="50"/>
      <c r="BP116" s="7"/>
      <c r="BQ116" s="21" t="s">
        <v>672</v>
      </c>
      <c r="BR116" s="7"/>
      <c r="BS116" s="7"/>
      <c r="BT116" s="7"/>
      <c r="BU116" s="49">
        <f>0.13*$BU$10</f>
        <v>1.0628799999999998</v>
      </c>
      <c r="BV116" s="49"/>
      <c r="BW116" s="50"/>
    </row>
    <row r="117" spans="1:75" ht="13.5" customHeight="1" thickBot="1">
      <c r="A117" s="59"/>
      <c r="B117" s="6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6"/>
      <c r="AA117" s="7"/>
      <c r="AB117" s="7"/>
      <c r="AC117" s="7"/>
      <c r="AD117" s="7"/>
      <c r="AE117" s="7"/>
      <c r="AF117" s="7"/>
      <c r="AG117" s="7"/>
      <c r="AH117" s="6"/>
      <c r="AI117" s="7"/>
      <c r="AJ117" s="7"/>
      <c r="AK117" s="7"/>
      <c r="AL117" s="7"/>
      <c r="AM117" s="7"/>
      <c r="AN117" s="7"/>
      <c r="AO117" s="8"/>
      <c r="AP117" s="6"/>
      <c r="AQ117" s="7"/>
      <c r="AR117" s="7"/>
      <c r="AS117" s="7"/>
      <c r="AT117" s="7"/>
      <c r="AU117" s="7"/>
      <c r="AV117" s="7"/>
      <c r="AW117" s="7"/>
      <c r="AX117" s="7"/>
      <c r="AY117" s="8"/>
      <c r="AZ117" s="6"/>
      <c r="BA117" s="7"/>
      <c r="BB117" s="7"/>
      <c r="BC117" s="7"/>
      <c r="BD117" s="7"/>
      <c r="BE117" s="7"/>
      <c r="BF117" s="7"/>
      <c r="BG117" s="8"/>
      <c r="BH117" s="7"/>
      <c r="BI117" s="7"/>
      <c r="BJ117" s="7"/>
      <c r="BK117" s="7"/>
      <c r="BL117" s="7"/>
      <c r="BM117" s="7"/>
      <c r="BN117" s="7"/>
      <c r="BO117" s="8"/>
      <c r="BP117" s="7"/>
      <c r="BQ117" s="7"/>
      <c r="BR117" s="7"/>
      <c r="BS117" s="7"/>
      <c r="BT117" s="7"/>
      <c r="BU117" s="7"/>
      <c r="BV117" s="7"/>
      <c r="BW117" s="8"/>
    </row>
    <row r="118" spans="1:75" ht="12" thickTop="1">
      <c r="A118" s="57" t="s">
        <v>683</v>
      </c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1"/>
      <c r="AA118" s="42"/>
      <c r="AB118" s="42"/>
      <c r="AC118" s="42"/>
      <c r="AD118" s="42"/>
      <c r="AE118" s="42"/>
      <c r="AF118" s="42"/>
      <c r="AG118" s="42"/>
      <c r="AH118" s="41"/>
      <c r="AI118" s="42"/>
      <c r="AJ118" s="42"/>
      <c r="AK118" s="42"/>
      <c r="AL118" s="42"/>
      <c r="AM118" s="42"/>
      <c r="AN118" s="42"/>
      <c r="AO118" s="43"/>
      <c r="AP118" s="41"/>
      <c r="AQ118" s="42"/>
      <c r="AR118" s="42"/>
      <c r="AS118" s="42"/>
      <c r="AT118" s="42"/>
      <c r="AU118" s="42"/>
      <c r="AV118" s="42"/>
      <c r="AW118" s="42"/>
      <c r="AX118" s="42"/>
      <c r="AY118" s="43"/>
      <c r="AZ118" s="41"/>
      <c r="BA118" s="42"/>
      <c r="BB118" s="42"/>
      <c r="BC118" s="42"/>
      <c r="BD118" s="42"/>
      <c r="BE118" s="42"/>
      <c r="BF118" s="42"/>
      <c r="BG118" s="43"/>
      <c r="BH118" s="42"/>
      <c r="BI118" s="42"/>
      <c r="BJ118" s="42"/>
      <c r="BK118" s="42"/>
      <c r="BL118" s="42"/>
      <c r="BM118" s="42"/>
      <c r="BN118" s="42"/>
      <c r="BO118" s="43"/>
      <c r="BP118" s="42"/>
      <c r="BQ118" s="42"/>
      <c r="BR118" s="42"/>
      <c r="BS118" s="42"/>
      <c r="BT118" s="42"/>
      <c r="BU118" s="42"/>
      <c r="BV118" s="42"/>
      <c r="BW118" s="43"/>
    </row>
    <row r="119" spans="1:75" ht="11.25">
      <c r="A119" s="58"/>
      <c r="B119" s="6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 t="s">
        <v>3</v>
      </c>
      <c r="V119" s="7"/>
      <c r="W119" s="7"/>
      <c r="X119" s="7"/>
      <c r="Y119" s="7"/>
      <c r="Z119" s="6"/>
      <c r="AA119" s="7" t="s">
        <v>391</v>
      </c>
      <c r="AB119" s="7"/>
      <c r="AC119" s="7"/>
      <c r="AD119" s="7"/>
      <c r="AE119" s="49">
        <f>0.078*$AD$2*$AC$7^2</f>
        <v>4.7385</v>
      </c>
      <c r="AF119" s="49"/>
      <c r="AG119" s="49"/>
      <c r="AH119" s="6"/>
      <c r="AI119" s="21" t="s">
        <v>402</v>
      </c>
      <c r="AJ119" s="7"/>
      <c r="AK119" s="7"/>
      <c r="AL119" s="7"/>
      <c r="AM119" s="49">
        <f>0.171*$AL$2*$AK$8</f>
        <v>21.888</v>
      </c>
      <c r="AN119" s="49"/>
      <c r="AO119" s="50"/>
      <c r="AP119" s="6"/>
      <c r="AQ119" s="21" t="s">
        <v>413</v>
      </c>
      <c r="AR119" s="7"/>
      <c r="AS119" s="7"/>
      <c r="AT119" s="7"/>
      <c r="AU119" s="7"/>
      <c r="AV119" s="7"/>
      <c r="AW119" s="49">
        <f>(0.24/0.146)*$AT$2*$AU$8</f>
        <v>86.3013698630137</v>
      </c>
      <c r="AX119" s="49"/>
      <c r="AY119" s="50"/>
      <c r="AZ119" s="6"/>
      <c r="BA119" s="21" t="s">
        <v>424</v>
      </c>
      <c r="BB119" s="7"/>
      <c r="BC119" s="7"/>
      <c r="BD119" s="7"/>
      <c r="BE119" s="49">
        <f>0.106*$BE$10*$BC$8</f>
        <v>1.6358715000000001</v>
      </c>
      <c r="BF119" s="49"/>
      <c r="BG119" s="50"/>
      <c r="BH119" s="7"/>
      <c r="BI119" s="21" t="s">
        <v>145</v>
      </c>
      <c r="BJ119" s="7"/>
      <c r="BK119" s="7"/>
      <c r="BL119" s="7"/>
      <c r="BM119" s="49">
        <f>0.104*$BM$10*$BK$8</f>
        <v>2.986815</v>
      </c>
      <c r="BN119" s="49"/>
      <c r="BO119" s="50"/>
      <c r="BP119" s="7"/>
      <c r="BQ119" s="21" t="s">
        <v>439</v>
      </c>
      <c r="BR119" s="7"/>
      <c r="BS119" s="7"/>
      <c r="BT119" s="7"/>
      <c r="BU119" s="49">
        <f>0.099*$BU$10*$BS$8</f>
        <v>2.9543975999999996</v>
      </c>
      <c r="BV119" s="49"/>
      <c r="BW119" s="50"/>
    </row>
    <row r="120" spans="1:75" ht="11.25">
      <c r="A120" s="58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 t="s">
        <v>73</v>
      </c>
      <c r="V120" s="7"/>
      <c r="W120" s="7"/>
      <c r="X120" s="7"/>
      <c r="Y120" s="7"/>
      <c r="Z120" s="6"/>
      <c r="AA120" s="7" t="s">
        <v>392</v>
      </c>
      <c r="AB120" s="7"/>
      <c r="AC120" s="7"/>
      <c r="AD120" s="7"/>
      <c r="AE120" s="49">
        <f>0.033*$AD$2*$AC$7^2</f>
        <v>2.00475</v>
      </c>
      <c r="AF120" s="49"/>
      <c r="AG120" s="49"/>
      <c r="AH120" s="6"/>
      <c r="AI120" s="21" t="s">
        <v>403</v>
      </c>
      <c r="AJ120" s="7"/>
      <c r="AK120" s="7"/>
      <c r="AL120" s="7"/>
      <c r="AM120" s="49">
        <f>0.112*$AL$2*$AK$8</f>
        <v>14.336</v>
      </c>
      <c r="AN120" s="49"/>
      <c r="AO120" s="50"/>
      <c r="AP120" s="6"/>
      <c r="AQ120" s="21" t="s">
        <v>414</v>
      </c>
      <c r="AR120" s="7"/>
      <c r="AS120" s="7"/>
      <c r="AT120" s="7"/>
      <c r="AU120" s="7"/>
      <c r="AV120" s="7"/>
      <c r="AW120" s="49">
        <f>(0.076/0.099)*$AT$2*$AU$8</f>
        <v>40.3030303030303</v>
      </c>
      <c r="AX120" s="49"/>
      <c r="AY120" s="50"/>
      <c r="AZ120" s="6"/>
      <c r="BA120" s="21" t="s">
        <v>425</v>
      </c>
      <c r="BB120" s="7"/>
      <c r="BC120" s="7"/>
      <c r="BD120" s="7"/>
      <c r="BE120" s="49">
        <f>0.052*$BE$10*$BC$8</f>
        <v>0.802503</v>
      </c>
      <c r="BF120" s="49"/>
      <c r="BG120" s="50"/>
      <c r="BH120" s="7"/>
      <c r="BI120" s="21" t="s">
        <v>435</v>
      </c>
      <c r="BJ120" s="7"/>
      <c r="BK120" s="7"/>
      <c r="BL120" s="7"/>
      <c r="BM120" s="49">
        <f>0.05*$BM$10*$BK$8</f>
        <v>1.43596875</v>
      </c>
      <c r="BN120" s="49"/>
      <c r="BO120" s="50"/>
      <c r="BP120" s="7"/>
      <c r="BQ120" s="21" t="s">
        <v>440</v>
      </c>
      <c r="BR120" s="7"/>
      <c r="BS120" s="7"/>
      <c r="BT120" s="7"/>
      <c r="BU120" s="49">
        <f>0.046*$BU$10*$BS$8</f>
        <v>1.3727503999999997</v>
      </c>
      <c r="BV120" s="49"/>
      <c r="BW120" s="50"/>
    </row>
    <row r="121" spans="1:75" ht="11.25">
      <c r="A121" s="58"/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 t="s">
        <v>386</v>
      </c>
      <c r="V121" s="7"/>
      <c r="W121" s="7"/>
      <c r="X121" s="7"/>
      <c r="Y121" s="7"/>
      <c r="Z121" s="6"/>
      <c r="AA121" s="7" t="s">
        <v>393</v>
      </c>
      <c r="AB121" s="7"/>
      <c r="AC121" s="7"/>
      <c r="AD121" s="7"/>
      <c r="AE121" s="49">
        <f>0.046*$AD$2*$AC$7^2</f>
        <v>2.7945</v>
      </c>
      <c r="AF121" s="49"/>
      <c r="AG121" s="49"/>
      <c r="AH121" s="6"/>
      <c r="AI121" s="21" t="s">
        <v>404</v>
      </c>
      <c r="AJ121" s="7"/>
      <c r="AK121" s="7"/>
      <c r="AL121" s="7"/>
      <c r="AM121" s="49">
        <f>0.132*$AL$2*$AK$8</f>
        <v>16.896</v>
      </c>
      <c r="AN121" s="49"/>
      <c r="AO121" s="50"/>
      <c r="AP121" s="6"/>
      <c r="AQ121" s="7"/>
      <c r="AR121" s="7"/>
      <c r="AS121" s="21" t="s">
        <v>415</v>
      </c>
      <c r="AT121" s="7"/>
      <c r="AU121" s="7"/>
      <c r="AV121" s="7"/>
      <c r="AW121" s="49">
        <f>0.123*$AT$2*$AU$8</f>
        <v>6.4575</v>
      </c>
      <c r="AX121" s="49"/>
      <c r="AY121" s="50"/>
      <c r="AZ121" s="6"/>
      <c r="BA121" s="21" t="s">
        <v>426</v>
      </c>
      <c r="BB121" s="7"/>
      <c r="BC121" s="7"/>
      <c r="BD121" s="7"/>
      <c r="BE121" s="49">
        <f>0.068*$BE$10*$BC$8</f>
        <v>1.049427</v>
      </c>
      <c r="BF121" s="49"/>
      <c r="BG121" s="50"/>
      <c r="BH121" s="7"/>
      <c r="BI121" s="21" t="s">
        <v>436</v>
      </c>
      <c r="BJ121" s="7"/>
      <c r="BK121" s="7"/>
      <c r="BL121" s="7"/>
      <c r="BM121" s="49">
        <f>0.066*$BM$10*$BK$8</f>
        <v>1.8954787499999999</v>
      </c>
      <c r="BN121" s="49"/>
      <c r="BO121" s="50"/>
      <c r="BP121" s="7"/>
      <c r="BQ121" s="21" t="s">
        <v>441</v>
      </c>
      <c r="BR121" s="7"/>
      <c r="BS121" s="7"/>
      <c r="BT121" s="7"/>
      <c r="BU121" s="49">
        <f>0.061*$BU$10*$BS$8</f>
        <v>1.8203863999999996</v>
      </c>
      <c r="BV121" s="49"/>
      <c r="BW121" s="50"/>
    </row>
    <row r="122" spans="1:75" ht="11.25">
      <c r="A122" s="58"/>
      <c r="B122" s="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 t="s">
        <v>44</v>
      </c>
      <c r="V122" s="7"/>
      <c r="W122" s="7"/>
      <c r="X122" s="7"/>
      <c r="Y122" s="7"/>
      <c r="Z122" s="6"/>
      <c r="AA122" s="21" t="s">
        <v>394</v>
      </c>
      <c r="AB122" s="7"/>
      <c r="AC122" s="7"/>
      <c r="AD122" s="7"/>
      <c r="AE122" s="49">
        <f>-0.105*$AD$2*$AC$7^2</f>
        <v>-6.37875</v>
      </c>
      <c r="AF122" s="49"/>
      <c r="AG122" s="49"/>
      <c r="AH122" s="6"/>
      <c r="AI122" s="21" t="s">
        <v>405</v>
      </c>
      <c r="AJ122" s="7"/>
      <c r="AK122" s="7"/>
      <c r="AL122" s="7"/>
      <c r="AM122" s="49">
        <f>-0.158*$AL$2*$AK$8</f>
        <v>-20.224</v>
      </c>
      <c r="AN122" s="49"/>
      <c r="AO122" s="50"/>
      <c r="AP122" s="6"/>
      <c r="AQ122" s="7"/>
      <c r="AR122" s="7"/>
      <c r="AS122" s="21" t="s">
        <v>416</v>
      </c>
      <c r="AT122" s="7"/>
      <c r="AU122" s="7"/>
      <c r="AV122" s="7"/>
      <c r="AW122" s="49">
        <f>-0.281*$AT$2*$AU$8</f>
        <v>-14.752500000000003</v>
      </c>
      <c r="AX122" s="49"/>
      <c r="AY122" s="50"/>
      <c r="AZ122" s="6"/>
      <c r="BA122" s="21" t="s">
        <v>427</v>
      </c>
      <c r="BB122" s="7"/>
      <c r="BC122" s="7"/>
      <c r="BD122" s="7"/>
      <c r="BE122" s="49">
        <f>-0.131*$BE$10*$BC$8</f>
        <v>-2.0216902500000002</v>
      </c>
      <c r="BF122" s="49"/>
      <c r="BG122" s="50"/>
      <c r="BH122" s="7"/>
      <c r="BI122" s="21" t="s">
        <v>254</v>
      </c>
      <c r="BJ122" s="7"/>
      <c r="BK122" s="7"/>
      <c r="BL122" s="7"/>
      <c r="BM122" s="49">
        <f>-0.13*$BM$10*$BK$8</f>
        <v>-3.73351875</v>
      </c>
      <c r="BN122" s="49"/>
      <c r="BO122" s="50"/>
      <c r="BP122" s="7"/>
      <c r="BQ122" s="21" t="s">
        <v>442</v>
      </c>
      <c r="BR122" s="7"/>
      <c r="BS122" s="7"/>
      <c r="BT122" s="7"/>
      <c r="BU122" s="49">
        <f>-0.127*$BU$10*$BS$8</f>
        <v>-3.7899847999999987</v>
      </c>
      <c r="BV122" s="49"/>
      <c r="BW122" s="50"/>
    </row>
    <row r="123" spans="1:75" ht="12" thickBot="1">
      <c r="A123" s="58"/>
      <c r="B123" s="6"/>
      <c r="C123" s="7"/>
      <c r="D123" s="23"/>
      <c r="E123" s="23"/>
      <c r="F123" s="48"/>
      <c r="G123" s="23"/>
      <c r="H123" s="23"/>
      <c r="I123" s="48"/>
      <c r="J123" s="23"/>
      <c r="K123" s="23"/>
      <c r="L123" s="23"/>
      <c r="M123" s="23"/>
      <c r="N123" s="23"/>
      <c r="O123" s="23"/>
      <c r="P123" s="39"/>
      <c r="Q123" s="39"/>
      <c r="R123" s="39"/>
      <c r="S123" s="7"/>
      <c r="T123" s="7"/>
      <c r="U123" s="7" t="s">
        <v>151</v>
      </c>
      <c r="V123" s="7"/>
      <c r="W123" s="7"/>
      <c r="X123" s="7"/>
      <c r="Y123" s="7"/>
      <c r="Z123" s="6"/>
      <c r="AA123" s="21" t="s">
        <v>395</v>
      </c>
      <c r="AB123" s="7"/>
      <c r="AC123" s="7"/>
      <c r="AD123" s="7"/>
      <c r="AE123" s="49">
        <f>-0.079*$AD$2*$AC$7^2</f>
        <v>-4.79925</v>
      </c>
      <c r="AF123" s="49"/>
      <c r="AG123" s="49"/>
      <c r="AH123" s="6"/>
      <c r="AI123" s="21" t="s">
        <v>406</v>
      </c>
      <c r="AJ123" s="7"/>
      <c r="AK123" s="7"/>
      <c r="AL123" s="7"/>
      <c r="AM123" s="49">
        <f>-0.118*$AL$2*$AK$8</f>
        <v>-15.104</v>
      </c>
      <c r="AN123" s="49"/>
      <c r="AO123" s="50"/>
      <c r="AP123" s="6"/>
      <c r="AQ123" s="7"/>
      <c r="AR123" s="7"/>
      <c r="AS123" s="21" t="s">
        <v>417</v>
      </c>
      <c r="AT123" s="7"/>
      <c r="AU123" s="7"/>
      <c r="AV123" s="7"/>
      <c r="AW123" s="49">
        <f>-0.211*$AT$2*$AU$8</f>
        <v>-11.0775</v>
      </c>
      <c r="AX123" s="49"/>
      <c r="AY123" s="50"/>
      <c r="AZ123" s="6"/>
      <c r="BA123" s="21" t="s">
        <v>428</v>
      </c>
      <c r="BB123" s="7"/>
      <c r="BC123" s="7"/>
      <c r="BD123" s="7"/>
      <c r="BE123" s="49">
        <f>-0.099*$BE$10*$BC$8</f>
        <v>-1.5278422500000002</v>
      </c>
      <c r="BF123" s="49"/>
      <c r="BG123" s="50"/>
      <c r="BH123" s="7"/>
      <c r="BI123" s="21" t="s">
        <v>437</v>
      </c>
      <c r="BJ123" s="7"/>
      <c r="BK123" s="7"/>
      <c r="BL123" s="7"/>
      <c r="BM123" s="49">
        <f>-0.098*$BM$10*$BK$8</f>
        <v>-2.8144987500000003</v>
      </c>
      <c r="BN123" s="49"/>
      <c r="BO123" s="50"/>
      <c r="BP123" s="7"/>
      <c r="BQ123" s="21" t="s">
        <v>443</v>
      </c>
      <c r="BR123" s="7"/>
      <c r="BS123" s="7"/>
      <c r="BT123" s="7"/>
      <c r="BU123" s="49">
        <f>-0.096*$BU$10*$BS$8</f>
        <v>-2.864870399999999</v>
      </c>
      <c r="BV123" s="49"/>
      <c r="BW123" s="50"/>
    </row>
    <row r="124" spans="1:75" ht="11.25">
      <c r="A124" s="58"/>
      <c r="B124" s="6"/>
      <c r="C124" s="7"/>
      <c r="D124" s="7"/>
      <c r="E124" s="12">
        <v>1</v>
      </c>
      <c r="F124" s="7"/>
      <c r="G124" s="7"/>
      <c r="H124" s="12">
        <v>2</v>
      </c>
      <c r="I124" s="7"/>
      <c r="J124" s="7"/>
      <c r="K124" s="12">
        <v>3</v>
      </c>
      <c r="L124" s="7"/>
      <c r="M124" s="7"/>
      <c r="N124" s="12">
        <v>4</v>
      </c>
      <c r="O124" s="7"/>
      <c r="P124" s="7"/>
      <c r="Q124" s="12">
        <v>5</v>
      </c>
      <c r="R124" s="7"/>
      <c r="S124" s="7"/>
      <c r="T124" s="7"/>
      <c r="U124" s="7" t="s">
        <v>0</v>
      </c>
      <c r="V124" s="7"/>
      <c r="W124" s="7"/>
      <c r="X124" s="7"/>
      <c r="Y124" s="7"/>
      <c r="Z124" s="6"/>
      <c r="AA124" s="7" t="s">
        <v>396</v>
      </c>
      <c r="AB124" s="7"/>
      <c r="AC124" s="7"/>
      <c r="AD124" s="7"/>
      <c r="AE124" s="49">
        <f>0.395*$AD$2*$AC$7</f>
        <v>5.3325000000000005</v>
      </c>
      <c r="AF124" s="49"/>
      <c r="AG124" s="49"/>
      <c r="AH124" s="6"/>
      <c r="AI124" s="21" t="s">
        <v>407</v>
      </c>
      <c r="AJ124" s="7"/>
      <c r="AK124" s="7"/>
      <c r="AL124" s="7"/>
      <c r="AM124" s="49">
        <f>0.342*$AL$2</f>
        <v>10.944</v>
      </c>
      <c r="AN124" s="49"/>
      <c r="AO124" s="50"/>
      <c r="AP124" s="6"/>
      <c r="AQ124" s="7"/>
      <c r="AR124" s="7"/>
      <c r="AS124" s="21" t="s">
        <v>418</v>
      </c>
      <c r="AT124" s="7"/>
      <c r="AU124" s="7"/>
      <c r="AV124" s="7"/>
      <c r="AW124" s="49">
        <f>0.719*$AT$2</f>
        <v>10.785</v>
      </c>
      <c r="AX124" s="49"/>
      <c r="AY124" s="50"/>
      <c r="AZ124" s="6"/>
      <c r="BA124" s="21" t="s">
        <v>429</v>
      </c>
      <c r="BB124" s="7"/>
      <c r="BC124" s="7"/>
      <c r="BD124" s="7"/>
      <c r="BE124" s="49">
        <f>0.369*$BE$10</f>
        <v>1.998135</v>
      </c>
      <c r="BF124" s="49"/>
      <c r="BG124" s="50"/>
      <c r="BH124" s="7"/>
      <c r="BI124" s="21" t="s">
        <v>261</v>
      </c>
      <c r="BJ124" s="7"/>
      <c r="BK124" s="7"/>
      <c r="BL124" s="7"/>
      <c r="BM124" s="49">
        <f>0.37*$BM$10</f>
        <v>2.500275</v>
      </c>
      <c r="BN124" s="49"/>
      <c r="BO124" s="50"/>
      <c r="BP124" s="7"/>
      <c r="BQ124" s="21" t="s">
        <v>444</v>
      </c>
      <c r="BR124" s="7"/>
      <c r="BS124" s="7"/>
      <c r="BT124" s="7"/>
      <c r="BU124" s="49">
        <f>0.373*$BU$10</f>
        <v>3.0496479999999995</v>
      </c>
      <c r="BV124" s="49"/>
      <c r="BW124" s="50"/>
    </row>
    <row r="125" spans="1:75" ht="11.25">
      <c r="A125" s="58"/>
      <c r="B125" s="6"/>
      <c r="C125" s="51" t="s">
        <v>0</v>
      </c>
      <c r="D125" s="51"/>
      <c r="E125" s="12"/>
      <c r="F125" s="51" t="s">
        <v>1</v>
      </c>
      <c r="G125" s="51"/>
      <c r="H125" s="12"/>
      <c r="I125" s="51" t="s">
        <v>2</v>
      </c>
      <c r="J125" s="51"/>
      <c r="K125" s="12"/>
      <c r="L125" s="51" t="s">
        <v>72</v>
      </c>
      <c r="M125" s="51"/>
      <c r="N125" s="12"/>
      <c r="O125" s="51" t="s">
        <v>203</v>
      </c>
      <c r="P125" s="51"/>
      <c r="Q125" s="12"/>
      <c r="R125" s="51" t="s">
        <v>385</v>
      </c>
      <c r="S125" s="51"/>
      <c r="T125" s="7"/>
      <c r="U125" s="7" t="s">
        <v>1</v>
      </c>
      <c r="V125" s="7"/>
      <c r="W125" s="7"/>
      <c r="X125" s="7"/>
      <c r="Y125" s="7"/>
      <c r="Z125" s="6"/>
      <c r="AA125" s="7" t="s">
        <v>397</v>
      </c>
      <c r="AB125" s="7"/>
      <c r="AC125" s="7"/>
      <c r="AD125" s="7"/>
      <c r="AE125" s="49">
        <f>1.132*$AD$2*$AC$7</f>
        <v>15.282</v>
      </c>
      <c r="AF125" s="49"/>
      <c r="AG125" s="49"/>
      <c r="AH125" s="6"/>
      <c r="AI125" s="21" t="s">
        <v>408</v>
      </c>
      <c r="AJ125" s="7"/>
      <c r="AK125" s="7"/>
      <c r="AL125" s="7"/>
      <c r="AM125" s="49">
        <f>1.197*$AL$2</f>
        <v>38.304</v>
      </c>
      <c r="AN125" s="49"/>
      <c r="AO125" s="50"/>
      <c r="AP125" s="6"/>
      <c r="AQ125" s="7"/>
      <c r="AR125" s="7"/>
      <c r="AS125" s="21" t="s">
        <v>419</v>
      </c>
      <c r="AT125" s="7"/>
      <c r="AU125" s="7"/>
      <c r="AV125" s="7"/>
      <c r="AW125" s="49">
        <f>2.351*$AT$2</f>
        <v>35.265</v>
      </c>
      <c r="AX125" s="49"/>
      <c r="AY125" s="50"/>
      <c r="AZ125" s="6"/>
      <c r="BA125" s="21" t="s">
        <v>430</v>
      </c>
      <c r="BB125" s="7"/>
      <c r="BC125" s="7"/>
      <c r="BD125" s="7"/>
      <c r="BE125" s="49">
        <f>1.163*$BE$10</f>
        <v>6.297645</v>
      </c>
      <c r="BF125" s="49"/>
      <c r="BG125" s="50"/>
      <c r="BH125" s="7"/>
      <c r="BI125" s="21" t="s">
        <v>438</v>
      </c>
      <c r="BJ125" s="7"/>
      <c r="BK125" s="7"/>
      <c r="BL125" s="7"/>
      <c r="BM125" s="49">
        <f>1.162*$BM$10</f>
        <v>7.852214999999998</v>
      </c>
      <c r="BN125" s="49"/>
      <c r="BO125" s="50"/>
      <c r="BP125" s="7"/>
      <c r="BQ125" s="21" t="s">
        <v>445</v>
      </c>
      <c r="BR125" s="7"/>
      <c r="BS125" s="7"/>
      <c r="BT125" s="7"/>
      <c r="BU125" s="49">
        <f>1.158*$BU$10</f>
        <v>9.467807999999998</v>
      </c>
      <c r="BV125" s="49"/>
      <c r="BW125" s="50"/>
    </row>
    <row r="126" spans="1:75" ht="11.25">
      <c r="A126" s="58"/>
      <c r="B126" s="6"/>
      <c r="C126" s="7"/>
      <c r="D126" s="24"/>
      <c r="E126" s="24" t="s">
        <v>20</v>
      </c>
      <c r="F126" s="7"/>
      <c r="G126" s="24"/>
      <c r="H126" s="24" t="s">
        <v>20</v>
      </c>
      <c r="I126" s="7"/>
      <c r="J126" s="24"/>
      <c r="K126" s="24" t="s">
        <v>20</v>
      </c>
      <c r="L126" s="7"/>
      <c r="M126" s="24"/>
      <c r="N126" s="24" t="s">
        <v>20</v>
      </c>
      <c r="O126" s="7"/>
      <c r="P126" s="25"/>
      <c r="Q126" s="12" t="str">
        <f>+N126</f>
        <v>L</v>
      </c>
      <c r="R126" s="7"/>
      <c r="S126" s="7"/>
      <c r="T126" s="7"/>
      <c r="U126" s="7" t="s">
        <v>2</v>
      </c>
      <c r="V126" s="7"/>
      <c r="W126" s="7"/>
      <c r="X126" s="7"/>
      <c r="Y126" s="7"/>
      <c r="Z126" s="6"/>
      <c r="AA126" s="7" t="s">
        <v>398</v>
      </c>
      <c r="AB126" s="7"/>
      <c r="AC126" s="7"/>
      <c r="AD126" s="7"/>
      <c r="AE126" s="49">
        <f>0.974*$AD$2*$AC$7</f>
        <v>13.149</v>
      </c>
      <c r="AF126" s="49"/>
      <c r="AG126" s="49"/>
      <c r="AH126" s="6"/>
      <c r="AI126" s="21" t="s">
        <v>409</v>
      </c>
      <c r="AJ126" s="7"/>
      <c r="AK126" s="7"/>
      <c r="AL126" s="7"/>
      <c r="AM126" s="49">
        <f>0.96*$AL$2</f>
        <v>30.72</v>
      </c>
      <c r="AN126" s="49"/>
      <c r="AO126" s="50"/>
      <c r="AP126" s="6"/>
      <c r="AQ126" s="7"/>
      <c r="AR126" s="7"/>
      <c r="AS126" s="21" t="s">
        <v>420</v>
      </c>
      <c r="AT126" s="7"/>
      <c r="AU126" s="7"/>
      <c r="AV126" s="7"/>
      <c r="AW126" s="49">
        <f>1.93*$AT$2</f>
        <v>28.95</v>
      </c>
      <c r="AX126" s="49"/>
      <c r="AY126" s="50"/>
      <c r="AZ126" s="6"/>
      <c r="BA126" s="21" t="s">
        <v>431</v>
      </c>
      <c r="BB126" s="7"/>
      <c r="BC126" s="7"/>
      <c r="BD126" s="7"/>
      <c r="BE126" s="49">
        <f>0.968*$BE$10</f>
        <v>5.24172</v>
      </c>
      <c r="BF126" s="49"/>
      <c r="BG126" s="50"/>
      <c r="BH126" s="7"/>
      <c r="BI126" s="21" t="s">
        <v>431</v>
      </c>
      <c r="BJ126" s="7"/>
      <c r="BK126" s="7"/>
      <c r="BL126" s="7"/>
      <c r="BM126" s="49">
        <f>0.968*$BM$10</f>
        <v>6.541259999999999</v>
      </c>
      <c r="BN126" s="49"/>
      <c r="BO126" s="50"/>
      <c r="BP126" s="7"/>
      <c r="BQ126" s="21" t="s">
        <v>446</v>
      </c>
      <c r="BR126" s="7"/>
      <c r="BS126" s="7"/>
      <c r="BT126" s="7"/>
      <c r="BU126" s="49">
        <f>0.969*$BU$10</f>
        <v>7.9225439999999985</v>
      </c>
      <c r="BV126" s="49"/>
      <c r="BW126" s="50"/>
    </row>
    <row r="127" spans="1:75" ht="11.25">
      <c r="A127" s="58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 t="s">
        <v>387</v>
      </c>
      <c r="V127" s="7"/>
      <c r="W127" s="7"/>
      <c r="X127" s="7"/>
      <c r="Y127" s="7"/>
      <c r="Z127" s="6"/>
      <c r="AA127" s="21" t="s">
        <v>399</v>
      </c>
      <c r="AB127" s="7"/>
      <c r="AC127" s="7"/>
      <c r="AD127" s="7"/>
      <c r="AE127" s="49">
        <f>-0.605*$AD$2*$AC$7</f>
        <v>-8.1675</v>
      </c>
      <c r="AF127" s="49"/>
      <c r="AG127" s="49"/>
      <c r="AH127" s="6"/>
      <c r="AI127" s="21" t="s">
        <v>410</v>
      </c>
      <c r="AJ127" s="7"/>
      <c r="AK127" s="7"/>
      <c r="AL127" s="7"/>
      <c r="AM127" s="49">
        <f>-0.658*$AL$2</f>
        <v>-21.056</v>
      </c>
      <c r="AN127" s="49"/>
      <c r="AO127" s="50"/>
      <c r="AP127" s="6"/>
      <c r="AQ127" s="7"/>
      <c r="AR127" s="7"/>
      <c r="AS127" s="21" t="s">
        <v>421</v>
      </c>
      <c r="AT127" s="7"/>
      <c r="AU127" s="7"/>
      <c r="AV127" s="7"/>
      <c r="AW127" s="49">
        <f>-1.281*$AT$2</f>
        <v>-19.215</v>
      </c>
      <c r="AX127" s="49"/>
      <c r="AY127" s="50"/>
      <c r="AZ127" s="6"/>
      <c r="BA127" s="21" t="s">
        <v>432</v>
      </c>
      <c r="BB127" s="7"/>
      <c r="BC127" s="7"/>
      <c r="BD127" s="7"/>
      <c r="BE127" s="49">
        <f>-0.631*$BE$10</f>
        <v>-3.416865</v>
      </c>
      <c r="BF127" s="49"/>
      <c r="BG127" s="50"/>
      <c r="BH127" s="7"/>
      <c r="BI127" s="21" t="s">
        <v>432</v>
      </c>
      <c r="BJ127" s="7"/>
      <c r="BK127" s="7"/>
      <c r="BL127" s="7"/>
      <c r="BM127" s="49">
        <f>-0.631*$BM$10</f>
        <v>-4.2639825</v>
      </c>
      <c r="BN127" s="49"/>
      <c r="BO127" s="50"/>
      <c r="BP127" s="7"/>
      <c r="BQ127" s="21" t="s">
        <v>447</v>
      </c>
      <c r="BR127" s="7"/>
      <c r="BS127" s="7"/>
      <c r="BT127" s="7"/>
      <c r="BU127" s="49">
        <f>-0.627*$BU$10</f>
        <v>-5.126351999999999</v>
      </c>
      <c r="BV127" s="49"/>
      <c r="BW127" s="50"/>
    </row>
    <row r="128" spans="1:75" ht="11.25">
      <c r="A128" s="58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 t="s">
        <v>388</v>
      </c>
      <c r="V128" s="7"/>
      <c r="W128" s="7"/>
      <c r="X128" s="7"/>
      <c r="Y128" s="7"/>
      <c r="Z128" s="6"/>
      <c r="AA128" s="7" t="s">
        <v>400</v>
      </c>
      <c r="AB128" s="7"/>
      <c r="AC128" s="7"/>
      <c r="AD128" s="7"/>
      <c r="AE128" s="49">
        <f>0.526*$AD$2*$AC$7</f>
        <v>7.101</v>
      </c>
      <c r="AF128" s="49"/>
      <c r="AG128" s="49"/>
      <c r="AH128" s="6"/>
      <c r="AI128" s="21" t="s">
        <v>411</v>
      </c>
      <c r="AJ128" s="7"/>
      <c r="AK128" s="7"/>
      <c r="AL128" s="7"/>
      <c r="AM128" s="49">
        <f>0.54*$AL$2</f>
        <v>17.28</v>
      </c>
      <c r="AN128" s="49"/>
      <c r="AO128" s="50"/>
      <c r="AP128" s="6"/>
      <c r="AQ128" s="7"/>
      <c r="AR128" s="7"/>
      <c r="AS128" s="21" t="s">
        <v>422</v>
      </c>
      <c r="AT128" s="7"/>
      <c r="AU128" s="7"/>
      <c r="AV128" s="7"/>
      <c r="AW128" s="49">
        <f>1.07*$AT$2</f>
        <v>16.05</v>
      </c>
      <c r="AX128" s="49"/>
      <c r="AY128" s="50"/>
      <c r="AZ128" s="6"/>
      <c r="BA128" s="21" t="s">
        <v>433</v>
      </c>
      <c r="BB128" s="7"/>
      <c r="BC128" s="7"/>
      <c r="BD128" s="7"/>
      <c r="BE128" s="49">
        <f>0.532*$BE$10</f>
        <v>2.88078</v>
      </c>
      <c r="BF128" s="49"/>
      <c r="BG128" s="50"/>
      <c r="BH128" s="7"/>
      <c r="BI128" s="21" t="s">
        <v>433</v>
      </c>
      <c r="BJ128" s="7"/>
      <c r="BK128" s="7"/>
      <c r="BL128" s="7"/>
      <c r="BM128" s="49">
        <f>0.532*$BM$10</f>
        <v>3.5949899999999997</v>
      </c>
      <c r="BN128" s="49"/>
      <c r="BO128" s="50"/>
      <c r="BP128" s="7"/>
      <c r="BQ128" s="21" t="s">
        <v>673</v>
      </c>
      <c r="BR128" s="7"/>
      <c r="BS128" s="7"/>
      <c r="BT128" s="7"/>
      <c r="BU128" s="49">
        <f>0.531*$BU$10</f>
        <v>4.341455999999999</v>
      </c>
      <c r="BV128" s="49"/>
      <c r="BW128" s="50"/>
    </row>
    <row r="129" spans="1:75" ht="11.25">
      <c r="A129" s="5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 t="s">
        <v>389</v>
      </c>
      <c r="V129" s="7"/>
      <c r="W129" s="7"/>
      <c r="X129" s="7"/>
      <c r="Y129" s="7"/>
      <c r="Z129" s="6"/>
      <c r="AA129" s="21" t="s">
        <v>401</v>
      </c>
      <c r="AB129" s="7"/>
      <c r="AC129" s="7"/>
      <c r="AD129" s="7"/>
      <c r="AE129" s="49">
        <f>-0.474*$AD$2*$AC$7</f>
        <v>-6.399</v>
      </c>
      <c r="AF129" s="49"/>
      <c r="AG129" s="49"/>
      <c r="AH129" s="6"/>
      <c r="AI129" s="21" t="s">
        <v>412</v>
      </c>
      <c r="AJ129" s="7"/>
      <c r="AK129" s="7"/>
      <c r="AL129" s="7"/>
      <c r="AM129" s="49">
        <f>-0.46*$AL$2</f>
        <v>-14.72</v>
      </c>
      <c r="AN129" s="49"/>
      <c r="AO129" s="50"/>
      <c r="AP129" s="6"/>
      <c r="AQ129" s="7"/>
      <c r="AR129" s="7"/>
      <c r="AS129" s="21" t="s">
        <v>423</v>
      </c>
      <c r="AT129" s="7"/>
      <c r="AU129" s="7"/>
      <c r="AV129" s="7"/>
      <c r="AW129" s="49">
        <f>-0.93*$AT$2</f>
        <v>-13.950000000000001</v>
      </c>
      <c r="AX129" s="49"/>
      <c r="AY129" s="50"/>
      <c r="AZ129" s="6"/>
      <c r="BA129" s="21" t="s">
        <v>434</v>
      </c>
      <c r="BB129" s="7"/>
      <c r="BC129" s="7"/>
      <c r="BD129" s="7"/>
      <c r="BE129" s="49">
        <f>-0.468*$BE$10</f>
        <v>-2.5342200000000004</v>
      </c>
      <c r="BF129" s="49"/>
      <c r="BG129" s="50"/>
      <c r="BH129" s="7"/>
      <c r="BI129" s="21" t="s">
        <v>434</v>
      </c>
      <c r="BJ129" s="7"/>
      <c r="BK129" s="7"/>
      <c r="BL129" s="7"/>
      <c r="BM129" s="49">
        <f>-0.468*$BM$10</f>
        <v>-3.1625099999999997</v>
      </c>
      <c r="BN129" s="49"/>
      <c r="BO129" s="50"/>
      <c r="BP129" s="7"/>
      <c r="BQ129" s="21" t="s">
        <v>448</v>
      </c>
      <c r="BR129" s="7"/>
      <c r="BS129" s="7"/>
      <c r="BT129" s="7"/>
      <c r="BU129" s="49">
        <f>-0.469*$BU$10</f>
        <v>-3.834543999999999</v>
      </c>
      <c r="BV129" s="49"/>
      <c r="BW129" s="50"/>
    </row>
    <row r="130" spans="1:75" ht="11.25">
      <c r="A130" s="58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 t="s">
        <v>390</v>
      </c>
      <c r="V130" s="7"/>
      <c r="W130" s="7"/>
      <c r="X130" s="7"/>
      <c r="Y130" s="7"/>
      <c r="Z130" s="6"/>
      <c r="AA130" s="7" t="s">
        <v>82</v>
      </c>
      <c r="AB130" s="7"/>
      <c r="AC130" s="7"/>
      <c r="AD130" s="7"/>
      <c r="AE130" s="49">
        <f>0.5*$AD$2*$AC$7</f>
        <v>6.75</v>
      </c>
      <c r="AF130" s="49"/>
      <c r="AG130" s="49"/>
      <c r="AH130" s="6"/>
      <c r="AI130" s="21" t="s">
        <v>89</v>
      </c>
      <c r="AJ130" s="7"/>
      <c r="AK130" s="7"/>
      <c r="AL130" s="7"/>
      <c r="AM130" s="49">
        <f>0.5*$AL$2</f>
        <v>16</v>
      </c>
      <c r="AN130" s="49"/>
      <c r="AO130" s="50"/>
      <c r="AP130" s="6"/>
      <c r="AQ130" s="7"/>
      <c r="AR130" s="7"/>
      <c r="AS130" s="21" t="s">
        <v>96</v>
      </c>
      <c r="AT130" s="7"/>
      <c r="AU130" s="7"/>
      <c r="AV130" s="7"/>
      <c r="AW130" s="49">
        <f>1*$AT$2</f>
        <v>15</v>
      </c>
      <c r="AX130" s="49"/>
      <c r="AY130" s="50"/>
      <c r="AZ130" s="6"/>
      <c r="BA130" s="21" t="s">
        <v>103</v>
      </c>
      <c r="BB130" s="7"/>
      <c r="BC130" s="7"/>
      <c r="BD130" s="7"/>
      <c r="BE130" s="49">
        <f>0.5*$BE$10</f>
        <v>2.7075</v>
      </c>
      <c r="BF130" s="49"/>
      <c r="BG130" s="50"/>
      <c r="BH130" s="7"/>
      <c r="BI130" s="21" t="s">
        <v>103</v>
      </c>
      <c r="BJ130" s="7"/>
      <c r="BK130" s="7"/>
      <c r="BL130" s="7"/>
      <c r="BM130" s="49">
        <f>0.5*$BM$10</f>
        <v>3.3787499999999997</v>
      </c>
      <c r="BN130" s="49"/>
      <c r="BO130" s="50"/>
      <c r="BP130" s="7"/>
      <c r="BQ130" s="21" t="s">
        <v>103</v>
      </c>
      <c r="BR130" s="7"/>
      <c r="BS130" s="7"/>
      <c r="BT130" s="7"/>
      <c r="BU130" s="49">
        <f>0.5*$BU$10</f>
        <v>4.087999999999999</v>
      </c>
      <c r="BV130" s="49"/>
      <c r="BW130" s="50"/>
    </row>
    <row r="131" spans="1:75" ht="11.25">
      <c r="A131" s="58"/>
      <c r="B131" s="6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6"/>
      <c r="AA131" s="7"/>
      <c r="AB131" s="7"/>
      <c r="AC131" s="7"/>
      <c r="AD131" s="7"/>
      <c r="AE131" s="7"/>
      <c r="AF131" s="7"/>
      <c r="AG131" s="7"/>
      <c r="AH131" s="6"/>
      <c r="AI131" s="7"/>
      <c r="AJ131" s="7"/>
      <c r="AK131" s="7"/>
      <c r="AL131" s="7"/>
      <c r="AM131" s="7"/>
      <c r="AN131" s="7"/>
      <c r="AO131" s="8"/>
      <c r="AP131" s="6"/>
      <c r="AQ131" s="7"/>
      <c r="AR131" s="7"/>
      <c r="AS131" s="7"/>
      <c r="AT131" s="7"/>
      <c r="AU131" s="7"/>
      <c r="AV131" s="7"/>
      <c r="AW131" s="7"/>
      <c r="AX131" s="7"/>
      <c r="AY131" s="8"/>
      <c r="AZ131" s="6"/>
      <c r="BA131" s="7"/>
      <c r="BB131" s="7"/>
      <c r="BC131" s="7"/>
      <c r="BD131" s="7"/>
      <c r="BE131" s="7"/>
      <c r="BF131" s="7"/>
      <c r="BG131" s="8"/>
      <c r="BH131" s="7"/>
      <c r="BI131" s="7"/>
      <c r="BJ131" s="7"/>
      <c r="BK131" s="7"/>
      <c r="BL131" s="7"/>
      <c r="BM131" s="7"/>
      <c r="BN131" s="7"/>
      <c r="BO131" s="8"/>
      <c r="BP131" s="7"/>
      <c r="BQ131" s="7"/>
      <c r="BR131" s="7"/>
      <c r="BS131" s="7"/>
      <c r="BT131" s="7"/>
      <c r="BU131" s="7"/>
      <c r="BV131" s="7"/>
      <c r="BW131" s="8"/>
    </row>
    <row r="132" spans="1:75" ht="11.25">
      <c r="A132" s="58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3"/>
      <c r="AA132" s="4"/>
      <c r="AB132" s="4"/>
      <c r="AC132" s="4"/>
      <c r="AD132" s="4"/>
      <c r="AE132" s="4"/>
      <c r="AF132" s="4"/>
      <c r="AG132" s="4"/>
      <c r="AH132" s="3"/>
      <c r="AI132" s="4"/>
      <c r="AJ132" s="4"/>
      <c r="AK132" s="4"/>
      <c r="AL132" s="4"/>
      <c r="AM132" s="4"/>
      <c r="AN132" s="4"/>
      <c r="AO132" s="5"/>
      <c r="AP132" s="3"/>
      <c r="AQ132" s="4"/>
      <c r="AR132" s="4"/>
      <c r="AS132" s="4"/>
      <c r="AT132" s="4"/>
      <c r="AU132" s="4"/>
      <c r="AV132" s="4"/>
      <c r="AW132" s="4"/>
      <c r="AX132" s="4"/>
      <c r="AY132" s="5"/>
      <c r="AZ132" s="3"/>
      <c r="BA132" s="4"/>
      <c r="BB132" s="4"/>
      <c r="BC132" s="4"/>
      <c r="BD132" s="4"/>
      <c r="BE132" s="4"/>
      <c r="BF132" s="4"/>
      <c r="BG132" s="5"/>
      <c r="BH132" s="4"/>
      <c r="BI132" s="4"/>
      <c r="BJ132" s="4"/>
      <c r="BK132" s="4"/>
      <c r="BL132" s="4"/>
      <c r="BM132" s="4"/>
      <c r="BN132" s="4"/>
      <c r="BO132" s="5"/>
      <c r="BP132" s="4"/>
      <c r="BQ132" s="4"/>
      <c r="BR132" s="4"/>
      <c r="BS132" s="4"/>
      <c r="BT132" s="4"/>
      <c r="BU132" s="4"/>
      <c r="BV132" s="4"/>
      <c r="BW132" s="5"/>
    </row>
    <row r="133" spans="1:75" ht="12" thickBot="1">
      <c r="A133" s="58"/>
      <c r="B133" s="6"/>
      <c r="C133" s="7"/>
      <c r="D133" s="23"/>
      <c r="E133" s="23"/>
      <c r="F133" s="48"/>
      <c r="G133" s="34"/>
      <c r="H133" s="34"/>
      <c r="I133" s="34"/>
      <c r="J133" s="23"/>
      <c r="K133" s="23"/>
      <c r="L133" s="23"/>
      <c r="M133" s="34"/>
      <c r="N133" s="34"/>
      <c r="O133" s="34"/>
      <c r="P133" s="39"/>
      <c r="Q133" s="39"/>
      <c r="R133" s="39"/>
      <c r="S133" s="7"/>
      <c r="T133" s="7"/>
      <c r="U133" s="7" t="s">
        <v>43</v>
      </c>
      <c r="V133" s="7"/>
      <c r="W133" s="7"/>
      <c r="X133" s="7"/>
      <c r="Y133" s="7"/>
      <c r="Z133" s="6"/>
      <c r="AA133" s="7" t="s">
        <v>263</v>
      </c>
      <c r="AB133" s="7"/>
      <c r="AC133" s="7"/>
      <c r="AD133" s="7"/>
      <c r="AE133" s="49">
        <f>0.1*$AD$2*$AC$7^2</f>
        <v>6.075000000000001</v>
      </c>
      <c r="AF133" s="49"/>
      <c r="AG133" s="49"/>
      <c r="AH133" s="6"/>
      <c r="AI133" s="21" t="s">
        <v>454</v>
      </c>
      <c r="AJ133" s="7"/>
      <c r="AK133" s="7"/>
      <c r="AL133" s="7"/>
      <c r="AM133" s="49">
        <f>0.211*$AL$2*$AK$8</f>
        <v>27.008</v>
      </c>
      <c r="AN133" s="49"/>
      <c r="AO133" s="50"/>
      <c r="AP133" s="6"/>
      <c r="AQ133" s="21" t="s">
        <v>460</v>
      </c>
      <c r="AR133" s="7"/>
      <c r="AS133" s="7"/>
      <c r="AT133" s="7"/>
      <c r="AU133" s="7"/>
      <c r="AV133" s="7"/>
      <c r="AW133" s="49">
        <f>(0.287/0.24)*$AT$2*$AU$8</f>
        <v>62.78125</v>
      </c>
      <c r="AX133" s="49"/>
      <c r="AY133" s="50"/>
      <c r="AZ133" s="6"/>
      <c r="BA133" s="21" t="s">
        <v>466</v>
      </c>
      <c r="BB133" s="7"/>
      <c r="BC133" s="7"/>
      <c r="BD133" s="7"/>
      <c r="BE133" s="49">
        <f>0.135*$BE$10*$BC$8</f>
        <v>2.0834212500000002</v>
      </c>
      <c r="BF133" s="49"/>
      <c r="BG133" s="50"/>
      <c r="BH133" s="7"/>
      <c r="BI133" s="21" t="s">
        <v>281</v>
      </c>
      <c r="BJ133" s="7"/>
      <c r="BK133" s="7"/>
      <c r="BL133" s="7"/>
      <c r="BM133" s="49">
        <f>0.132*$BM$10*$BK$8</f>
        <v>3.7909574999999998</v>
      </c>
      <c r="BN133" s="49"/>
      <c r="BO133" s="50"/>
      <c r="BP133" s="7"/>
      <c r="BQ133" s="21" t="s">
        <v>58</v>
      </c>
      <c r="BR133" s="7"/>
      <c r="BS133" s="7"/>
      <c r="BT133" s="7"/>
      <c r="BU133" s="49">
        <f>0.126*$BU$10*$BS$8</f>
        <v>3.760142399999999</v>
      </c>
      <c r="BV133" s="49"/>
      <c r="BW133" s="50"/>
    </row>
    <row r="134" spans="1:75" ht="11.25">
      <c r="A134" s="58"/>
      <c r="B134" s="6"/>
      <c r="C134" s="7"/>
      <c r="D134" s="7"/>
      <c r="E134" s="12">
        <v>1</v>
      </c>
      <c r="F134" s="7"/>
      <c r="G134" s="7"/>
      <c r="H134" s="12">
        <v>2</v>
      </c>
      <c r="I134" s="7"/>
      <c r="J134" s="7"/>
      <c r="K134" s="12">
        <v>3</v>
      </c>
      <c r="L134" s="7"/>
      <c r="M134" s="7"/>
      <c r="N134" s="12">
        <v>4</v>
      </c>
      <c r="O134" s="7"/>
      <c r="P134" s="7"/>
      <c r="Q134" s="12">
        <v>5</v>
      </c>
      <c r="R134" s="7"/>
      <c r="S134" s="7"/>
      <c r="T134" s="7"/>
      <c r="U134" s="7" t="s">
        <v>135</v>
      </c>
      <c r="V134" s="7"/>
      <c r="W134" s="7"/>
      <c r="X134" s="7"/>
      <c r="Y134" s="7"/>
      <c r="Z134" s="6"/>
      <c r="AA134" s="40" t="s">
        <v>679</v>
      </c>
      <c r="AB134" s="7"/>
      <c r="AC134" s="7"/>
      <c r="AD134" s="7"/>
      <c r="AE134" s="51"/>
      <c r="AF134" s="51"/>
      <c r="AG134" s="51"/>
      <c r="AH134" s="6"/>
      <c r="AI134" s="21" t="s">
        <v>455</v>
      </c>
      <c r="AJ134" s="7"/>
      <c r="AK134" s="7"/>
      <c r="AL134" s="7"/>
      <c r="AM134" s="49">
        <f>-0.069*$AL$2*$AK$8</f>
        <v>-8.832</v>
      </c>
      <c r="AN134" s="49"/>
      <c r="AO134" s="50"/>
      <c r="AP134" s="6"/>
      <c r="AQ134" s="21" t="s">
        <v>461</v>
      </c>
      <c r="AR134" s="7"/>
      <c r="AS134" s="7"/>
      <c r="AT134" s="7"/>
      <c r="AU134" s="7"/>
      <c r="AV134" s="7"/>
      <c r="AW134" s="49">
        <f>-(0.129/0.117)*$AT$2*$AU$8</f>
        <v>-57.88461538461538</v>
      </c>
      <c r="AX134" s="49"/>
      <c r="AY134" s="50"/>
      <c r="AZ134" s="6"/>
      <c r="BA134" s="21" t="s">
        <v>467</v>
      </c>
      <c r="BB134" s="7"/>
      <c r="BC134" s="7"/>
      <c r="BD134" s="7"/>
      <c r="BE134" s="49">
        <f>-0.058*$BE$10*$BC$8</f>
        <v>-0.8950995</v>
      </c>
      <c r="BF134" s="49"/>
      <c r="BG134" s="50"/>
      <c r="BH134" s="7"/>
      <c r="BI134" s="21" t="s">
        <v>467</v>
      </c>
      <c r="BJ134" s="7"/>
      <c r="BK134" s="7"/>
      <c r="BL134" s="7"/>
      <c r="BM134" s="49">
        <f>-0.058*$BM$10*$BK$8</f>
        <v>-1.66572375</v>
      </c>
      <c r="BN134" s="49"/>
      <c r="BO134" s="50"/>
      <c r="BP134" s="7"/>
      <c r="BQ134" s="21" t="s">
        <v>277</v>
      </c>
      <c r="BR134" s="7"/>
      <c r="BS134" s="7"/>
      <c r="BT134" s="7"/>
      <c r="BU134" s="49">
        <f>-0.056*$BU$10*$BS$8</f>
        <v>-1.6711743999999997</v>
      </c>
      <c r="BV134" s="49"/>
      <c r="BW134" s="50"/>
    </row>
    <row r="135" spans="1:75" ht="11.25">
      <c r="A135" s="58"/>
      <c r="B135" s="6"/>
      <c r="C135" s="51" t="s">
        <v>0</v>
      </c>
      <c r="D135" s="51"/>
      <c r="E135" s="12"/>
      <c r="F135" s="51" t="s">
        <v>1</v>
      </c>
      <c r="G135" s="51"/>
      <c r="H135" s="12"/>
      <c r="I135" s="51" t="s">
        <v>2</v>
      </c>
      <c r="J135" s="51"/>
      <c r="K135" s="12"/>
      <c r="L135" s="51" t="s">
        <v>72</v>
      </c>
      <c r="M135" s="51"/>
      <c r="N135" s="12"/>
      <c r="O135" s="51" t="s">
        <v>203</v>
      </c>
      <c r="P135" s="51"/>
      <c r="Q135" s="12"/>
      <c r="R135" s="51" t="s">
        <v>385</v>
      </c>
      <c r="S135" s="51"/>
      <c r="T135" s="7"/>
      <c r="U135" s="7" t="s">
        <v>449</v>
      </c>
      <c r="V135" s="7"/>
      <c r="W135" s="7"/>
      <c r="X135" s="7"/>
      <c r="Y135" s="7"/>
      <c r="Z135" s="6"/>
      <c r="AA135" s="7" t="s">
        <v>450</v>
      </c>
      <c r="AB135" s="7"/>
      <c r="AC135" s="7"/>
      <c r="AD135" s="7"/>
      <c r="AE135" s="49">
        <f>0.086*$AD$2*$AC$7^2</f>
        <v>5.2245</v>
      </c>
      <c r="AF135" s="49"/>
      <c r="AG135" s="49"/>
      <c r="AH135" s="6"/>
      <c r="AI135" s="21" t="s">
        <v>456</v>
      </c>
      <c r="AJ135" s="7"/>
      <c r="AK135" s="7"/>
      <c r="AL135" s="7"/>
      <c r="AM135" s="49">
        <f>0.191*$AL$2*$AK$8</f>
        <v>24.448</v>
      </c>
      <c r="AN135" s="49"/>
      <c r="AO135" s="50"/>
      <c r="AP135" s="6"/>
      <c r="AQ135" s="7"/>
      <c r="AR135" s="7"/>
      <c r="AS135" s="21" t="s">
        <v>462</v>
      </c>
      <c r="AT135" s="7"/>
      <c r="AU135" s="7"/>
      <c r="AV135" s="7"/>
      <c r="AW135" s="49">
        <f>0.228*$AT$2*$AU$8</f>
        <v>11.969999999999999</v>
      </c>
      <c r="AX135" s="49"/>
      <c r="AY135" s="50"/>
      <c r="AZ135" s="6"/>
      <c r="BA135" s="21" t="s">
        <v>468</v>
      </c>
      <c r="BB135" s="7"/>
      <c r="BC135" s="7"/>
      <c r="BD135" s="7"/>
      <c r="BE135" s="49">
        <f>0.117*$BE$10*$BC$8</f>
        <v>1.8056317500000003</v>
      </c>
      <c r="BF135" s="49"/>
      <c r="BG135" s="50"/>
      <c r="BH135" s="7"/>
      <c r="BI135" s="21" t="s">
        <v>471</v>
      </c>
      <c r="BJ135" s="7"/>
      <c r="BK135" s="7"/>
      <c r="BL135" s="7"/>
      <c r="BM135" s="49">
        <f>0.114*$BM$10*$BK$8</f>
        <v>3.27400875</v>
      </c>
      <c r="BN135" s="49"/>
      <c r="BO135" s="50"/>
      <c r="BP135" s="7"/>
      <c r="BQ135" s="21" t="s">
        <v>472</v>
      </c>
      <c r="BR135" s="7"/>
      <c r="BS135" s="7"/>
      <c r="BT135" s="7"/>
      <c r="BU135" s="49">
        <f>0.109*$BU$10*$BS$8</f>
        <v>3.2528215999999994</v>
      </c>
      <c r="BV135" s="49"/>
      <c r="BW135" s="50"/>
    </row>
    <row r="136" spans="1:75" ht="11.25">
      <c r="A136" s="58"/>
      <c r="B136" s="6"/>
      <c r="C136" s="7"/>
      <c r="D136" s="24"/>
      <c r="E136" s="24" t="s">
        <v>20</v>
      </c>
      <c r="F136" s="7"/>
      <c r="G136" s="24"/>
      <c r="H136" s="24" t="s">
        <v>20</v>
      </c>
      <c r="I136" s="7"/>
      <c r="J136" s="24"/>
      <c r="K136" s="24" t="s">
        <v>20</v>
      </c>
      <c r="L136" s="7"/>
      <c r="M136" s="24"/>
      <c r="N136" s="24" t="s">
        <v>20</v>
      </c>
      <c r="O136" s="7"/>
      <c r="P136" s="25"/>
      <c r="Q136" s="12" t="str">
        <f>+N136</f>
        <v>L</v>
      </c>
      <c r="R136" s="7"/>
      <c r="S136" s="7"/>
      <c r="T136" s="7"/>
      <c r="U136" s="7" t="s">
        <v>44</v>
      </c>
      <c r="V136" s="7"/>
      <c r="W136" s="7"/>
      <c r="X136" s="7"/>
      <c r="Y136" s="7"/>
      <c r="Z136" s="6"/>
      <c r="AA136" s="21" t="s">
        <v>451</v>
      </c>
      <c r="AB136" s="7"/>
      <c r="AC136" s="7"/>
      <c r="AD136" s="7"/>
      <c r="AE136" s="49">
        <f>-0.053*$AD$2*$AC$7^2</f>
        <v>-3.21975</v>
      </c>
      <c r="AF136" s="49"/>
      <c r="AG136" s="49"/>
      <c r="AH136" s="6"/>
      <c r="AI136" s="21" t="s">
        <v>457</v>
      </c>
      <c r="AJ136" s="7"/>
      <c r="AK136" s="7"/>
      <c r="AL136" s="7"/>
      <c r="AM136" s="49">
        <f>-0.079*$AL$2*$AK$8</f>
        <v>-10.112</v>
      </c>
      <c r="AN136" s="49"/>
      <c r="AO136" s="50"/>
      <c r="AP136" s="6"/>
      <c r="AQ136" s="7"/>
      <c r="AR136" s="7"/>
      <c r="AS136" s="21" t="s">
        <v>463</v>
      </c>
      <c r="AT136" s="7"/>
      <c r="AU136" s="7"/>
      <c r="AV136" s="7"/>
      <c r="AW136" s="49">
        <f>-0.14*$AT$2*$AU$8</f>
        <v>-7.3500000000000005</v>
      </c>
      <c r="AX136" s="49"/>
      <c r="AY136" s="50"/>
      <c r="AZ136" s="6"/>
      <c r="BA136" s="21" t="s">
        <v>345</v>
      </c>
      <c r="BB136" s="7"/>
      <c r="BC136" s="7"/>
      <c r="BD136" s="7"/>
      <c r="BE136" s="49">
        <f>-0.066*$BE$10*$BC$8</f>
        <v>-1.0185615000000001</v>
      </c>
      <c r="BF136" s="49"/>
      <c r="BG136" s="50"/>
      <c r="BH136" s="7"/>
      <c r="BI136" s="21" t="s">
        <v>345</v>
      </c>
      <c r="BJ136" s="7"/>
      <c r="BK136" s="7"/>
      <c r="BL136" s="7"/>
      <c r="BM136" s="49">
        <f>-0.066*$BM$10*$BK$8</f>
        <v>-1.8954787499999999</v>
      </c>
      <c r="BN136" s="49"/>
      <c r="BO136" s="50"/>
      <c r="BP136" s="7"/>
      <c r="BQ136" s="21" t="s">
        <v>351</v>
      </c>
      <c r="BR136" s="7"/>
      <c r="BS136" s="7"/>
      <c r="BT136" s="7"/>
      <c r="BU136" s="49">
        <f>-0.064*$BU$10*$BS$8</f>
        <v>-1.9099135999999999</v>
      </c>
      <c r="BV136" s="49"/>
      <c r="BW136" s="50"/>
    </row>
    <row r="137" spans="1:75" ht="11.25">
      <c r="A137" s="58"/>
      <c r="B137" s="6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 t="s">
        <v>151</v>
      </c>
      <c r="V137" s="7"/>
      <c r="W137" s="7"/>
      <c r="X137" s="7"/>
      <c r="Y137" s="7"/>
      <c r="Z137" s="6"/>
      <c r="AA137" s="21" t="s">
        <v>452</v>
      </c>
      <c r="AB137" s="7"/>
      <c r="AC137" s="7"/>
      <c r="AD137" s="7"/>
      <c r="AE137" s="49">
        <f>-0.039*$AD$2*$AC$7^2</f>
        <v>-2.36925</v>
      </c>
      <c r="AF137" s="49"/>
      <c r="AG137" s="49"/>
      <c r="AH137" s="6"/>
      <c r="AI137" s="21" t="s">
        <v>458</v>
      </c>
      <c r="AJ137" s="7"/>
      <c r="AK137" s="7"/>
      <c r="AL137" s="7"/>
      <c r="AM137" s="49">
        <f>-0.059*$AL$2*$AK$8</f>
        <v>-7.552</v>
      </c>
      <c r="AN137" s="49"/>
      <c r="AO137" s="50"/>
      <c r="AP137" s="6"/>
      <c r="AQ137" s="7"/>
      <c r="AR137" s="7"/>
      <c r="AS137" s="21" t="s">
        <v>464</v>
      </c>
      <c r="AT137" s="7"/>
      <c r="AU137" s="7"/>
      <c r="AV137" s="7"/>
      <c r="AW137" s="49">
        <f>-0.105*$AT$2*$AU$8</f>
        <v>-5.5125</v>
      </c>
      <c r="AX137" s="49"/>
      <c r="AY137" s="50"/>
      <c r="AZ137" s="6"/>
      <c r="BA137" s="21" t="s">
        <v>469</v>
      </c>
      <c r="BB137" s="7"/>
      <c r="BC137" s="7"/>
      <c r="BD137" s="7"/>
      <c r="BE137" s="49">
        <f>-0.05*$BE$10*$BC$8</f>
        <v>-0.7716375</v>
      </c>
      <c r="BF137" s="49"/>
      <c r="BG137" s="50"/>
      <c r="BH137" s="7"/>
      <c r="BI137" s="21" t="s">
        <v>469</v>
      </c>
      <c r="BJ137" s="7"/>
      <c r="BK137" s="7"/>
      <c r="BL137" s="7"/>
      <c r="BM137" s="49">
        <f>-0.05*$BM$10*$BK$8</f>
        <v>-1.43596875</v>
      </c>
      <c r="BN137" s="49"/>
      <c r="BO137" s="50"/>
      <c r="BP137" s="7"/>
      <c r="BQ137" s="21" t="s">
        <v>473</v>
      </c>
      <c r="BR137" s="7"/>
      <c r="BS137" s="7"/>
      <c r="BT137" s="7"/>
      <c r="BU137" s="49">
        <f>-0.048*$BU$10*$BS$8</f>
        <v>-1.4324351999999996</v>
      </c>
      <c r="BV137" s="49"/>
      <c r="BW137" s="50"/>
    </row>
    <row r="138" spans="1:75" ht="11.25">
      <c r="A138" s="58"/>
      <c r="B138" s="6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 t="s">
        <v>45</v>
      </c>
      <c r="V138" s="7"/>
      <c r="W138" s="7"/>
      <c r="X138" s="7"/>
      <c r="Y138" s="7"/>
      <c r="Z138" s="6"/>
      <c r="AA138" s="7" t="s">
        <v>453</v>
      </c>
      <c r="AB138" s="7"/>
      <c r="AC138" s="7"/>
      <c r="AD138" s="7"/>
      <c r="AE138" s="49">
        <f>0.447*$AD$2*$AC$7</f>
        <v>6.0344999999999995</v>
      </c>
      <c r="AF138" s="49"/>
      <c r="AG138" s="49"/>
      <c r="AH138" s="6"/>
      <c r="AI138" s="21" t="s">
        <v>459</v>
      </c>
      <c r="AJ138" s="7"/>
      <c r="AK138" s="7"/>
      <c r="AL138" s="7"/>
      <c r="AM138" s="49">
        <f>0.421*$AL$2</f>
        <v>13.472</v>
      </c>
      <c r="AN138" s="49"/>
      <c r="AO138" s="50"/>
      <c r="AP138" s="6"/>
      <c r="AQ138" s="7"/>
      <c r="AR138" s="7"/>
      <c r="AS138" s="21" t="s">
        <v>465</v>
      </c>
      <c r="AT138" s="7"/>
      <c r="AU138" s="7"/>
      <c r="AV138" s="7"/>
      <c r="AW138" s="49">
        <f>0.86*$AT$2</f>
        <v>12.9</v>
      </c>
      <c r="AX138" s="49"/>
      <c r="AY138" s="50"/>
      <c r="AZ138" s="6"/>
      <c r="BA138" s="21" t="s">
        <v>470</v>
      </c>
      <c r="BB138" s="7"/>
      <c r="BC138" s="7"/>
      <c r="BD138" s="7"/>
      <c r="BE138" s="49">
        <f>0.434*$BE$10</f>
        <v>2.35011</v>
      </c>
      <c r="BF138" s="49"/>
      <c r="BG138" s="50"/>
      <c r="BH138" s="7"/>
      <c r="BI138" s="21" t="s">
        <v>470</v>
      </c>
      <c r="BJ138" s="7"/>
      <c r="BK138" s="7"/>
      <c r="BL138" s="7"/>
      <c r="BM138" s="49">
        <f>0.434*$BM$10</f>
        <v>2.932755</v>
      </c>
      <c r="BN138" s="49"/>
      <c r="BO138" s="50"/>
      <c r="BP138" s="7"/>
      <c r="BQ138" s="21" t="s">
        <v>474</v>
      </c>
      <c r="BR138" s="7"/>
      <c r="BS138" s="7"/>
      <c r="BT138" s="7"/>
      <c r="BU138" s="49">
        <f>0.436*$BU$10</f>
        <v>3.5647359999999995</v>
      </c>
      <c r="BV138" s="49"/>
      <c r="BW138" s="50"/>
    </row>
    <row r="139" spans="1:75" ht="11.25">
      <c r="A139" s="58"/>
      <c r="B139" s="2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6"/>
      <c r="AA139" s="27"/>
      <c r="AB139" s="27"/>
      <c r="AC139" s="27"/>
      <c r="AD139" s="27"/>
      <c r="AE139" s="27"/>
      <c r="AF139" s="27"/>
      <c r="AG139" s="27"/>
      <c r="AH139" s="26"/>
      <c r="AI139" s="27"/>
      <c r="AJ139" s="27"/>
      <c r="AK139" s="27"/>
      <c r="AL139" s="27"/>
      <c r="AM139" s="27"/>
      <c r="AN139" s="27"/>
      <c r="AO139" s="44"/>
      <c r="AP139" s="26"/>
      <c r="AQ139" s="27"/>
      <c r="AR139" s="27"/>
      <c r="AS139" s="27"/>
      <c r="AT139" s="27"/>
      <c r="AU139" s="27"/>
      <c r="AV139" s="27"/>
      <c r="AW139" s="27"/>
      <c r="AX139" s="27"/>
      <c r="AY139" s="44"/>
      <c r="AZ139" s="26"/>
      <c r="BA139" s="27"/>
      <c r="BB139" s="27"/>
      <c r="BC139" s="27"/>
      <c r="BD139" s="27"/>
      <c r="BE139" s="27"/>
      <c r="BF139" s="27"/>
      <c r="BG139" s="44"/>
      <c r="BH139" s="27"/>
      <c r="BI139" s="27"/>
      <c r="BJ139" s="27"/>
      <c r="BK139" s="27"/>
      <c r="BL139" s="27"/>
      <c r="BM139" s="27"/>
      <c r="BN139" s="27"/>
      <c r="BO139" s="44"/>
      <c r="BP139" s="27"/>
      <c r="BQ139" s="27"/>
      <c r="BR139" s="27"/>
      <c r="BS139" s="27"/>
      <c r="BT139" s="27"/>
      <c r="BU139" s="27"/>
      <c r="BV139" s="27"/>
      <c r="BW139" s="44"/>
    </row>
    <row r="140" spans="1:75" ht="11.25">
      <c r="A140" s="58"/>
      <c r="B140" s="6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6"/>
      <c r="AA140" s="7"/>
      <c r="AB140" s="7"/>
      <c r="AC140" s="7"/>
      <c r="AD140" s="7"/>
      <c r="AE140" s="7"/>
      <c r="AF140" s="7"/>
      <c r="AG140" s="7"/>
      <c r="AH140" s="6"/>
      <c r="AI140" s="7"/>
      <c r="AJ140" s="7"/>
      <c r="AK140" s="7"/>
      <c r="AL140" s="7"/>
      <c r="AM140" s="7"/>
      <c r="AN140" s="7"/>
      <c r="AO140" s="8"/>
      <c r="AP140" s="6"/>
      <c r="AQ140" s="7"/>
      <c r="AR140" s="7"/>
      <c r="AS140" s="7"/>
      <c r="AT140" s="7"/>
      <c r="AU140" s="7"/>
      <c r="AV140" s="7"/>
      <c r="AW140" s="7"/>
      <c r="AX140" s="7"/>
      <c r="AY140" s="8"/>
      <c r="AZ140" s="6"/>
      <c r="BA140" s="7"/>
      <c r="BB140" s="7"/>
      <c r="BC140" s="7"/>
      <c r="BD140" s="7"/>
      <c r="BE140" s="7"/>
      <c r="BF140" s="7"/>
      <c r="BG140" s="8"/>
      <c r="BH140" s="7"/>
      <c r="BI140" s="7"/>
      <c r="BJ140" s="7"/>
      <c r="BK140" s="7"/>
      <c r="BL140" s="7"/>
      <c r="BM140" s="7"/>
      <c r="BN140" s="7"/>
      <c r="BO140" s="8"/>
      <c r="BP140" s="7"/>
      <c r="BQ140" s="7"/>
      <c r="BR140" s="7"/>
      <c r="BS140" s="7"/>
      <c r="BT140" s="7"/>
      <c r="BU140" s="7"/>
      <c r="BV140" s="7"/>
      <c r="BW140" s="8"/>
    </row>
    <row r="141" spans="1:75" ht="12" thickBot="1">
      <c r="A141" s="58"/>
      <c r="B141" s="6"/>
      <c r="C141" s="7"/>
      <c r="D141" s="34"/>
      <c r="E141" s="34"/>
      <c r="F141" s="34"/>
      <c r="G141" s="23"/>
      <c r="H141" s="23"/>
      <c r="I141" s="48"/>
      <c r="J141" s="34"/>
      <c r="K141" s="34"/>
      <c r="L141" s="34"/>
      <c r="M141" s="23"/>
      <c r="N141" s="23"/>
      <c r="O141" s="23"/>
      <c r="P141" s="34"/>
      <c r="Q141" s="34"/>
      <c r="R141" s="34"/>
      <c r="S141" s="7"/>
      <c r="T141" s="7"/>
      <c r="U141" s="7" t="s">
        <v>62</v>
      </c>
      <c r="V141" s="7"/>
      <c r="W141" s="7"/>
      <c r="X141" s="7"/>
      <c r="Y141" s="7"/>
      <c r="Z141" s="6"/>
      <c r="AA141" s="40" t="s">
        <v>679</v>
      </c>
      <c r="AB141" s="7"/>
      <c r="AC141" s="7"/>
      <c r="AD141" s="7"/>
      <c r="AE141" s="7"/>
      <c r="AF141" s="7"/>
      <c r="AG141" s="7"/>
      <c r="AH141" s="6"/>
      <c r="AI141" s="21" t="s">
        <v>478</v>
      </c>
      <c r="AJ141" s="7"/>
      <c r="AK141" s="7"/>
      <c r="AL141" s="7"/>
      <c r="AM141" s="49">
        <f>-0.039*$AL$2*$AK$8</f>
        <v>-4.992</v>
      </c>
      <c r="AN141" s="49"/>
      <c r="AO141" s="50"/>
      <c r="AP141" s="6"/>
      <c r="AQ141" s="21" t="s">
        <v>481</v>
      </c>
      <c r="AR141" s="7"/>
      <c r="AS141" s="7"/>
      <c r="AT141" s="7"/>
      <c r="AU141" s="7"/>
      <c r="AV141" s="7"/>
      <c r="AW141" s="49">
        <f>-(0.047/0.094)*$AT$2*$AU$8</f>
        <v>-26.25</v>
      </c>
      <c r="AX141" s="49"/>
      <c r="AY141" s="50"/>
      <c r="AZ141" s="6"/>
      <c r="BA141" s="21" t="s">
        <v>293</v>
      </c>
      <c r="BB141" s="7"/>
      <c r="BC141" s="7"/>
      <c r="BD141" s="7"/>
      <c r="BE141" s="49">
        <f>-0.03*$BE$10*$BC$8</f>
        <v>-0.46298249999999996</v>
      </c>
      <c r="BF141" s="49"/>
      <c r="BG141" s="50"/>
      <c r="BH141" s="7"/>
      <c r="BI141" s="21" t="s">
        <v>293</v>
      </c>
      <c r="BJ141" s="7"/>
      <c r="BK141" s="7"/>
      <c r="BL141" s="7"/>
      <c r="BM141" s="49">
        <f>-0.03*$BM$10*$BK$8</f>
        <v>-0.8615812499999999</v>
      </c>
      <c r="BN141" s="49"/>
      <c r="BO141" s="50"/>
      <c r="BP141" s="7"/>
      <c r="BQ141" s="21" t="s">
        <v>296</v>
      </c>
      <c r="BR141" s="7"/>
      <c r="BS141" s="7"/>
      <c r="BT141" s="7"/>
      <c r="BU141" s="49">
        <f>-0.029*$BU$10*$BS$8</f>
        <v>-0.8654295999999998</v>
      </c>
      <c r="BV141" s="49"/>
      <c r="BW141" s="50"/>
    </row>
    <row r="142" spans="1:75" ht="11.25">
      <c r="A142" s="58"/>
      <c r="B142" s="6"/>
      <c r="C142" s="7"/>
      <c r="D142" s="7"/>
      <c r="E142" s="12">
        <v>1</v>
      </c>
      <c r="F142" s="7"/>
      <c r="G142" s="7"/>
      <c r="H142" s="12">
        <v>2</v>
      </c>
      <c r="I142" s="7"/>
      <c r="J142" s="7"/>
      <c r="K142" s="12">
        <v>3</v>
      </c>
      <c r="L142" s="7"/>
      <c r="M142" s="7"/>
      <c r="N142" s="12">
        <v>4</v>
      </c>
      <c r="O142" s="7"/>
      <c r="P142" s="7"/>
      <c r="Q142" s="12">
        <v>5</v>
      </c>
      <c r="R142" s="7"/>
      <c r="S142" s="7"/>
      <c r="T142" s="7"/>
      <c r="U142" s="7" t="s">
        <v>116</v>
      </c>
      <c r="V142" s="7"/>
      <c r="W142" s="7"/>
      <c r="X142" s="7"/>
      <c r="Y142" s="7"/>
      <c r="Z142" s="6"/>
      <c r="AA142" s="7" t="s">
        <v>476</v>
      </c>
      <c r="AB142" s="7"/>
      <c r="AC142" s="7"/>
      <c r="AD142" s="7"/>
      <c r="AE142" s="49">
        <f>0.079*$AD$2*$AC$7^2</f>
        <v>4.79925</v>
      </c>
      <c r="AF142" s="49"/>
      <c r="AG142" s="49"/>
      <c r="AH142" s="6"/>
      <c r="AI142" s="21" t="s">
        <v>479</v>
      </c>
      <c r="AJ142" s="7"/>
      <c r="AK142" s="7"/>
      <c r="AL142" s="7"/>
      <c r="AM142" s="49">
        <f>0.181*$AL$2*$AK$8</f>
        <v>23.168</v>
      </c>
      <c r="AN142" s="49"/>
      <c r="AO142" s="50"/>
      <c r="AP142" s="6"/>
      <c r="AQ142" s="21" t="s">
        <v>482</v>
      </c>
      <c r="AR142" s="7"/>
      <c r="AS142" s="7"/>
      <c r="AT142" s="7"/>
      <c r="AU142" s="7"/>
      <c r="AV142" s="7"/>
      <c r="AW142" s="49">
        <f>(0.205/0.216)*$AT$2*$AU$8</f>
        <v>49.826388888888886</v>
      </c>
      <c r="AX142" s="49"/>
      <c r="AY142" s="50"/>
      <c r="AZ142" s="6"/>
      <c r="BA142" s="21" t="s">
        <v>472</v>
      </c>
      <c r="BB142" s="7"/>
      <c r="BC142" s="7"/>
      <c r="BD142" s="7"/>
      <c r="BE142" s="49">
        <f>0.109*$BE$10*$BC$8</f>
        <v>1.68216975</v>
      </c>
      <c r="BF142" s="49"/>
      <c r="BG142" s="50"/>
      <c r="BH142" s="7"/>
      <c r="BI142" s="21" t="s">
        <v>424</v>
      </c>
      <c r="BJ142" s="7"/>
      <c r="BK142" s="7"/>
      <c r="BL142" s="7"/>
      <c r="BM142" s="49">
        <f>0.106*$BM$10*$BK$8</f>
        <v>3.0442537499999998</v>
      </c>
      <c r="BN142" s="49"/>
      <c r="BO142" s="50"/>
      <c r="BP142" s="7"/>
      <c r="BQ142" s="21" t="s">
        <v>485</v>
      </c>
      <c r="BR142" s="7"/>
      <c r="BS142" s="7"/>
      <c r="BT142" s="7"/>
      <c r="BU142" s="49">
        <f>0.101*$BU$10*$BS$8</f>
        <v>3.0140823999999995</v>
      </c>
      <c r="BV142" s="49"/>
      <c r="BW142" s="50"/>
    </row>
    <row r="143" spans="1:75" ht="11.25">
      <c r="A143" s="58"/>
      <c r="B143" s="6"/>
      <c r="C143" s="51" t="s">
        <v>0</v>
      </c>
      <c r="D143" s="51"/>
      <c r="E143" s="12"/>
      <c r="F143" s="51" t="s">
        <v>1</v>
      </c>
      <c r="G143" s="51"/>
      <c r="H143" s="12"/>
      <c r="I143" s="51" t="s">
        <v>2</v>
      </c>
      <c r="J143" s="51"/>
      <c r="K143" s="12"/>
      <c r="L143" s="51" t="s">
        <v>72</v>
      </c>
      <c r="M143" s="51"/>
      <c r="N143" s="12"/>
      <c r="O143" s="51" t="s">
        <v>203</v>
      </c>
      <c r="P143" s="51"/>
      <c r="Q143" s="12"/>
      <c r="R143" s="51" t="s">
        <v>385</v>
      </c>
      <c r="S143" s="51"/>
      <c r="T143" s="7"/>
      <c r="U143" s="7" t="s">
        <v>475</v>
      </c>
      <c r="V143" s="7"/>
      <c r="W143" s="7"/>
      <c r="X143" s="7"/>
      <c r="Y143" s="7"/>
      <c r="Z143" s="6"/>
      <c r="AA143" s="40" t="s">
        <v>679</v>
      </c>
      <c r="AB143" s="7"/>
      <c r="AC143" s="7"/>
      <c r="AD143" s="7"/>
      <c r="AE143" s="7"/>
      <c r="AF143" s="7"/>
      <c r="AG143" s="7"/>
      <c r="AH143" s="6"/>
      <c r="AI143" s="21" t="s">
        <v>458</v>
      </c>
      <c r="AJ143" s="7"/>
      <c r="AK143" s="7"/>
      <c r="AL143" s="7"/>
      <c r="AM143" s="49">
        <f>-0.059*$AL$2*$AK$8</f>
        <v>-7.552</v>
      </c>
      <c r="AN143" s="49"/>
      <c r="AO143" s="50"/>
      <c r="AP143" s="6"/>
      <c r="AQ143" s="7"/>
      <c r="AR143" s="7"/>
      <c r="AS143" s="21" t="s">
        <v>464</v>
      </c>
      <c r="AT143" s="7"/>
      <c r="AU143" s="7"/>
      <c r="AV143" s="7"/>
      <c r="AW143" s="49">
        <f>-0.105*$AT$2*$AU$8</f>
        <v>-5.5125</v>
      </c>
      <c r="AX143" s="49"/>
      <c r="AY143" s="50"/>
      <c r="AZ143" s="6"/>
      <c r="BA143" s="21" t="s">
        <v>469</v>
      </c>
      <c r="BB143" s="7"/>
      <c r="BC143" s="7"/>
      <c r="BD143" s="7"/>
      <c r="BE143" s="49">
        <f>-0.05*$BE$10*$BC$8</f>
        <v>-0.7716375</v>
      </c>
      <c r="BF143" s="49"/>
      <c r="BG143" s="50"/>
      <c r="BH143" s="7"/>
      <c r="BI143" s="21" t="s">
        <v>469</v>
      </c>
      <c r="BJ143" s="7"/>
      <c r="BK143" s="7"/>
      <c r="BL143" s="7"/>
      <c r="BM143" s="49">
        <f>-0.05*$BM$10*$BK$8</f>
        <v>-1.43596875</v>
      </c>
      <c r="BN143" s="49"/>
      <c r="BO143" s="50"/>
      <c r="BP143" s="7"/>
      <c r="BQ143" s="21" t="s">
        <v>473</v>
      </c>
      <c r="BR143" s="7"/>
      <c r="BS143" s="7"/>
      <c r="BT143" s="7"/>
      <c r="BU143" s="49">
        <f>-0.048*$BU$10*$BS$8</f>
        <v>-1.4324351999999996</v>
      </c>
      <c r="BV143" s="49"/>
      <c r="BW143" s="50"/>
    </row>
    <row r="144" spans="1:75" ht="11.25">
      <c r="A144" s="58"/>
      <c r="B144" s="6"/>
      <c r="C144" s="7"/>
      <c r="D144" s="24"/>
      <c r="E144" s="24" t="s">
        <v>20</v>
      </c>
      <c r="F144" s="7"/>
      <c r="G144" s="24"/>
      <c r="H144" s="24" t="s">
        <v>20</v>
      </c>
      <c r="I144" s="7"/>
      <c r="J144" s="24"/>
      <c r="K144" s="24" t="s">
        <v>20</v>
      </c>
      <c r="L144" s="7"/>
      <c r="M144" s="24"/>
      <c r="N144" s="24" t="s">
        <v>20</v>
      </c>
      <c r="O144" s="7"/>
      <c r="P144" s="25"/>
      <c r="Q144" s="12" t="str">
        <f>+N144</f>
        <v>L</v>
      </c>
      <c r="R144" s="7"/>
      <c r="S144" s="7"/>
      <c r="T144" s="7"/>
      <c r="U144" s="7" t="s">
        <v>44</v>
      </c>
      <c r="V144" s="7"/>
      <c r="W144" s="7"/>
      <c r="X144" s="7"/>
      <c r="Y144" s="7"/>
      <c r="Z144" s="6"/>
      <c r="AA144" s="21" t="s">
        <v>451</v>
      </c>
      <c r="AB144" s="7"/>
      <c r="AC144" s="7"/>
      <c r="AD144" s="7"/>
      <c r="AE144" s="49">
        <f>-0.053*$AD$2*$AC$7^2</f>
        <v>-3.21975</v>
      </c>
      <c r="AF144" s="49"/>
      <c r="AG144" s="49"/>
      <c r="AH144" s="6"/>
      <c r="AI144" s="21" t="s">
        <v>457</v>
      </c>
      <c r="AJ144" s="7"/>
      <c r="AK144" s="7"/>
      <c r="AL144" s="7"/>
      <c r="AM144" s="49">
        <f>-0.079*$AL$2*$AK$8</f>
        <v>-10.112</v>
      </c>
      <c r="AN144" s="49"/>
      <c r="AO144" s="50"/>
      <c r="AP144" s="6"/>
      <c r="AQ144" s="7"/>
      <c r="AR144" s="7"/>
      <c r="AS144" s="21" t="s">
        <v>463</v>
      </c>
      <c r="AT144" s="7"/>
      <c r="AU144" s="7"/>
      <c r="AV144" s="7"/>
      <c r="AW144" s="49">
        <f>-0.14*$AT$2*$AU$8</f>
        <v>-7.3500000000000005</v>
      </c>
      <c r="AX144" s="49"/>
      <c r="AY144" s="50"/>
      <c r="AZ144" s="6"/>
      <c r="BA144" s="21" t="s">
        <v>345</v>
      </c>
      <c r="BB144" s="7"/>
      <c r="BC144" s="7"/>
      <c r="BD144" s="7"/>
      <c r="BE144" s="49">
        <f>-0.066*$BE$10*$BC$8</f>
        <v>-1.0185615000000001</v>
      </c>
      <c r="BF144" s="49"/>
      <c r="BG144" s="50"/>
      <c r="BH144" s="7"/>
      <c r="BI144" s="21" t="s">
        <v>345</v>
      </c>
      <c r="BJ144" s="7"/>
      <c r="BK144" s="7"/>
      <c r="BL144" s="7"/>
      <c r="BM144" s="49">
        <f>-0.066*$BM$10*$BK$8</f>
        <v>-1.8954787499999999</v>
      </c>
      <c r="BN144" s="49"/>
      <c r="BO144" s="50"/>
      <c r="BP144" s="7"/>
      <c r="BQ144" s="21" t="s">
        <v>351</v>
      </c>
      <c r="BR144" s="7"/>
      <c r="BS144" s="7"/>
      <c r="BT144" s="7"/>
      <c r="BU144" s="49">
        <f>-0.064*$BU$10*$BS$8</f>
        <v>-1.9099135999999999</v>
      </c>
      <c r="BV144" s="49"/>
      <c r="BW144" s="50"/>
    </row>
    <row r="145" spans="1:75" ht="11.25">
      <c r="A145" s="58"/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 t="s">
        <v>151</v>
      </c>
      <c r="V145" s="7"/>
      <c r="W145" s="7"/>
      <c r="X145" s="7"/>
      <c r="Y145" s="7"/>
      <c r="Z145" s="6"/>
      <c r="AA145" s="21" t="s">
        <v>452</v>
      </c>
      <c r="AB145" s="7"/>
      <c r="AC145" s="7"/>
      <c r="AD145" s="7"/>
      <c r="AE145" s="49">
        <f>-0.039*$AD$2*$AC$7^2</f>
        <v>-2.36925</v>
      </c>
      <c r="AF145" s="49"/>
      <c r="AG145" s="49"/>
      <c r="AH145" s="6"/>
      <c r="AI145" s="21" t="s">
        <v>458</v>
      </c>
      <c r="AJ145" s="7"/>
      <c r="AK145" s="7"/>
      <c r="AL145" s="7"/>
      <c r="AM145" s="49">
        <f>-0.059*$AL$2*$AK$8</f>
        <v>-7.552</v>
      </c>
      <c r="AN145" s="49"/>
      <c r="AO145" s="50"/>
      <c r="AP145" s="6"/>
      <c r="AQ145" s="7"/>
      <c r="AR145" s="7"/>
      <c r="AS145" s="21" t="s">
        <v>464</v>
      </c>
      <c r="AT145" s="7"/>
      <c r="AU145" s="7"/>
      <c r="AV145" s="7"/>
      <c r="AW145" s="49">
        <f>-0.105*$AT$2*$AU$8</f>
        <v>-5.5125</v>
      </c>
      <c r="AX145" s="49"/>
      <c r="AY145" s="50"/>
      <c r="AZ145" s="6"/>
      <c r="BA145" s="21" t="s">
        <v>469</v>
      </c>
      <c r="BB145" s="7"/>
      <c r="BC145" s="7"/>
      <c r="BD145" s="7"/>
      <c r="BE145" s="49">
        <f>-0.05*$BE$10*$BC$8</f>
        <v>-0.7716375</v>
      </c>
      <c r="BF145" s="49"/>
      <c r="BG145" s="50"/>
      <c r="BH145" s="7"/>
      <c r="BI145" s="21" t="s">
        <v>469</v>
      </c>
      <c r="BJ145" s="7"/>
      <c r="BK145" s="7"/>
      <c r="BL145" s="7"/>
      <c r="BM145" s="49">
        <f>-0.05*$BM$10*$BK$8</f>
        <v>-1.43596875</v>
      </c>
      <c r="BN145" s="49"/>
      <c r="BO145" s="50"/>
      <c r="BP145" s="7"/>
      <c r="BQ145" s="21" t="s">
        <v>473</v>
      </c>
      <c r="BR145" s="7"/>
      <c r="BS145" s="7"/>
      <c r="BT145" s="7"/>
      <c r="BU145" s="49">
        <f>-0.048*$BU$10*$BS$8</f>
        <v>-1.4324351999999996</v>
      </c>
      <c r="BV145" s="49"/>
      <c r="BW145" s="50"/>
    </row>
    <row r="146" spans="1:75" ht="11.25">
      <c r="A146" s="58"/>
      <c r="B146" s="6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 t="s">
        <v>63</v>
      </c>
      <c r="V146" s="7"/>
      <c r="W146" s="7"/>
      <c r="X146" s="7"/>
      <c r="Y146" s="7"/>
      <c r="Z146" s="6"/>
      <c r="AA146" s="21" t="s">
        <v>477</v>
      </c>
      <c r="AB146" s="7"/>
      <c r="AC146" s="7"/>
      <c r="AD146" s="7"/>
      <c r="AE146" s="49">
        <f>-0.053*$AD$2*$AC$7</f>
        <v>-0.7155</v>
      </c>
      <c r="AF146" s="49"/>
      <c r="AG146" s="49"/>
      <c r="AH146" s="6"/>
      <c r="AI146" s="21" t="s">
        <v>480</v>
      </c>
      <c r="AJ146" s="7"/>
      <c r="AK146" s="7"/>
      <c r="AL146" s="7"/>
      <c r="AM146" s="49">
        <f>-0.079*$AL$2</f>
        <v>-2.528</v>
      </c>
      <c r="AN146" s="49"/>
      <c r="AO146" s="50"/>
      <c r="AP146" s="6"/>
      <c r="AQ146" s="7"/>
      <c r="AR146" s="7"/>
      <c r="AS146" s="21" t="s">
        <v>483</v>
      </c>
      <c r="AT146" s="7"/>
      <c r="AU146" s="7"/>
      <c r="AV146" s="7"/>
      <c r="AW146" s="49">
        <f>-0.14*$AT$2</f>
        <v>-2.1</v>
      </c>
      <c r="AX146" s="49"/>
      <c r="AY146" s="50"/>
      <c r="AZ146" s="6"/>
      <c r="BA146" s="21" t="s">
        <v>484</v>
      </c>
      <c r="BB146" s="7"/>
      <c r="BC146" s="7"/>
      <c r="BD146" s="7"/>
      <c r="BE146" s="49">
        <f>-0.066*$BE$10</f>
        <v>-0.35739000000000004</v>
      </c>
      <c r="BF146" s="49"/>
      <c r="BG146" s="50"/>
      <c r="BH146" s="7"/>
      <c r="BI146" s="21" t="s">
        <v>484</v>
      </c>
      <c r="BJ146" s="7"/>
      <c r="BK146" s="7"/>
      <c r="BL146" s="7"/>
      <c r="BM146" s="49">
        <f>-0.066*$BM$10</f>
        <v>-0.445995</v>
      </c>
      <c r="BN146" s="49"/>
      <c r="BO146" s="50"/>
      <c r="BP146" s="7"/>
      <c r="BQ146" s="21" t="s">
        <v>486</v>
      </c>
      <c r="BR146" s="7"/>
      <c r="BS146" s="7"/>
      <c r="BT146" s="7"/>
      <c r="BU146" s="49">
        <f>-0.064*$BU$10</f>
        <v>-0.523264</v>
      </c>
      <c r="BV146" s="49"/>
      <c r="BW146" s="50"/>
    </row>
    <row r="147" spans="1:75" ht="11.25">
      <c r="A147" s="58"/>
      <c r="B147" s="6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6"/>
      <c r="AA147" s="7"/>
      <c r="AB147" s="7"/>
      <c r="AC147" s="7"/>
      <c r="AD147" s="7"/>
      <c r="AE147" s="7"/>
      <c r="AF147" s="7"/>
      <c r="AG147" s="7"/>
      <c r="AH147" s="6"/>
      <c r="AI147" s="7"/>
      <c r="AJ147" s="7"/>
      <c r="AK147" s="7"/>
      <c r="AL147" s="7"/>
      <c r="AM147" s="7"/>
      <c r="AN147" s="7"/>
      <c r="AO147" s="8"/>
      <c r="AP147" s="6"/>
      <c r="AQ147" s="7"/>
      <c r="AR147" s="7"/>
      <c r="AS147" s="7"/>
      <c r="AT147" s="7"/>
      <c r="AU147" s="7"/>
      <c r="AV147" s="7"/>
      <c r="AW147" s="7"/>
      <c r="AX147" s="7"/>
      <c r="AY147" s="8"/>
      <c r="AZ147" s="6"/>
      <c r="BA147" s="7"/>
      <c r="BB147" s="7"/>
      <c r="BC147" s="7"/>
      <c r="BD147" s="7"/>
      <c r="BE147" s="7"/>
      <c r="BF147" s="7"/>
      <c r="BG147" s="8"/>
      <c r="BH147" s="7"/>
      <c r="BI147" s="7"/>
      <c r="BJ147" s="7"/>
      <c r="BK147" s="7"/>
      <c r="BL147" s="7"/>
      <c r="BM147" s="7"/>
      <c r="BN147" s="7"/>
      <c r="BO147" s="8"/>
      <c r="BP147" s="7"/>
      <c r="BQ147" s="7"/>
      <c r="BR147" s="7"/>
      <c r="BS147" s="7"/>
      <c r="BT147" s="7"/>
      <c r="BU147" s="7"/>
      <c r="BV147" s="7"/>
      <c r="BW147" s="8"/>
    </row>
    <row r="148" spans="1:75" ht="11.25">
      <c r="A148" s="58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3"/>
      <c r="AA148" s="4"/>
      <c r="AB148" s="4"/>
      <c r="AC148" s="4"/>
      <c r="AD148" s="4"/>
      <c r="AE148" s="4"/>
      <c r="AF148" s="4"/>
      <c r="AG148" s="4"/>
      <c r="AH148" s="3"/>
      <c r="AI148" s="4"/>
      <c r="AJ148" s="4"/>
      <c r="AK148" s="4"/>
      <c r="AL148" s="4"/>
      <c r="AM148" s="4"/>
      <c r="AN148" s="4"/>
      <c r="AO148" s="5"/>
      <c r="AP148" s="3"/>
      <c r="AQ148" s="4"/>
      <c r="AR148" s="4"/>
      <c r="AS148" s="4"/>
      <c r="AT148" s="4"/>
      <c r="AU148" s="4"/>
      <c r="AV148" s="4"/>
      <c r="AW148" s="4"/>
      <c r="AX148" s="4"/>
      <c r="AY148" s="5"/>
      <c r="AZ148" s="3"/>
      <c r="BA148" s="4"/>
      <c r="BB148" s="4"/>
      <c r="BC148" s="4"/>
      <c r="BD148" s="4"/>
      <c r="BE148" s="4"/>
      <c r="BF148" s="4"/>
      <c r="BG148" s="5"/>
      <c r="BH148" s="4"/>
      <c r="BI148" s="4"/>
      <c r="BJ148" s="4"/>
      <c r="BK148" s="4"/>
      <c r="BL148" s="4"/>
      <c r="BM148" s="4"/>
      <c r="BN148" s="4"/>
      <c r="BO148" s="5"/>
      <c r="BP148" s="4"/>
      <c r="BQ148" s="4"/>
      <c r="BR148" s="4"/>
      <c r="BS148" s="4"/>
      <c r="BT148" s="4"/>
      <c r="BU148" s="4"/>
      <c r="BV148" s="4"/>
      <c r="BW148" s="5"/>
    </row>
    <row r="149" spans="1:75" ht="12" thickBot="1">
      <c r="A149" s="58"/>
      <c r="B149" s="6"/>
      <c r="C149" s="7"/>
      <c r="D149" s="23"/>
      <c r="E149" s="23"/>
      <c r="F149" s="48"/>
      <c r="G149" s="23"/>
      <c r="H149" s="23"/>
      <c r="I149" s="48"/>
      <c r="J149" s="34"/>
      <c r="K149" s="34"/>
      <c r="L149" s="34"/>
      <c r="M149" s="23"/>
      <c r="N149" s="23"/>
      <c r="O149" s="23"/>
      <c r="P149" s="34"/>
      <c r="Q149" s="34"/>
      <c r="R149" s="34"/>
      <c r="S149" s="7"/>
      <c r="T149" s="7"/>
      <c r="U149" s="7" t="s">
        <v>4</v>
      </c>
      <c r="V149" s="7"/>
      <c r="W149" s="7"/>
      <c r="X149" s="7"/>
      <c r="Y149" s="7"/>
      <c r="Z149" s="6"/>
      <c r="AA149" s="21" t="s">
        <v>488</v>
      </c>
      <c r="AB149" s="7"/>
      <c r="AC149" s="7"/>
      <c r="AD149" s="7"/>
      <c r="AE149" s="49">
        <f>-0.12*$AD$2*$AC$7^2</f>
        <v>-7.29</v>
      </c>
      <c r="AF149" s="49"/>
      <c r="AG149" s="49"/>
      <c r="AH149" s="6"/>
      <c r="AI149" s="21" t="s">
        <v>495</v>
      </c>
      <c r="AJ149" s="7"/>
      <c r="AK149" s="7"/>
      <c r="AL149" s="7"/>
      <c r="AM149" s="49">
        <f>-0.179*$AL$2*$AK$8</f>
        <v>-22.912</v>
      </c>
      <c r="AN149" s="49"/>
      <c r="AO149" s="50"/>
      <c r="AP149" s="6"/>
      <c r="AQ149" s="7"/>
      <c r="AR149" s="7"/>
      <c r="AS149" s="21" t="s">
        <v>502</v>
      </c>
      <c r="AT149" s="7"/>
      <c r="AU149" s="7"/>
      <c r="AV149" s="7"/>
      <c r="AW149" s="49">
        <f>-0.319*$AT$2*$AU$8</f>
        <v>-16.747500000000002</v>
      </c>
      <c r="AX149" s="49"/>
      <c r="AY149" s="50"/>
      <c r="AZ149" s="6"/>
      <c r="BA149" s="21" t="s">
        <v>508</v>
      </c>
      <c r="BB149" s="7"/>
      <c r="BC149" s="7"/>
      <c r="BD149" s="7"/>
      <c r="BE149" s="49">
        <f>-0.149*$BE$10*$BC$8</f>
        <v>-2.29947975</v>
      </c>
      <c r="BF149" s="49"/>
      <c r="BG149" s="50"/>
      <c r="BH149" s="7"/>
      <c r="BI149" s="21" t="s">
        <v>512</v>
      </c>
      <c r="BJ149" s="7"/>
      <c r="BK149" s="7"/>
      <c r="BL149" s="7"/>
      <c r="BM149" s="49">
        <f>-0.148*$BM$10*$BK$8</f>
        <v>-4.250467499999999</v>
      </c>
      <c r="BN149" s="49"/>
      <c r="BO149" s="50"/>
      <c r="BP149" s="7"/>
      <c r="BQ149" s="21" t="s">
        <v>516</v>
      </c>
      <c r="BR149" s="7"/>
      <c r="BS149" s="7"/>
      <c r="BT149" s="7"/>
      <c r="BU149" s="49">
        <f>-0.144*$BU$10*$BS$8</f>
        <v>-4.297305599999999</v>
      </c>
      <c r="BV149" s="49"/>
      <c r="BW149" s="50"/>
    </row>
    <row r="150" spans="1:75" ht="11.25">
      <c r="A150" s="58"/>
      <c r="B150" s="6"/>
      <c r="C150" s="7"/>
      <c r="D150" s="7"/>
      <c r="E150" s="12">
        <v>1</v>
      </c>
      <c r="F150" s="7"/>
      <c r="G150" s="7"/>
      <c r="H150" s="12">
        <v>2</v>
      </c>
      <c r="I150" s="7"/>
      <c r="J150" s="7"/>
      <c r="K150" s="12">
        <v>3</v>
      </c>
      <c r="L150" s="7"/>
      <c r="M150" s="7"/>
      <c r="N150" s="12">
        <v>4</v>
      </c>
      <c r="O150" s="7"/>
      <c r="P150" s="7"/>
      <c r="Q150" s="12">
        <v>5</v>
      </c>
      <c r="R150" s="7"/>
      <c r="S150" s="7"/>
      <c r="T150" s="7"/>
      <c r="U150" s="7" t="s">
        <v>151</v>
      </c>
      <c r="V150" s="7"/>
      <c r="W150" s="7"/>
      <c r="X150" s="7"/>
      <c r="Y150" s="7"/>
      <c r="Z150" s="6"/>
      <c r="AA150" s="21" t="s">
        <v>489</v>
      </c>
      <c r="AB150" s="7"/>
      <c r="AC150" s="7"/>
      <c r="AD150" s="7"/>
      <c r="AE150" s="49">
        <f>-0.022*$AD$2*$AC$7^2</f>
        <v>-1.3365</v>
      </c>
      <c r="AF150" s="49"/>
      <c r="AG150" s="49"/>
      <c r="AH150" s="6"/>
      <c r="AI150" s="21" t="s">
        <v>496</v>
      </c>
      <c r="AJ150" s="7"/>
      <c r="AK150" s="7"/>
      <c r="AL150" s="7"/>
      <c r="AM150" s="49">
        <f>-0.032*$AL$2*$AK$8</f>
        <v>-4.096</v>
      </c>
      <c r="AN150" s="49"/>
      <c r="AO150" s="50"/>
      <c r="AP150" s="6"/>
      <c r="AQ150" s="7"/>
      <c r="AR150" s="7"/>
      <c r="AS150" s="21" t="s">
        <v>503</v>
      </c>
      <c r="AT150" s="7"/>
      <c r="AU150" s="7"/>
      <c r="AV150" s="7"/>
      <c r="AW150" s="49">
        <f>-0.057*$AT$2*$AU$8</f>
        <v>-2.9924999999999997</v>
      </c>
      <c r="AX150" s="49"/>
      <c r="AY150" s="50"/>
      <c r="AZ150" s="6"/>
      <c r="BA150" s="21" t="s">
        <v>148</v>
      </c>
      <c r="BB150" s="7"/>
      <c r="BC150" s="7"/>
      <c r="BD150" s="7"/>
      <c r="BE150" s="49">
        <f>-0.027*$BE$10*$BC$8</f>
        <v>-0.41668425000000003</v>
      </c>
      <c r="BF150" s="49"/>
      <c r="BG150" s="50"/>
      <c r="BH150" s="7"/>
      <c r="BI150" s="21" t="s">
        <v>148</v>
      </c>
      <c r="BJ150" s="7"/>
      <c r="BK150" s="7"/>
      <c r="BL150" s="7"/>
      <c r="BM150" s="49">
        <f>-0.027*$BM$10*$BK$8</f>
        <v>-0.775423125</v>
      </c>
      <c r="BN150" s="49"/>
      <c r="BO150" s="50"/>
      <c r="BP150" s="7"/>
      <c r="BQ150" s="21" t="s">
        <v>148</v>
      </c>
      <c r="BR150" s="7"/>
      <c r="BS150" s="7"/>
      <c r="BT150" s="7"/>
      <c r="BU150" s="49">
        <f>-0.027*$BU$10*$BS$8</f>
        <v>-0.8057447999999998</v>
      </c>
      <c r="BV150" s="49"/>
      <c r="BW150" s="50"/>
    </row>
    <row r="151" spans="1:75" ht="11.25">
      <c r="A151" s="58"/>
      <c r="B151" s="6"/>
      <c r="C151" s="51" t="s">
        <v>0</v>
      </c>
      <c r="D151" s="51"/>
      <c r="E151" s="12"/>
      <c r="F151" s="51" t="s">
        <v>1</v>
      </c>
      <c r="G151" s="51"/>
      <c r="H151" s="12"/>
      <c r="I151" s="51" t="s">
        <v>2</v>
      </c>
      <c r="J151" s="51"/>
      <c r="K151" s="12"/>
      <c r="L151" s="51" t="s">
        <v>72</v>
      </c>
      <c r="M151" s="51"/>
      <c r="N151" s="12"/>
      <c r="O151" s="51" t="s">
        <v>203</v>
      </c>
      <c r="P151" s="51"/>
      <c r="Q151" s="12"/>
      <c r="R151" s="51" t="s">
        <v>385</v>
      </c>
      <c r="S151" s="51"/>
      <c r="T151" s="7"/>
      <c r="U151" s="7" t="s">
        <v>298</v>
      </c>
      <c r="V151" s="7"/>
      <c r="W151" s="7"/>
      <c r="X151" s="7"/>
      <c r="Y151" s="7"/>
      <c r="Z151" s="6"/>
      <c r="AA151" s="21" t="s">
        <v>490</v>
      </c>
      <c r="AB151" s="7"/>
      <c r="AC151" s="7"/>
      <c r="AD151" s="7"/>
      <c r="AE151" s="49">
        <f>-0.044*$AD$2*$AC$7^2</f>
        <v>-2.673</v>
      </c>
      <c r="AF151" s="49"/>
      <c r="AG151" s="49"/>
      <c r="AH151" s="6"/>
      <c r="AI151" s="21" t="s">
        <v>497</v>
      </c>
      <c r="AJ151" s="7"/>
      <c r="AK151" s="7"/>
      <c r="AL151" s="7"/>
      <c r="AM151" s="49">
        <f>-0.066*$AL$2*$AK$8</f>
        <v>-8.448</v>
      </c>
      <c r="AN151" s="49"/>
      <c r="AO151" s="50"/>
      <c r="AP151" s="6"/>
      <c r="AQ151" s="7"/>
      <c r="AR151" s="7"/>
      <c r="AS151" s="21" t="s">
        <v>406</v>
      </c>
      <c r="AT151" s="7"/>
      <c r="AU151" s="7"/>
      <c r="AV151" s="7"/>
      <c r="AW151" s="49">
        <f>-0.118*$AT$2*$AU$8</f>
        <v>-6.195</v>
      </c>
      <c r="AX151" s="49"/>
      <c r="AY151" s="50"/>
      <c r="AZ151" s="6"/>
      <c r="BA151" s="21" t="s">
        <v>282</v>
      </c>
      <c r="BB151" s="7"/>
      <c r="BC151" s="7"/>
      <c r="BD151" s="7"/>
      <c r="BE151" s="49">
        <f>-0.055*$BE$10*$BC$8</f>
        <v>-0.8488012500000001</v>
      </c>
      <c r="BF151" s="49"/>
      <c r="BG151" s="50"/>
      <c r="BH151" s="7"/>
      <c r="BI151" s="21" t="s">
        <v>282</v>
      </c>
      <c r="BJ151" s="7"/>
      <c r="BK151" s="7"/>
      <c r="BL151" s="7"/>
      <c r="BM151" s="49">
        <f>-0.055*$BM$10*$BK$8</f>
        <v>-1.5795656249999999</v>
      </c>
      <c r="BN151" s="49"/>
      <c r="BO151" s="50"/>
      <c r="BP151" s="7"/>
      <c r="BQ151" s="21" t="s">
        <v>517</v>
      </c>
      <c r="BR151" s="7"/>
      <c r="BS151" s="7"/>
      <c r="BT151" s="7"/>
      <c r="BU151" s="49">
        <f>-0.053*$BU$10*$BS$8</f>
        <v>-1.5816471999999995</v>
      </c>
      <c r="BV151" s="49"/>
      <c r="BW151" s="50"/>
    </row>
    <row r="152" spans="1:75" ht="11.25">
      <c r="A152" s="58"/>
      <c r="B152" s="6"/>
      <c r="C152" s="7"/>
      <c r="D152" s="24"/>
      <c r="E152" s="24" t="s">
        <v>20</v>
      </c>
      <c r="F152" s="7"/>
      <c r="G152" s="24"/>
      <c r="H152" s="24" t="s">
        <v>20</v>
      </c>
      <c r="I152" s="7"/>
      <c r="J152" s="24"/>
      <c r="K152" s="24" t="s">
        <v>20</v>
      </c>
      <c r="L152" s="7"/>
      <c r="M152" s="24"/>
      <c r="N152" s="24" t="s">
        <v>20</v>
      </c>
      <c r="O152" s="7"/>
      <c r="P152" s="25"/>
      <c r="Q152" s="12" t="str">
        <f>+N152</f>
        <v>L</v>
      </c>
      <c r="R152" s="7"/>
      <c r="S152" s="7"/>
      <c r="T152" s="7"/>
      <c r="U152" s="7" t="s">
        <v>487</v>
      </c>
      <c r="V152" s="7"/>
      <c r="W152" s="7"/>
      <c r="X152" s="7"/>
      <c r="Y152" s="7"/>
      <c r="Z152" s="6"/>
      <c r="AA152" s="21" t="s">
        <v>491</v>
      </c>
      <c r="AB152" s="7"/>
      <c r="AC152" s="7"/>
      <c r="AD152" s="7"/>
      <c r="AE152" s="49">
        <f>-0.051*$AD$2*$AC$7^2</f>
        <v>-3.0982499999999997</v>
      </c>
      <c r="AF152" s="49"/>
      <c r="AG152" s="49"/>
      <c r="AH152" s="6"/>
      <c r="AI152" s="21" t="s">
        <v>498</v>
      </c>
      <c r="AJ152" s="7"/>
      <c r="AK152" s="7"/>
      <c r="AL152" s="7"/>
      <c r="AM152" s="49">
        <f>-0.077*$AL$2*$AK$8</f>
        <v>-9.856</v>
      </c>
      <c r="AN152" s="49"/>
      <c r="AO152" s="50"/>
      <c r="AP152" s="6"/>
      <c r="AQ152" s="7"/>
      <c r="AR152" s="7"/>
      <c r="AS152" s="21" t="s">
        <v>504</v>
      </c>
      <c r="AT152" s="7"/>
      <c r="AU152" s="7"/>
      <c r="AV152" s="7"/>
      <c r="AW152" s="49">
        <f>-0.137*$AT$2*$AU$8</f>
        <v>-7.192500000000001</v>
      </c>
      <c r="AX152" s="49"/>
      <c r="AY152" s="50"/>
      <c r="AZ152" s="6"/>
      <c r="BA152" s="21" t="s">
        <v>351</v>
      </c>
      <c r="BB152" s="7"/>
      <c r="BC152" s="7"/>
      <c r="BD152" s="7"/>
      <c r="BE152" s="49">
        <f>-0.064*$BE$10*$BC$8</f>
        <v>-0.9876960000000001</v>
      </c>
      <c r="BF152" s="49"/>
      <c r="BG152" s="50"/>
      <c r="BH152" s="7"/>
      <c r="BI152" s="21" t="s">
        <v>127</v>
      </c>
      <c r="BJ152" s="7"/>
      <c r="BK152" s="7"/>
      <c r="BL152" s="7"/>
      <c r="BM152" s="49">
        <f>-0.063*$BM$10*$BK$8</f>
        <v>-1.8093206249999998</v>
      </c>
      <c r="BN152" s="49"/>
      <c r="BO152" s="50"/>
      <c r="BP152" s="7"/>
      <c r="BQ152" s="21" t="s">
        <v>130</v>
      </c>
      <c r="BR152" s="7"/>
      <c r="BS152" s="7"/>
      <c r="BT152" s="7"/>
      <c r="BU152" s="49">
        <f>-0.062*$BU$10*$BS$8</f>
        <v>-1.8502287999999996</v>
      </c>
      <c r="BV152" s="49"/>
      <c r="BW152" s="50"/>
    </row>
    <row r="153" spans="1:75" ht="11.25">
      <c r="A153" s="58"/>
      <c r="B153" s="6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 t="s">
        <v>5</v>
      </c>
      <c r="V153" s="7"/>
      <c r="W153" s="7"/>
      <c r="X153" s="7"/>
      <c r="Y153" s="7"/>
      <c r="Z153" s="6"/>
      <c r="AA153" s="7" t="s">
        <v>492</v>
      </c>
      <c r="AB153" s="7"/>
      <c r="AC153" s="7"/>
      <c r="AD153" s="7"/>
      <c r="AE153" s="49">
        <f>1.218*$AD$2*$AC$7</f>
        <v>16.442999999999998</v>
      </c>
      <c r="AF153" s="49"/>
      <c r="AG153" s="49"/>
      <c r="AH153" s="6"/>
      <c r="AI153" s="21" t="s">
        <v>499</v>
      </c>
      <c r="AJ153" s="7"/>
      <c r="AK153" s="7"/>
      <c r="AL153" s="7"/>
      <c r="AM153" s="49">
        <f>1.327*$AL$2</f>
        <v>42.464</v>
      </c>
      <c r="AN153" s="49"/>
      <c r="AO153" s="50"/>
      <c r="AP153" s="6"/>
      <c r="AQ153" s="7"/>
      <c r="AR153" s="7"/>
      <c r="AS153" s="21" t="s">
        <v>505</v>
      </c>
      <c r="AT153" s="7"/>
      <c r="AU153" s="7"/>
      <c r="AV153" s="7"/>
      <c r="AW153" s="49">
        <f>2.581*$AT$2</f>
        <v>38.714999999999996</v>
      </c>
      <c r="AX153" s="49"/>
      <c r="AY153" s="50"/>
      <c r="AZ153" s="6"/>
      <c r="BA153" s="21" t="s">
        <v>509</v>
      </c>
      <c r="BB153" s="7"/>
      <c r="BC153" s="7"/>
      <c r="BD153" s="7"/>
      <c r="BE153" s="49">
        <f>1.271*$BE$10</f>
        <v>6.882465</v>
      </c>
      <c r="BF153" s="49"/>
      <c r="BG153" s="50"/>
      <c r="BH153" s="7"/>
      <c r="BI153" s="21" t="s">
        <v>513</v>
      </c>
      <c r="BJ153" s="7"/>
      <c r="BK153" s="7"/>
      <c r="BL153" s="7"/>
      <c r="BM153" s="49">
        <f>1.269*$BM$10</f>
        <v>8.575267499999999</v>
      </c>
      <c r="BN153" s="49"/>
      <c r="BO153" s="50"/>
      <c r="BP153" s="7"/>
      <c r="BQ153" s="21" t="s">
        <v>518</v>
      </c>
      <c r="BR153" s="7"/>
      <c r="BS153" s="7"/>
      <c r="BT153" s="7"/>
      <c r="BU153" s="49">
        <f>1.261*$BU$10</f>
        <v>10.309935999999997</v>
      </c>
      <c r="BV153" s="49"/>
      <c r="BW153" s="50"/>
    </row>
    <row r="154" spans="1:75" ht="11.25">
      <c r="A154" s="58"/>
      <c r="B154" s="6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 t="s">
        <v>6</v>
      </c>
      <c r="V154" s="7"/>
      <c r="W154" s="7"/>
      <c r="X154" s="7"/>
      <c r="Y154" s="7"/>
      <c r="Z154" s="6"/>
      <c r="AA154" s="21" t="s">
        <v>493</v>
      </c>
      <c r="AB154" s="7"/>
      <c r="AC154" s="7"/>
      <c r="AD154" s="7"/>
      <c r="AE154" s="49">
        <f>-0.62*$AD$2*$AC$7</f>
        <v>-8.37</v>
      </c>
      <c r="AF154" s="49"/>
      <c r="AG154" s="49"/>
      <c r="AH154" s="6"/>
      <c r="AI154" s="21" t="s">
        <v>500</v>
      </c>
      <c r="AJ154" s="7"/>
      <c r="AK154" s="7"/>
      <c r="AL154" s="7"/>
      <c r="AM154" s="49">
        <f>-0.679*$AL$2</f>
        <v>-21.728</v>
      </c>
      <c r="AN154" s="49"/>
      <c r="AO154" s="50"/>
      <c r="AP154" s="6"/>
      <c r="AQ154" s="7"/>
      <c r="AR154" s="7"/>
      <c r="AS154" s="21" t="s">
        <v>506</v>
      </c>
      <c r="AT154" s="7"/>
      <c r="AU154" s="7"/>
      <c r="AV154" s="7"/>
      <c r="AW154" s="49">
        <f>-1.319*$AT$2</f>
        <v>-19.785</v>
      </c>
      <c r="AX154" s="49"/>
      <c r="AY154" s="50"/>
      <c r="AZ154" s="6"/>
      <c r="BA154" s="21" t="s">
        <v>510</v>
      </c>
      <c r="BB154" s="7"/>
      <c r="BC154" s="7"/>
      <c r="BD154" s="7"/>
      <c r="BE154" s="49">
        <f>-0.649*$BE$10</f>
        <v>-3.514335</v>
      </c>
      <c r="BF154" s="49"/>
      <c r="BG154" s="50"/>
      <c r="BH154" s="7"/>
      <c r="BI154" s="21" t="s">
        <v>514</v>
      </c>
      <c r="BJ154" s="7"/>
      <c r="BK154" s="7"/>
      <c r="BL154" s="7"/>
      <c r="BM154" s="49">
        <f>-0.648*$BM$10</f>
        <v>-4.3788599999999995</v>
      </c>
      <c r="BN154" s="49"/>
      <c r="BO154" s="50"/>
      <c r="BP154" s="7"/>
      <c r="BQ154" s="21" t="s">
        <v>519</v>
      </c>
      <c r="BR154" s="7"/>
      <c r="BS154" s="7"/>
      <c r="BT154" s="7"/>
      <c r="BU154" s="49">
        <f>-0.644*$BU$10</f>
        <v>-5.265343999999999</v>
      </c>
      <c r="BV154" s="49"/>
      <c r="BW154" s="50"/>
    </row>
    <row r="155" spans="1:75" ht="11.25">
      <c r="A155" s="58"/>
      <c r="B155" s="6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 t="s">
        <v>152</v>
      </c>
      <c r="V155" s="7"/>
      <c r="W155" s="7"/>
      <c r="X155" s="7"/>
      <c r="Y155" s="7"/>
      <c r="Z155" s="6"/>
      <c r="AA155" s="7" t="s">
        <v>494</v>
      </c>
      <c r="AB155" s="7"/>
      <c r="AC155" s="7"/>
      <c r="AD155" s="7"/>
      <c r="AE155" s="49">
        <f>0.598*$AD$2*$AC$7</f>
        <v>8.073</v>
      </c>
      <c r="AF155" s="49"/>
      <c r="AG155" s="49"/>
      <c r="AH155" s="6"/>
      <c r="AI155" s="21" t="s">
        <v>501</v>
      </c>
      <c r="AJ155" s="7"/>
      <c r="AK155" s="7"/>
      <c r="AL155" s="7"/>
      <c r="AM155" s="49">
        <f>0.647*$AL$2</f>
        <v>20.704</v>
      </c>
      <c r="AN155" s="49"/>
      <c r="AO155" s="50"/>
      <c r="AP155" s="6"/>
      <c r="AQ155" s="7"/>
      <c r="AR155" s="7"/>
      <c r="AS155" s="21" t="s">
        <v>507</v>
      </c>
      <c r="AT155" s="7"/>
      <c r="AU155" s="7"/>
      <c r="AV155" s="7"/>
      <c r="AW155" s="49">
        <f>1.262*$AT$2</f>
        <v>18.93</v>
      </c>
      <c r="AX155" s="49"/>
      <c r="AY155" s="50"/>
      <c r="AZ155" s="6"/>
      <c r="BA155" s="21" t="s">
        <v>511</v>
      </c>
      <c r="BB155" s="7"/>
      <c r="BC155" s="7"/>
      <c r="BD155" s="7"/>
      <c r="BE155" s="49">
        <f>0.622*$BE$10</f>
        <v>3.36813</v>
      </c>
      <c r="BF155" s="49"/>
      <c r="BG155" s="50"/>
      <c r="BH155" s="7"/>
      <c r="BI155" s="21" t="s">
        <v>515</v>
      </c>
      <c r="BJ155" s="7"/>
      <c r="BK155" s="7"/>
      <c r="BL155" s="7"/>
      <c r="BM155" s="49">
        <f>0.621*$BM$10</f>
        <v>4.196407499999999</v>
      </c>
      <c r="BN155" s="49"/>
      <c r="BO155" s="50"/>
      <c r="BP155" s="7"/>
      <c r="BQ155" s="21" t="s">
        <v>520</v>
      </c>
      <c r="BR155" s="7"/>
      <c r="BS155" s="7"/>
      <c r="BT155" s="7"/>
      <c r="BU155" s="49">
        <f>0.617*$BU$10</f>
        <v>5.044591999999999</v>
      </c>
      <c r="BV155" s="49"/>
      <c r="BW155" s="50"/>
    </row>
    <row r="156" spans="1:75" ht="11.25">
      <c r="A156" s="58"/>
      <c r="B156" s="2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6"/>
      <c r="AA156" s="27"/>
      <c r="AB156" s="27"/>
      <c r="AC156" s="27"/>
      <c r="AD156" s="27"/>
      <c r="AE156" s="27"/>
      <c r="AF156" s="27"/>
      <c r="AG156" s="27"/>
      <c r="AH156" s="26"/>
      <c r="AI156" s="27"/>
      <c r="AJ156" s="27"/>
      <c r="AK156" s="27"/>
      <c r="AL156" s="27"/>
      <c r="AM156" s="27"/>
      <c r="AN156" s="27"/>
      <c r="AO156" s="44"/>
      <c r="AP156" s="26"/>
      <c r="AQ156" s="27"/>
      <c r="AR156" s="27"/>
      <c r="AS156" s="27"/>
      <c r="AT156" s="27"/>
      <c r="AU156" s="27"/>
      <c r="AV156" s="27"/>
      <c r="AW156" s="27"/>
      <c r="AX156" s="27"/>
      <c r="AY156" s="44"/>
      <c r="AZ156" s="26"/>
      <c r="BA156" s="27"/>
      <c r="BB156" s="27"/>
      <c r="BC156" s="27"/>
      <c r="BD156" s="27"/>
      <c r="BE156" s="27"/>
      <c r="BF156" s="27"/>
      <c r="BG156" s="44"/>
      <c r="BH156" s="27"/>
      <c r="BI156" s="27"/>
      <c r="BJ156" s="27"/>
      <c r="BK156" s="27"/>
      <c r="BL156" s="27"/>
      <c r="BM156" s="27"/>
      <c r="BN156" s="27"/>
      <c r="BO156" s="44"/>
      <c r="BP156" s="27"/>
      <c r="BQ156" s="27"/>
      <c r="BR156" s="27"/>
      <c r="BS156" s="27"/>
      <c r="BT156" s="27"/>
      <c r="BU156" s="27"/>
      <c r="BV156" s="27"/>
      <c r="BW156" s="44"/>
    </row>
    <row r="157" spans="1:75" ht="11.25">
      <c r="A157" s="58"/>
      <c r="B157" s="6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6"/>
      <c r="AA157" s="7"/>
      <c r="AB157" s="7"/>
      <c r="AC157" s="7"/>
      <c r="AD157" s="7"/>
      <c r="AE157" s="7"/>
      <c r="AF157" s="7"/>
      <c r="AG157" s="7"/>
      <c r="AH157" s="6"/>
      <c r="AI157" s="7"/>
      <c r="AJ157" s="7"/>
      <c r="AK157" s="7"/>
      <c r="AL157" s="7"/>
      <c r="AM157" s="7"/>
      <c r="AN157" s="7"/>
      <c r="AO157" s="8"/>
      <c r="AP157" s="6"/>
      <c r="AQ157" s="7"/>
      <c r="AR157" s="7"/>
      <c r="AS157" s="7"/>
      <c r="AT157" s="7"/>
      <c r="AU157" s="7"/>
      <c r="AV157" s="7"/>
      <c r="AW157" s="7"/>
      <c r="AX157" s="7"/>
      <c r="AY157" s="8"/>
      <c r="AZ157" s="6"/>
      <c r="BA157" s="7"/>
      <c r="BB157" s="7"/>
      <c r="BC157" s="7"/>
      <c r="BD157" s="7"/>
      <c r="BE157" s="7"/>
      <c r="BF157" s="7"/>
      <c r="BG157" s="8"/>
      <c r="BH157" s="7"/>
      <c r="BI157" s="7"/>
      <c r="BJ157" s="7"/>
      <c r="BK157" s="7"/>
      <c r="BL157" s="7"/>
      <c r="BM157" s="7"/>
      <c r="BN157" s="7"/>
      <c r="BO157" s="8"/>
      <c r="BP157" s="7"/>
      <c r="BQ157" s="7"/>
      <c r="BR157" s="7"/>
      <c r="BS157" s="7"/>
      <c r="BT157" s="7"/>
      <c r="BU157" s="7"/>
      <c r="BV157" s="7"/>
      <c r="BW157" s="8"/>
    </row>
    <row r="158" spans="1:75" ht="11.25">
      <c r="A158" s="58"/>
      <c r="B158" s="6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 t="s">
        <v>181</v>
      </c>
      <c r="V158" s="7"/>
      <c r="W158" s="7"/>
      <c r="X158" s="7"/>
      <c r="Y158" s="7"/>
      <c r="Z158" s="6"/>
      <c r="AA158" s="7" t="s">
        <v>521</v>
      </c>
      <c r="AB158" s="7"/>
      <c r="AC158" s="7"/>
      <c r="AD158" s="7"/>
      <c r="AE158" s="49">
        <f>0.014*$AD$2*$AC$7^2</f>
        <v>0.8505</v>
      </c>
      <c r="AF158" s="49"/>
      <c r="AG158" s="49"/>
      <c r="AH158" s="6"/>
      <c r="AI158" s="21" t="s">
        <v>527</v>
      </c>
      <c r="AJ158" s="7"/>
      <c r="AK158" s="7"/>
      <c r="AL158" s="7"/>
      <c r="AM158" s="49">
        <f>0.022*$AL$2*$AK$8</f>
        <v>2.816</v>
      </c>
      <c r="AN158" s="49"/>
      <c r="AO158" s="50"/>
      <c r="AP158" s="6"/>
      <c r="AQ158" s="7"/>
      <c r="AR158" s="7"/>
      <c r="AS158" s="21" t="s">
        <v>534</v>
      </c>
      <c r="AT158" s="7"/>
      <c r="AU158" s="7"/>
      <c r="AV158" s="7"/>
      <c r="AW158" s="49">
        <f>0.038*$AT$2*$AU$8</f>
        <v>1.9949999999999999</v>
      </c>
      <c r="AX158" s="49"/>
      <c r="AY158" s="50"/>
      <c r="AZ158" s="6"/>
      <c r="BA158" s="21" t="s">
        <v>541</v>
      </c>
      <c r="BB158" s="7"/>
      <c r="BC158" s="7"/>
      <c r="BD158" s="7"/>
      <c r="BE158" s="49">
        <f>0.018*$BE$10*$BC$8</f>
        <v>0.27778949999999997</v>
      </c>
      <c r="BF158" s="49"/>
      <c r="BG158" s="50"/>
      <c r="BH158" s="7"/>
      <c r="BI158" s="21" t="s">
        <v>541</v>
      </c>
      <c r="BJ158" s="7"/>
      <c r="BK158" s="7"/>
      <c r="BL158" s="7"/>
      <c r="BM158" s="49">
        <f>0.018*$BM$10*$BK$8</f>
        <v>0.51694875</v>
      </c>
      <c r="BN158" s="49"/>
      <c r="BO158" s="50"/>
      <c r="BP158" s="7"/>
      <c r="BQ158" s="21" t="s">
        <v>344</v>
      </c>
      <c r="BR158" s="7"/>
      <c r="BS158" s="7"/>
      <c r="BT158" s="7"/>
      <c r="BU158" s="49">
        <f>0.017*$BU$10*$BS$8</f>
        <v>0.5073207999999999</v>
      </c>
      <c r="BV158" s="49"/>
      <c r="BW158" s="50"/>
    </row>
    <row r="159" spans="1:75" ht="12" thickBot="1">
      <c r="A159" s="58"/>
      <c r="B159" s="6"/>
      <c r="C159" s="7"/>
      <c r="D159" s="34"/>
      <c r="E159" s="34"/>
      <c r="F159" s="34"/>
      <c r="G159" s="34"/>
      <c r="H159" s="34"/>
      <c r="I159" s="34"/>
      <c r="J159" s="23"/>
      <c r="K159" s="23"/>
      <c r="L159" s="23"/>
      <c r="M159" s="34"/>
      <c r="N159" s="34"/>
      <c r="O159" s="34"/>
      <c r="P159" s="39"/>
      <c r="Q159" s="39"/>
      <c r="R159" s="39"/>
      <c r="S159" s="7"/>
      <c r="T159" s="7"/>
      <c r="U159" s="7" t="s">
        <v>151</v>
      </c>
      <c r="V159" s="7"/>
      <c r="W159" s="7"/>
      <c r="X159" s="7"/>
      <c r="Y159" s="7"/>
      <c r="Z159" s="6"/>
      <c r="AA159" s="21" t="s">
        <v>522</v>
      </c>
      <c r="AB159" s="7"/>
      <c r="AC159" s="7"/>
      <c r="AD159" s="7"/>
      <c r="AE159" s="49">
        <f>-0.057*$AD$2*$AC$7^2</f>
        <v>-3.46275</v>
      </c>
      <c r="AF159" s="49"/>
      <c r="AG159" s="49"/>
      <c r="AH159" s="6"/>
      <c r="AI159" s="21" t="s">
        <v>528</v>
      </c>
      <c r="AJ159" s="7"/>
      <c r="AK159" s="7"/>
      <c r="AL159" s="7"/>
      <c r="AM159" s="49">
        <f>-0.086*$AL$2*$AK$8</f>
        <v>-11.008</v>
      </c>
      <c r="AN159" s="49"/>
      <c r="AO159" s="50"/>
      <c r="AP159" s="6"/>
      <c r="AQ159" s="7"/>
      <c r="AR159" s="7"/>
      <c r="AS159" s="21" t="s">
        <v>535</v>
      </c>
      <c r="AT159" s="7"/>
      <c r="AU159" s="7"/>
      <c r="AV159" s="7"/>
      <c r="AW159" s="49">
        <f>-0.153*$AT$2*$AU$8</f>
        <v>-8.032499999999999</v>
      </c>
      <c r="AX159" s="49"/>
      <c r="AY159" s="50"/>
      <c r="AZ159" s="6"/>
      <c r="BA159" s="21" t="s">
        <v>321</v>
      </c>
      <c r="BB159" s="7"/>
      <c r="BC159" s="7"/>
      <c r="BD159" s="7"/>
      <c r="BE159" s="49">
        <f>-0.072*$BE$10*$BC$8</f>
        <v>-1.1111579999999999</v>
      </c>
      <c r="BF159" s="49"/>
      <c r="BG159" s="50"/>
      <c r="BH159" s="7"/>
      <c r="BI159" s="21" t="s">
        <v>545</v>
      </c>
      <c r="BJ159" s="7"/>
      <c r="BK159" s="7"/>
      <c r="BL159" s="7"/>
      <c r="BM159" s="49">
        <f>-0.071*$BM$10*$BK$8</f>
        <v>-2.0390756249999997</v>
      </c>
      <c r="BN159" s="49"/>
      <c r="BO159" s="50"/>
      <c r="BP159" s="7"/>
      <c r="BQ159" s="21" t="s">
        <v>548</v>
      </c>
      <c r="BR159" s="7"/>
      <c r="BS159" s="7"/>
      <c r="BT159" s="7"/>
      <c r="BU159" s="49">
        <f>-0.069*$BU$10*$BS$8</f>
        <v>-2.0591256</v>
      </c>
      <c r="BV159" s="49"/>
      <c r="BW159" s="50"/>
    </row>
    <row r="160" spans="1:75" ht="11.25">
      <c r="A160" s="58"/>
      <c r="B160" s="6"/>
      <c r="C160" s="7"/>
      <c r="D160" s="7"/>
      <c r="E160" s="12">
        <v>1</v>
      </c>
      <c r="F160" s="7"/>
      <c r="G160" s="7"/>
      <c r="H160" s="12">
        <v>2</v>
      </c>
      <c r="I160" s="7"/>
      <c r="J160" s="7"/>
      <c r="K160" s="12">
        <v>3</v>
      </c>
      <c r="L160" s="7"/>
      <c r="M160" s="7"/>
      <c r="N160" s="12">
        <v>4</v>
      </c>
      <c r="O160" s="7"/>
      <c r="P160" s="7"/>
      <c r="Q160" s="12">
        <v>5</v>
      </c>
      <c r="R160" s="7"/>
      <c r="S160" s="7"/>
      <c r="T160" s="7"/>
      <c r="U160" s="7" t="s">
        <v>298</v>
      </c>
      <c r="V160" s="7"/>
      <c r="W160" s="7"/>
      <c r="X160" s="7"/>
      <c r="Y160" s="7"/>
      <c r="Z160" s="6"/>
      <c r="AA160" s="21" t="s">
        <v>523</v>
      </c>
      <c r="AB160" s="7"/>
      <c r="AC160" s="7"/>
      <c r="AD160" s="7"/>
      <c r="AE160" s="49">
        <f>-0.035*$AD$2*$AC$7^2</f>
        <v>-2.12625</v>
      </c>
      <c r="AF160" s="49"/>
      <c r="AG160" s="49"/>
      <c r="AH160" s="6"/>
      <c r="AI160" s="21" t="s">
        <v>529</v>
      </c>
      <c r="AJ160" s="7"/>
      <c r="AK160" s="7"/>
      <c r="AL160" s="7"/>
      <c r="AM160" s="49">
        <f>-0.052*$AL$2*$AK$8</f>
        <v>-6.656</v>
      </c>
      <c r="AN160" s="49"/>
      <c r="AO160" s="50"/>
      <c r="AP160" s="6"/>
      <c r="AQ160" s="7"/>
      <c r="AR160" s="7"/>
      <c r="AS160" s="21" t="s">
        <v>536</v>
      </c>
      <c r="AT160" s="7"/>
      <c r="AU160" s="7"/>
      <c r="AV160" s="7"/>
      <c r="AW160" s="49">
        <f>-0.093*$AT$2*$AU$8</f>
        <v>-4.8825</v>
      </c>
      <c r="AX160" s="49"/>
      <c r="AY160" s="50"/>
      <c r="AZ160" s="6"/>
      <c r="BA160" s="21" t="s">
        <v>284</v>
      </c>
      <c r="BB160" s="7"/>
      <c r="BC160" s="7"/>
      <c r="BD160" s="7"/>
      <c r="BE160" s="49">
        <f>-0.044*$BE$10*$BC$8</f>
        <v>-0.679041</v>
      </c>
      <c r="BF160" s="49"/>
      <c r="BG160" s="50"/>
      <c r="BH160" s="7"/>
      <c r="BI160" s="21" t="s">
        <v>546</v>
      </c>
      <c r="BJ160" s="7"/>
      <c r="BK160" s="7"/>
      <c r="BL160" s="7"/>
      <c r="BM160" s="49">
        <f>-0.043*$BM$10*$BK$8</f>
        <v>-1.2349331249999997</v>
      </c>
      <c r="BN160" s="49"/>
      <c r="BO160" s="50"/>
      <c r="BP160" s="7"/>
      <c r="BQ160" s="21" t="s">
        <v>546</v>
      </c>
      <c r="BR160" s="7"/>
      <c r="BS160" s="7"/>
      <c r="BT160" s="7"/>
      <c r="BU160" s="49">
        <f>-0.043*$BU$10*$BS$8</f>
        <v>-1.2832231999999995</v>
      </c>
      <c r="BV160" s="49"/>
      <c r="BW160" s="50"/>
    </row>
    <row r="161" spans="1:75" ht="11.25">
      <c r="A161" s="58"/>
      <c r="B161" s="6"/>
      <c r="C161" s="51" t="s">
        <v>0</v>
      </c>
      <c r="D161" s="51"/>
      <c r="E161" s="12"/>
      <c r="F161" s="51" t="s">
        <v>1</v>
      </c>
      <c r="G161" s="51"/>
      <c r="H161" s="12"/>
      <c r="I161" s="51" t="s">
        <v>2</v>
      </c>
      <c r="J161" s="51"/>
      <c r="K161" s="12"/>
      <c r="L161" s="51" t="s">
        <v>72</v>
      </c>
      <c r="M161" s="51"/>
      <c r="N161" s="12"/>
      <c r="O161" s="51" t="s">
        <v>203</v>
      </c>
      <c r="P161" s="51"/>
      <c r="Q161" s="12"/>
      <c r="R161" s="51" t="s">
        <v>385</v>
      </c>
      <c r="S161" s="51"/>
      <c r="T161" s="7"/>
      <c r="U161" s="7" t="s">
        <v>487</v>
      </c>
      <c r="V161" s="7"/>
      <c r="W161" s="7"/>
      <c r="X161" s="7"/>
      <c r="Y161" s="7"/>
      <c r="Z161" s="6"/>
      <c r="AA161" s="21" t="s">
        <v>264</v>
      </c>
      <c r="AB161" s="7"/>
      <c r="AC161" s="7"/>
      <c r="AD161" s="7"/>
      <c r="AE161" s="49">
        <f>-0.054*$AD$2*$AC$7^2</f>
        <v>-3.2805</v>
      </c>
      <c r="AF161" s="49"/>
      <c r="AG161" s="49"/>
      <c r="AH161" s="6"/>
      <c r="AI161" s="21" t="s">
        <v>530</v>
      </c>
      <c r="AJ161" s="7"/>
      <c r="AK161" s="7"/>
      <c r="AL161" s="7"/>
      <c r="AM161" s="49">
        <f>-0.081*$AL$2*$AK$8</f>
        <v>-10.368</v>
      </c>
      <c r="AN161" s="49"/>
      <c r="AO161" s="50"/>
      <c r="AP161" s="6"/>
      <c r="AQ161" s="7"/>
      <c r="AR161" s="7"/>
      <c r="AS161" s="21" t="s">
        <v>537</v>
      </c>
      <c r="AT161" s="7"/>
      <c r="AU161" s="7"/>
      <c r="AV161" s="7"/>
      <c r="AW161" s="49">
        <f>-0.144*$AT$2*$AU$8</f>
        <v>-7.559999999999999</v>
      </c>
      <c r="AX161" s="49"/>
      <c r="AY161" s="50"/>
      <c r="AZ161" s="6"/>
      <c r="BA161" s="21" t="s">
        <v>278</v>
      </c>
      <c r="BB161" s="7"/>
      <c r="BC161" s="7"/>
      <c r="BD161" s="7"/>
      <c r="BE161" s="49">
        <f>-0.067*$BE$10*$BC$8</f>
        <v>-1.0339942500000001</v>
      </c>
      <c r="BF161" s="49"/>
      <c r="BG161" s="50"/>
      <c r="BH161" s="7"/>
      <c r="BI161" s="21" t="s">
        <v>278</v>
      </c>
      <c r="BJ161" s="7"/>
      <c r="BK161" s="7"/>
      <c r="BL161" s="7"/>
      <c r="BM161" s="49">
        <f>-0.067*$BM$10*$BK$8</f>
        <v>-1.924198125</v>
      </c>
      <c r="BN161" s="49"/>
      <c r="BO161" s="50"/>
      <c r="BP161" s="7"/>
      <c r="BQ161" s="21" t="s">
        <v>283</v>
      </c>
      <c r="BR161" s="7"/>
      <c r="BS161" s="7"/>
      <c r="BT161" s="7"/>
      <c r="BU161" s="49">
        <f>-0.065*$BU$10*$BS$8</f>
        <v>-1.9397559999999996</v>
      </c>
      <c r="BV161" s="49"/>
      <c r="BW161" s="50"/>
    </row>
    <row r="162" spans="1:75" ht="11.25">
      <c r="A162" s="58"/>
      <c r="B162" s="6"/>
      <c r="C162" s="7"/>
      <c r="D162" s="24"/>
      <c r="E162" s="24" t="s">
        <v>20</v>
      </c>
      <c r="F162" s="7"/>
      <c r="G162" s="24"/>
      <c r="H162" s="24" t="s">
        <v>20</v>
      </c>
      <c r="I162" s="7"/>
      <c r="J162" s="24"/>
      <c r="K162" s="24" t="s">
        <v>20</v>
      </c>
      <c r="L162" s="7"/>
      <c r="M162" s="24"/>
      <c r="N162" s="24" t="s">
        <v>20</v>
      </c>
      <c r="O162" s="7"/>
      <c r="P162" s="25"/>
      <c r="Q162" s="12" t="str">
        <f>+N162</f>
        <v>L</v>
      </c>
      <c r="R162" s="7"/>
      <c r="S162" s="7"/>
      <c r="T162" s="7"/>
      <c r="U162" s="7" t="s">
        <v>299</v>
      </c>
      <c r="V162" s="7"/>
      <c r="W162" s="7"/>
      <c r="X162" s="7"/>
      <c r="Y162" s="7"/>
      <c r="Z162" s="6"/>
      <c r="AA162" s="21" t="s">
        <v>524</v>
      </c>
      <c r="AB162" s="7"/>
      <c r="AC162" s="7"/>
      <c r="AD162" s="7"/>
      <c r="AE162" s="49">
        <f>-0.086*$AD$2*$AC$7</f>
        <v>-1.161</v>
      </c>
      <c r="AF162" s="49"/>
      <c r="AG162" s="49"/>
      <c r="AH162" s="6"/>
      <c r="AI162" s="21" t="s">
        <v>531</v>
      </c>
      <c r="AJ162" s="7"/>
      <c r="AK162" s="7"/>
      <c r="AL162" s="7"/>
      <c r="AM162" s="49">
        <f>-0.129*$AL$2</f>
        <v>-4.128</v>
      </c>
      <c r="AN162" s="49"/>
      <c r="AO162" s="50"/>
      <c r="AP162" s="6"/>
      <c r="AQ162" s="7"/>
      <c r="AR162" s="7"/>
      <c r="AS162" s="21" t="s">
        <v>538</v>
      </c>
      <c r="AT162" s="7"/>
      <c r="AU162" s="7"/>
      <c r="AV162" s="7"/>
      <c r="AW162" s="49">
        <f>-0.23*$AT$2</f>
        <v>-3.45</v>
      </c>
      <c r="AX162" s="49"/>
      <c r="AY162" s="50"/>
      <c r="AZ162" s="6"/>
      <c r="BA162" s="21" t="s">
        <v>544</v>
      </c>
      <c r="BB162" s="7"/>
      <c r="BC162" s="7"/>
      <c r="BD162" s="7"/>
      <c r="BE162" s="49">
        <f>-0.108*$BE$10</f>
        <v>-0.58482</v>
      </c>
      <c r="BF162" s="49"/>
      <c r="BG162" s="50"/>
      <c r="BH162" s="7"/>
      <c r="BI162" s="21" t="s">
        <v>544</v>
      </c>
      <c r="BJ162" s="7"/>
      <c r="BK162" s="7"/>
      <c r="BL162" s="7"/>
      <c r="BM162" s="49">
        <f>-0.108*$BM$10</f>
        <v>-0.72981</v>
      </c>
      <c r="BN162" s="49"/>
      <c r="BO162" s="50"/>
      <c r="BP162" s="7"/>
      <c r="BQ162" s="21" t="s">
        <v>549</v>
      </c>
      <c r="BR162" s="7"/>
      <c r="BS162" s="7"/>
      <c r="BT162" s="7"/>
      <c r="BU162" s="49">
        <f>-0.103*$BU$10</f>
        <v>-0.8421279999999998</v>
      </c>
      <c r="BV162" s="49"/>
      <c r="BW162" s="50"/>
    </row>
    <row r="163" spans="1:75" ht="11.25">
      <c r="A163" s="58"/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 t="s">
        <v>300</v>
      </c>
      <c r="V163" s="7"/>
      <c r="W163" s="7"/>
      <c r="X163" s="7"/>
      <c r="Y163" s="7"/>
      <c r="Z163" s="6"/>
      <c r="AA163" s="7" t="s">
        <v>525</v>
      </c>
      <c r="AB163" s="7"/>
      <c r="AC163" s="7"/>
      <c r="AD163" s="7"/>
      <c r="AE163" s="49">
        <f>0.014*$AD$2*$AC$7</f>
        <v>0.189</v>
      </c>
      <c r="AF163" s="49"/>
      <c r="AG163" s="49"/>
      <c r="AH163" s="6"/>
      <c r="AI163" s="21" t="s">
        <v>532</v>
      </c>
      <c r="AJ163" s="7"/>
      <c r="AK163" s="7"/>
      <c r="AL163" s="7"/>
      <c r="AM163" s="49">
        <f>0.022*$AL$2</f>
        <v>0.704</v>
      </c>
      <c r="AN163" s="49"/>
      <c r="AO163" s="50"/>
      <c r="AP163" s="6"/>
      <c r="AQ163" s="7"/>
      <c r="AR163" s="7"/>
      <c r="AS163" s="21" t="s">
        <v>539</v>
      </c>
      <c r="AT163" s="7"/>
      <c r="AU163" s="7"/>
      <c r="AV163" s="7"/>
      <c r="AW163" s="49">
        <f>0.038*$AT$2</f>
        <v>0.57</v>
      </c>
      <c r="AX163" s="49"/>
      <c r="AY163" s="50"/>
      <c r="AZ163" s="6"/>
      <c r="BA163" s="21" t="s">
        <v>543</v>
      </c>
      <c r="BB163" s="7"/>
      <c r="BC163" s="7"/>
      <c r="BD163" s="7"/>
      <c r="BE163" s="49">
        <f>0.018*$BE$10</f>
        <v>0.09746999999999999</v>
      </c>
      <c r="BF163" s="49"/>
      <c r="BG163" s="50"/>
      <c r="BH163" s="7"/>
      <c r="BI163" s="21" t="s">
        <v>543</v>
      </c>
      <c r="BJ163" s="7"/>
      <c r="BK163" s="7"/>
      <c r="BL163" s="7"/>
      <c r="BM163" s="49">
        <f>0.018*$BM$10</f>
        <v>0.12163499999999998</v>
      </c>
      <c r="BN163" s="49"/>
      <c r="BO163" s="50"/>
      <c r="BP163" s="7"/>
      <c r="BQ163" s="21" t="s">
        <v>347</v>
      </c>
      <c r="BR163" s="7"/>
      <c r="BS163" s="7"/>
      <c r="BT163" s="7"/>
      <c r="BU163" s="49">
        <f>0.017*$BU$10</f>
        <v>0.13899199999999998</v>
      </c>
      <c r="BV163" s="49"/>
      <c r="BW163" s="50"/>
    </row>
    <row r="164" spans="1:75" ht="11.25">
      <c r="A164" s="58"/>
      <c r="B164" s="6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 t="s">
        <v>301</v>
      </c>
      <c r="V164" s="7"/>
      <c r="W164" s="7"/>
      <c r="X164" s="7"/>
      <c r="Y164" s="7"/>
      <c r="Z164" s="6"/>
      <c r="AA164" s="21" t="s">
        <v>526</v>
      </c>
      <c r="AB164" s="7"/>
      <c r="AC164" s="7"/>
      <c r="AD164" s="7"/>
      <c r="AE164" s="49">
        <f>-0.072*$AD$2*$AC$7</f>
        <v>-0.9719999999999999</v>
      </c>
      <c r="AF164" s="49"/>
      <c r="AG164" s="49"/>
      <c r="AH164" s="6"/>
      <c r="AI164" s="21" t="s">
        <v>533</v>
      </c>
      <c r="AJ164" s="7"/>
      <c r="AK164" s="7"/>
      <c r="AL164" s="7"/>
      <c r="AM164" s="49">
        <f>-0.108*$AL$2</f>
        <v>-3.456</v>
      </c>
      <c r="AN164" s="49"/>
      <c r="AO164" s="50"/>
      <c r="AP164" s="6"/>
      <c r="AQ164" s="7"/>
      <c r="AR164" s="7"/>
      <c r="AS164" s="21" t="s">
        <v>540</v>
      </c>
      <c r="AT164" s="7"/>
      <c r="AU164" s="7"/>
      <c r="AV164" s="7"/>
      <c r="AW164" s="49">
        <f>-0.191*$AT$2</f>
        <v>-2.865</v>
      </c>
      <c r="AX164" s="49"/>
      <c r="AY164" s="50"/>
      <c r="AZ164" s="6"/>
      <c r="BA164" s="21" t="s">
        <v>542</v>
      </c>
      <c r="BB164" s="7"/>
      <c r="BC164" s="7"/>
      <c r="BD164" s="7"/>
      <c r="BE164" s="49">
        <f>-0.09*$BE$10</f>
        <v>-0.48735</v>
      </c>
      <c r="BF164" s="49"/>
      <c r="BG164" s="50"/>
      <c r="BH164" s="7"/>
      <c r="BI164" s="21" t="s">
        <v>547</v>
      </c>
      <c r="BJ164" s="7"/>
      <c r="BK164" s="7"/>
      <c r="BL164" s="7"/>
      <c r="BM164" s="49">
        <f>-0.089*$BM$10</f>
        <v>-0.6014174999999999</v>
      </c>
      <c r="BN164" s="49"/>
      <c r="BO164" s="50"/>
      <c r="BP164" s="7"/>
      <c r="BQ164" s="21" t="s">
        <v>550</v>
      </c>
      <c r="BR164" s="7"/>
      <c r="BS164" s="7"/>
      <c r="BT164" s="7"/>
      <c r="BU164" s="49">
        <f>-0.086*$BU$10</f>
        <v>-0.7031359999999998</v>
      </c>
      <c r="BV164" s="49"/>
      <c r="BW164" s="50"/>
    </row>
    <row r="165" spans="1:75" ht="11.25">
      <c r="A165" s="58"/>
      <c r="B165" s="6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6"/>
      <c r="AA165" s="7"/>
      <c r="AB165" s="7"/>
      <c r="AC165" s="7"/>
      <c r="AD165" s="7"/>
      <c r="AE165" s="7"/>
      <c r="AF165" s="7"/>
      <c r="AG165" s="7"/>
      <c r="AH165" s="6"/>
      <c r="AI165" s="7"/>
      <c r="AJ165" s="7"/>
      <c r="AK165" s="7"/>
      <c r="AL165" s="7"/>
      <c r="AM165" s="7"/>
      <c r="AN165" s="7"/>
      <c r="AO165" s="8"/>
      <c r="AP165" s="6"/>
      <c r="AQ165" s="7"/>
      <c r="AR165" s="7"/>
      <c r="AS165" s="7"/>
      <c r="AT165" s="7"/>
      <c r="AU165" s="7"/>
      <c r="AV165" s="7"/>
      <c r="AW165" s="7"/>
      <c r="AX165" s="7"/>
      <c r="AY165" s="8"/>
      <c r="AZ165" s="6"/>
      <c r="BA165" s="7"/>
      <c r="BB165" s="7"/>
      <c r="BC165" s="7"/>
      <c r="BD165" s="7"/>
      <c r="BE165" s="7"/>
      <c r="BF165" s="7"/>
      <c r="BG165" s="8"/>
      <c r="BH165" s="7"/>
      <c r="BI165" s="7"/>
      <c r="BJ165" s="7"/>
      <c r="BK165" s="7"/>
      <c r="BL165" s="7"/>
      <c r="BM165" s="7"/>
      <c r="BN165" s="7"/>
      <c r="BO165" s="8"/>
      <c r="BP165" s="7"/>
      <c r="BQ165" s="7"/>
      <c r="BR165" s="7"/>
      <c r="BS165" s="7"/>
      <c r="BT165" s="7"/>
      <c r="BU165" s="7"/>
      <c r="BV165" s="7"/>
      <c r="BW165" s="8"/>
    </row>
    <row r="166" spans="1:75" ht="11.25">
      <c r="A166" s="58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3"/>
      <c r="AA166" s="4"/>
      <c r="AB166" s="4"/>
      <c r="AC166" s="4"/>
      <c r="AD166" s="4"/>
      <c r="AE166" s="4"/>
      <c r="AF166" s="4"/>
      <c r="AG166" s="4"/>
      <c r="AH166" s="3"/>
      <c r="AI166" s="4"/>
      <c r="AJ166" s="4"/>
      <c r="AK166" s="4"/>
      <c r="AL166" s="4"/>
      <c r="AM166" s="4"/>
      <c r="AN166" s="4"/>
      <c r="AO166" s="5"/>
      <c r="AP166" s="3"/>
      <c r="AQ166" s="4"/>
      <c r="AR166" s="4"/>
      <c r="AS166" s="4"/>
      <c r="AT166" s="4"/>
      <c r="AU166" s="4"/>
      <c r="AV166" s="4"/>
      <c r="AW166" s="4"/>
      <c r="AX166" s="4"/>
      <c r="AY166" s="5"/>
      <c r="AZ166" s="3"/>
      <c r="BA166" s="4"/>
      <c r="BB166" s="4"/>
      <c r="BC166" s="4"/>
      <c r="BD166" s="4"/>
      <c r="BE166" s="4"/>
      <c r="BF166" s="4"/>
      <c r="BG166" s="5"/>
      <c r="BH166" s="4"/>
      <c r="BI166" s="4"/>
      <c r="BJ166" s="4"/>
      <c r="BK166" s="4"/>
      <c r="BL166" s="4"/>
      <c r="BM166" s="4"/>
      <c r="BN166" s="4"/>
      <c r="BO166" s="5"/>
      <c r="BP166" s="4"/>
      <c r="BQ166" s="4"/>
      <c r="BR166" s="4"/>
      <c r="BS166" s="4"/>
      <c r="BT166" s="4"/>
      <c r="BU166" s="4"/>
      <c r="BV166" s="4"/>
      <c r="BW166" s="5"/>
    </row>
    <row r="167" spans="1:75" ht="11.25">
      <c r="A167" s="58"/>
      <c r="B167" s="6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 t="s">
        <v>44</v>
      </c>
      <c r="V167" s="7"/>
      <c r="W167" s="7"/>
      <c r="X167" s="7"/>
      <c r="Y167" s="7"/>
      <c r="Z167" s="6"/>
      <c r="AA167" s="21" t="s">
        <v>523</v>
      </c>
      <c r="AB167" s="7"/>
      <c r="AC167" s="7"/>
      <c r="AD167" s="7"/>
      <c r="AE167" s="49">
        <f>-0.035*$AD$2*$AC$7^2</f>
        <v>-2.12625</v>
      </c>
      <c r="AF167" s="49"/>
      <c r="AG167" s="49"/>
      <c r="AH167" s="6"/>
      <c r="AI167" s="21" t="s">
        <v>529</v>
      </c>
      <c r="AJ167" s="7"/>
      <c r="AK167" s="7"/>
      <c r="AL167" s="7"/>
      <c r="AM167" s="49">
        <f>-0.052*$AL$2*$AK$8</f>
        <v>-6.656</v>
      </c>
      <c r="AN167" s="49"/>
      <c r="AO167" s="50"/>
      <c r="AP167" s="6"/>
      <c r="AQ167" s="7"/>
      <c r="AR167" s="7"/>
      <c r="AS167" s="21" t="s">
        <v>536</v>
      </c>
      <c r="AT167" s="7"/>
      <c r="AU167" s="7"/>
      <c r="AV167" s="7"/>
      <c r="AW167" s="49">
        <f>-0.093*$AT$2*$AU$8</f>
        <v>-4.8825</v>
      </c>
      <c r="AX167" s="49"/>
      <c r="AY167" s="50"/>
      <c r="AZ167" s="6"/>
      <c r="BA167" s="21" t="s">
        <v>284</v>
      </c>
      <c r="BB167" s="7"/>
      <c r="BC167" s="7"/>
      <c r="BD167" s="7"/>
      <c r="BE167" s="49">
        <f>-0.044*$BE$10*$BC$8</f>
        <v>-0.679041</v>
      </c>
      <c r="BF167" s="49"/>
      <c r="BG167" s="50"/>
      <c r="BH167" s="7"/>
      <c r="BI167" s="21" t="s">
        <v>546</v>
      </c>
      <c r="BJ167" s="7"/>
      <c r="BK167" s="7"/>
      <c r="BL167" s="7"/>
      <c r="BM167" s="49">
        <f>-0.043*$BM$10*$BK$8</f>
        <v>-1.2349331249999997</v>
      </c>
      <c r="BN167" s="49"/>
      <c r="BO167" s="50"/>
      <c r="BP167" s="7"/>
      <c r="BQ167" s="21" t="s">
        <v>574</v>
      </c>
      <c r="BR167" s="7"/>
      <c r="BS167" s="7"/>
      <c r="BT167" s="7"/>
      <c r="BU167" s="49">
        <f>-0.042*$BU$10*$BS$8</f>
        <v>-1.2533808</v>
      </c>
      <c r="BV167" s="49"/>
      <c r="BW167" s="50"/>
    </row>
    <row r="168" spans="1:75" ht="12" thickBot="1">
      <c r="A168" s="58"/>
      <c r="B168" s="6"/>
      <c r="C168" s="7"/>
      <c r="D168" s="34"/>
      <c r="E168" s="34"/>
      <c r="F168" s="34"/>
      <c r="G168" s="23"/>
      <c r="H168" s="23"/>
      <c r="I168" s="48"/>
      <c r="J168" s="23"/>
      <c r="K168" s="23"/>
      <c r="L168" s="23"/>
      <c r="M168" s="34"/>
      <c r="N168" s="34"/>
      <c r="O168" s="34"/>
      <c r="P168" s="39"/>
      <c r="Q168" s="39"/>
      <c r="R168" s="39"/>
      <c r="S168" s="7"/>
      <c r="T168" s="7"/>
      <c r="U168" s="7" t="s">
        <v>360</v>
      </c>
      <c r="V168" s="7"/>
      <c r="W168" s="7"/>
      <c r="X168" s="7"/>
      <c r="Y168" s="7"/>
      <c r="Z168" s="6"/>
      <c r="AA168" s="21" t="s">
        <v>553</v>
      </c>
      <c r="AB168" s="7"/>
      <c r="AC168" s="7"/>
      <c r="AD168" s="7"/>
      <c r="AE168" s="49">
        <f>-0.111*$AD$2*$AC$7^2</f>
        <v>-6.743250000000001</v>
      </c>
      <c r="AF168" s="49"/>
      <c r="AG168" s="49"/>
      <c r="AH168" s="6"/>
      <c r="AI168" s="21" t="s">
        <v>53</v>
      </c>
      <c r="AJ168" s="7"/>
      <c r="AK168" s="7"/>
      <c r="AL168" s="7"/>
      <c r="AM168" s="49">
        <f>-0.167*$AL$2*$AK$8</f>
        <v>-21.376</v>
      </c>
      <c r="AN168" s="49"/>
      <c r="AO168" s="50"/>
      <c r="AP168" s="6"/>
      <c r="AQ168" s="7"/>
      <c r="AR168" s="7"/>
      <c r="AS168" s="21" t="s">
        <v>562</v>
      </c>
      <c r="AT168" s="7"/>
      <c r="AU168" s="7"/>
      <c r="AV168" s="7"/>
      <c r="AW168" s="49">
        <f>-0.297*$AT$2*$AU$8</f>
        <v>-15.592500000000001</v>
      </c>
      <c r="AX168" s="49"/>
      <c r="AY168" s="50"/>
      <c r="AZ168" s="6"/>
      <c r="BA168" s="21" t="s">
        <v>566</v>
      </c>
      <c r="BB168" s="7"/>
      <c r="BC168" s="7"/>
      <c r="BD168" s="7"/>
      <c r="BE168" s="49">
        <f>-0.139*$BE$10*$BC$8</f>
        <v>-2.14515225</v>
      </c>
      <c r="BF168" s="49"/>
      <c r="BG168" s="50"/>
      <c r="BH168" s="7"/>
      <c r="BI168" s="21" t="s">
        <v>571</v>
      </c>
      <c r="BJ168" s="7"/>
      <c r="BK168" s="7"/>
      <c r="BL168" s="7"/>
      <c r="BM168" s="49">
        <f>-0.138*$BM$10*$BK$8</f>
        <v>-3.96327375</v>
      </c>
      <c r="BN168" s="49"/>
      <c r="BO168" s="50"/>
      <c r="BP168" s="7"/>
      <c r="BQ168" s="21" t="s">
        <v>237</v>
      </c>
      <c r="BR168" s="7"/>
      <c r="BS168" s="7"/>
      <c r="BT168" s="7"/>
      <c r="BU168" s="49">
        <f>-0.134*$BU$10*$BS$8</f>
        <v>-3.9988815999999994</v>
      </c>
      <c r="BV168" s="49"/>
      <c r="BW168" s="50"/>
    </row>
    <row r="169" spans="1:75" ht="11.25">
      <c r="A169" s="58"/>
      <c r="B169" s="6"/>
      <c r="C169" s="7"/>
      <c r="D169" s="7"/>
      <c r="E169" s="12">
        <v>1</v>
      </c>
      <c r="F169" s="7"/>
      <c r="G169" s="7"/>
      <c r="H169" s="12">
        <v>2</v>
      </c>
      <c r="I169" s="7"/>
      <c r="J169" s="7"/>
      <c r="K169" s="12">
        <v>3</v>
      </c>
      <c r="L169" s="7"/>
      <c r="M169" s="7"/>
      <c r="N169" s="12">
        <v>4</v>
      </c>
      <c r="O169" s="7"/>
      <c r="P169" s="7"/>
      <c r="Q169" s="12">
        <v>5</v>
      </c>
      <c r="R169" s="7"/>
      <c r="S169" s="7"/>
      <c r="T169" s="7"/>
      <c r="U169" s="7" t="s">
        <v>298</v>
      </c>
      <c r="V169" s="7"/>
      <c r="W169" s="7"/>
      <c r="X169" s="7"/>
      <c r="Y169" s="7"/>
      <c r="Z169" s="6"/>
      <c r="AA169" s="21" t="s">
        <v>554</v>
      </c>
      <c r="AB169" s="7"/>
      <c r="AC169" s="7"/>
      <c r="AD169" s="7"/>
      <c r="AE169" s="49">
        <f>-0.02*$AD$2*$AC$7^2</f>
        <v>-1.2149999999999999</v>
      </c>
      <c r="AF169" s="49"/>
      <c r="AG169" s="49"/>
      <c r="AH169" s="6"/>
      <c r="AI169" s="21" t="s">
        <v>558</v>
      </c>
      <c r="AJ169" s="7"/>
      <c r="AK169" s="7"/>
      <c r="AL169" s="7"/>
      <c r="AM169" s="49">
        <f>-0.031*$AL$2*$AK$8</f>
        <v>-3.968</v>
      </c>
      <c r="AN169" s="49"/>
      <c r="AO169" s="50"/>
      <c r="AP169" s="6"/>
      <c r="AQ169" s="7"/>
      <c r="AR169" s="7"/>
      <c r="AS169" s="21" t="s">
        <v>270</v>
      </c>
      <c r="AT169" s="7"/>
      <c r="AU169" s="7"/>
      <c r="AV169" s="7"/>
      <c r="AW169" s="49">
        <f>-0.054*$AT$2*$AU$8</f>
        <v>-2.835</v>
      </c>
      <c r="AX169" s="49"/>
      <c r="AY169" s="50"/>
      <c r="AZ169" s="6"/>
      <c r="BA169" s="21" t="s">
        <v>567</v>
      </c>
      <c r="BB169" s="7"/>
      <c r="BC169" s="7"/>
      <c r="BD169" s="7"/>
      <c r="BE169" s="49">
        <f>-0.025*$BE$10*$BC$8</f>
        <v>-0.38581875</v>
      </c>
      <c r="BF169" s="49"/>
      <c r="BG169" s="50"/>
      <c r="BH169" s="7"/>
      <c r="BI169" s="21" t="s">
        <v>567</v>
      </c>
      <c r="BJ169" s="7"/>
      <c r="BK169" s="7"/>
      <c r="BL169" s="7"/>
      <c r="BM169" s="49">
        <f>-0.025*$BM$10*$BK$8</f>
        <v>-0.717984375</v>
      </c>
      <c r="BN169" s="49"/>
      <c r="BO169" s="50"/>
      <c r="BP169" s="7"/>
      <c r="BQ169" s="21" t="s">
        <v>575</v>
      </c>
      <c r="BR169" s="7"/>
      <c r="BS169" s="7"/>
      <c r="BT169" s="7"/>
      <c r="BU169" s="49">
        <f>-0.024*$BU$10*$BS$8</f>
        <v>-0.7162175999999998</v>
      </c>
      <c r="BV169" s="49"/>
      <c r="BW169" s="50"/>
    </row>
    <row r="170" spans="1:75" ht="11.25">
      <c r="A170" s="58"/>
      <c r="B170" s="6"/>
      <c r="C170" s="51" t="s">
        <v>0</v>
      </c>
      <c r="D170" s="51"/>
      <c r="E170" s="12"/>
      <c r="F170" s="51" t="s">
        <v>1</v>
      </c>
      <c r="G170" s="51"/>
      <c r="H170" s="12"/>
      <c r="I170" s="51" t="s">
        <v>2</v>
      </c>
      <c r="J170" s="51"/>
      <c r="K170" s="12"/>
      <c r="L170" s="51" t="s">
        <v>72</v>
      </c>
      <c r="M170" s="51"/>
      <c r="N170" s="12"/>
      <c r="O170" s="51" t="s">
        <v>203</v>
      </c>
      <c r="P170" s="51"/>
      <c r="Q170" s="12"/>
      <c r="R170" s="51" t="s">
        <v>385</v>
      </c>
      <c r="S170" s="51"/>
      <c r="T170" s="7"/>
      <c r="U170" s="7" t="s">
        <v>487</v>
      </c>
      <c r="V170" s="7"/>
      <c r="W170" s="7"/>
      <c r="X170" s="7"/>
      <c r="Y170" s="7"/>
      <c r="Z170" s="6"/>
      <c r="AA170" s="21" t="s">
        <v>522</v>
      </c>
      <c r="AB170" s="7"/>
      <c r="AC170" s="7"/>
      <c r="AD170" s="7"/>
      <c r="AE170" s="49">
        <f>-0.057*$AD$2*$AC$7^2</f>
        <v>-3.46275</v>
      </c>
      <c r="AF170" s="49"/>
      <c r="AG170" s="49"/>
      <c r="AH170" s="6"/>
      <c r="AI170" s="21" t="s">
        <v>528</v>
      </c>
      <c r="AJ170" s="7"/>
      <c r="AK170" s="7"/>
      <c r="AL170" s="7"/>
      <c r="AM170" s="49">
        <f>-0.086*$AL$2*$AK$8</f>
        <v>-11.008</v>
      </c>
      <c r="AN170" s="49"/>
      <c r="AO170" s="50"/>
      <c r="AP170" s="6"/>
      <c r="AQ170" s="7"/>
      <c r="AR170" s="7"/>
      <c r="AS170" s="21" t="s">
        <v>535</v>
      </c>
      <c r="AT170" s="7"/>
      <c r="AU170" s="7"/>
      <c r="AV170" s="7"/>
      <c r="AW170" s="49">
        <f>-0.153*$AT$2*$AU$8</f>
        <v>-8.032499999999999</v>
      </c>
      <c r="AX170" s="49"/>
      <c r="AY170" s="50"/>
      <c r="AZ170" s="6"/>
      <c r="BA170" s="21" t="s">
        <v>545</v>
      </c>
      <c r="BB170" s="7"/>
      <c r="BC170" s="7"/>
      <c r="BD170" s="7"/>
      <c r="BE170" s="49">
        <f>-0.071*$BE$10*$BC$8</f>
        <v>-1.0957252499999999</v>
      </c>
      <c r="BF170" s="49"/>
      <c r="BG170" s="50"/>
      <c r="BH170" s="7"/>
      <c r="BI170" s="21" t="s">
        <v>545</v>
      </c>
      <c r="BJ170" s="7"/>
      <c r="BK170" s="7"/>
      <c r="BL170" s="7"/>
      <c r="BM170" s="49">
        <f>-0.071*$BM$10*$BK$8</f>
        <v>-2.0390756249999997</v>
      </c>
      <c r="BN170" s="49"/>
      <c r="BO170" s="50"/>
      <c r="BP170" s="7"/>
      <c r="BQ170" s="21" t="s">
        <v>548</v>
      </c>
      <c r="BR170" s="7"/>
      <c r="BS170" s="7"/>
      <c r="BT170" s="7"/>
      <c r="BU170" s="49">
        <f>-0.069*$BU$10*$BS$8</f>
        <v>-2.0591256</v>
      </c>
      <c r="BV170" s="49"/>
      <c r="BW170" s="50"/>
    </row>
    <row r="171" spans="1:75" ht="11.25">
      <c r="A171" s="58"/>
      <c r="B171" s="6"/>
      <c r="C171" s="7"/>
      <c r="D171" s="24"/>
      <c r="E171" s="24" t="s">
        <v>20</v>
      </c>
      <c r="F171" s="7"/>
      <c r="G171" s="24"/>
      <c r="H171" s="24" t="s">
        <v>20</v>
      </c>
      <c r="I171" s="7"/>
      <c r="J171" s="24"/>
      <c r="K171" s="24" t="s">
        <v>20</v>
      </c>
      <c r="L171" s="7"/>
      <c r="M171" s="24"/>
      <c r="N171" s="24" t="s">
        <v>20</v>
      </c>
      <c r="O171" s="7"/>
      <c r="P171" s="25"/>
      <c r="Q171" s="12" t="str">
        <f>+N171</f>
        <v>L</v>
      </c>
      <c r="R171" s="7"/>
      <c r="S171" s="7"/>
      <c r="T171" s="7"/>
      <c r="U171" s="7" t="s">
        <v>361</v>
      </c>
      <c r="V171" s="7"/>
      <c r="W171" s="7"/>
      <c r="X171" s="7"/>
      <c r="Y171" s="7"/>
      <c r="Z171" s="6"/>
      <c r="AA171" s="7" t="s">
        <v>555</v>
      </c>
      <c r="AB171" s="7"/>
      <c r="AC171" s="7"/>
      <c r="AD171" s="7"/>
      <c r="AE171" s="49">
        <f>1.167*$AD$2*$AC$7</f>
        <v>15.754500000000002</v>
      </c>
      <c r="AF171" s="49"/>
      <c r="AG171" s="49"/>
      <c r="AH171" s="6"/>
      <c r="AI171" s="21" t="s">
        <v>559</v>
      </c>
      <c r="AJ171" s="7"/>
      <c r="AK171" s="7"/>
      <c r="AL171" s="7"/>
      <c r="AM171" s="49">
        <f>1.251*$AL$2</f>
        <v>40.032</v>
      </c>
      <c r="AN171" s="49"/>
      <c r="AO171" s="50"/>
      <c r="AP171" s="6"/>
      <c r="AQ171" s="7"/>
      <c r="AR171" s="7"/>
      <c r="AS171" s="21" t="s">
        <v>563</v>
      </c>
      <c r="AT171" s="7"/>
      <c r="AU171" s="7"/>
      <c r="AV171" s="7"/>
      <c r="AW171" s="49">
        <f>2.447*$AT$2</f>
        <v>36.705</v>
      </c>
      <c r="AX171" s="49"/>
      <c r="AY171" s="50"/>
      <c r="AZ171" s="6"/>
      <c r="BA171" s="21" t="s">
        <v>568</v>
      </c>
      <c r="BB171" s="7"/>
      <c r="BC171" s="7"/>
      <c r="BD171" s="7"/>
      <c r="BE171" s="49">
        <f>1.209*$BE$10</f>
        <v>6.546735000000001</v>
      </c>
      <c r="BF171" s="49"/>
      <c r="BG171" s="50"/>
      <c r="BH171" s="7"/>
      <c r="BI171" s="21" t="s">
        <v>572</v>
      </c>
      <c r="BJ171" s="7"/>
      <c r="BK171" s="7"/>
      <c r="BL171" s="7"/>
      <c r="BM171" s="49">
        <f>1.208*$BM$10</f>
        <v>8.16306</v>
      </c>
      <c r="BN171" s="49"/>
      <c r="BO171" s="50"/>
      <c r="BP171" s="7"/>
      <c r="BQ171" s="21" t="s">
        <v>576</v>
      </c>
      <c r="BR171" s="7"/>
      <c r="BS171" s="7"/>
      <c r="BT171" s="7"/>
      <c r="BU171" s="49">
        <f>1.202*$BU$10</f>
        <v>9.827551999999997</v>
      </c>
      <c r="BV171" s="49"/>
      <c r="BW171" s="50"/>
    </row>
    <row r="172" spans="1:75" ht="11.25">
      <c r="A172" s="58"/>
      <c r="B172" s="6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 t="s">
        <v>551</v>
      </c>
      <c r="V172" s="7"/>
      <c r="W172" s="7"/>
      <c r="X172" s="7"/>
      <c r="Y172" s="7"/>
      <c r="Z172" s="6"/>
      <c r="AA172" s="21" t="s">
        <v>556</v>
      </c>
      <c r="AB172" s="7"/>
      <c r="AC172" s="7"/>
      <c r="AD172" s="7"/>
      <c r="AE172" s="49">
        <f>-0.576*$AD$2*$AC$7</f>
        <v>-7.775999999999999</v>
      </c>
      <c r="AF172" s="49"/>
      <c r="AG172" s="49"/>
      <c r="AH172" s="6"/>
      <c r="AI172" s="21" t="s">
        <v>560</v>
      </c>
      <c r="AJ172" s="7"/>
      <c r="AK172" s="7"/>
      <c r="AL172" s="7"/>
      <c r="AM172" s="49">
        <f>-0.615*$AL$2</f>
        <v>-19.68</v>
      </c>
      <c r="AN172" s="49"/>
      <c r="AO172" s="50"/>
      <c r="AP172" s="6"/>
      <c r="AQ172" s="7"/>
      <c r="AR172" s="7"/>
      <c r="AS172" s="21" t="s">
        <v>564</v>
      </c>
      <c r="AT172" s="7"/>
      <c r="AU172" s="7"/>
      <c r="AV172" s="7"/>
      <c r="AW172" s="49">
        <f>-1.204*$AT$2</f>
        <v>-18.06</v>
      </c>
      <c r="AX172" s="49"/>
      <c r="AY172" s="50"/>
      <c r="AZ172" s="6"/>
      <c r="BA172" s="21" t="s">
        <v>569</v>
      </c>
      <c r="BB172" s="7"/>
      <c r="BC172" s="7"/>
      <c r="BD172" s="7"/>
      <c r="BE172" s="49">
        <f>-0.595*$BE$10</f>
        <v>-3.2219249999999997</v>
      </c>
      <c r="BF172" s="49"/>
      <c r="BG172" s="50"/>
      <c r="BH172" s="7"/>
      <c r="BI172" s="21" t="s">
        <v>569</v>
      </c>
      <c r="BJ172" s="7"/>
      <c r="BK172" s="7"/>
      <c r="BL172" s="7"/>
      <c r="BM172" s="49">
        <f>-0.595*$BM$10</f>
        <v>-4.020712499999999</v>
      </c>
      <c r="BN172" s="49"/>
      <c r="BO172" s="50"/>
      <c r="BP172" s="7"/>
      <c r="BQ172" s="21" t="s">
        <v>577</v>
      </c>
      <c r="BR172" s="7"/>
      <c r="BS172" s="7"/>
      <c r="BT172" s="7"/>
      <c r="BU172" s="49">
        <f>-0.592*$BU$10</f>
        <v>-4.840191999999999</v>
      </c>
      <c r="BV172" s="49"/>
      <c r="BW172" s="50"/>
    </row>
    <row r="173" spans="1:75" ht="11.25">
      <c r="A173" s="58"/>
      <c r="B173" s="6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 t="s">
        <v>552</v>
      </c>
      <c r="V173" s="7"/>
      <c r="W173" s="7"/>
      <c r="X173" s="7"/>
      <c r="Y173" s="7"/>
      <c r="Z173" s="6"/>
      <c r="AA173" s="7" t="s">
        <v>557</v>
      </c>
      <c r="AB173" s="7"/>
      <c r="AC173" s="7"/>
      <c r="AD173" s="7"/>
      <c r="AE173" s="49">
        <f>0.591*$AD$2*$AC$7</f>
        <v>7.9784999999999995</v>
      </c>
      <c r="AF173" s="49"/>
      <c r="AG173" s="49"/>
      <c r="AH173" s="6"/>
      <c r="AI173" s="21" t="s">
        <v>561</v>
      </c>
      <c r="AJ173" s="7"/>
      <c r="AK173" s="7"/>
      <c r="AL173" s="7"/>
      <c r="AM173" s="49">
        <f>0.636*$AL$2</f>
        <v>20.352</v>
      </c>
      <c r="AN173" s="49"/>
      <c r="AO173" s="50"/>
      <c r="AP173" s="6"/>
      <c r="AQ173" s="7"/>
      <c r="AR173" s="7"/>
      <c r="AS173" s="21" t="s">
        <v>565</v>
      </c>
      <c r="AT173" s="7"/>
      <c r="AU173" s="7"/>
      <c r="AV173" s="7"/>
      <c r="AW173" s="49">
        <f>1.242*$AT$2</f>
        <v>18.63</v>
      </c>
      <c r="AX173" s="49"/>
      <c r="AY173" s="50"/>
      <c r="AZ173" s="6"/>
      <c r="BA173" s="21" t="s">
        <v>570</v>
      </c>
      <c r="BB173" s="7"/>
      <c r="BC173" s="7"/>
      <c r="BD173" s="7"/>
      <c r="BE173" s="49">
        <f>0.614*$BE$10</f>
        <v>3.32481</v>
      </c>
      <c r="BF173" s="49"/>
      <c r="BG173" s="50"/>
      <c r="BH173" s="7"/>
      <c r="BI173" s="21" t="s">
        <v>573</v>
      </c>
      <c r="BJ173" s="7"/>
      <c r="BK173" s="7"/>
      <c r="BL173" s="7"/>
      <c r="BM173" s="49">
        <f>0.613*$BM$10</f>
        <v>4.1423475</v>
      </c>
      <c r="BN173" s="49"/>
      <c r="BO173" s="50"/>
      <c r="BP173" s="7"/>
      <c r="BQ173" s="21" t="s">
        <v>578</v>
      </c>
      <c r="BR173" s="7"/>
      <c r="BS173" s="7"/>
      <c r="BT173" s="7"/>
      <c r="BU173" s="49">
        <f>0.61*$BU$10</f>
        <v>4.987359999999999</v>
      </c>
      <c r="BV173" s="49"/>
      <c r="BW173" s="50"/>
    </row>
    <row r="174" spans="1:75" ht="11.25">
      <c r="A174" s="58"/>
      <c r="B174" s="2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6"/>
      <c r="AA174" s="27"/>
      <c r="AB174" s="27"/>
      <c r="AC174" s="27"/>
      <c r="AD174" s="27"/>
      <c r="AE174" s="27"/>
      <c r="AF174" s="27"/>
      <c r="AG174" s="27"/>
      <c r="AH174" s="26"/>
      <c r="AI174" s="27"/>
      <c r="AJ174" s="27"/>
      <c r="AK174" s="27"/>
      <c r="AL174" s="27"/>
      <c r="AM174" s="27"/>
      <c r="AN174" s="27"/>
      <c r="AO174" s="44"/>
      <c r="AP174" s="26"/>
      <c r="AQ174" s="27"/>
      <c r="AR174" s="27"/>
      <c r="AS174" s="27"/>
      <c r="AT174" s="27"/>
      <c r="AU174" s="27"/>
      <c r="AV174" s="27"/>
      <c r="AW174" s="27"/>
      <c r="AX174" s="27"/>
      <c r="AY174" s="44"/>
      <c r="AZ174" s="26"/>
      <c r="BA174" s="27"/>
      <c r="BB174" s="27"/>
      <c r="BC174" s="27"/>
      <c r="BD174" s="27"/>
      <c r="BE174" s="27"/>
      <c r="BF174" s="27"/>
      <c r="BG174" s="44"/>
      <c r="BH174" s="27"/>
      <c r="BI174" s="27"/>
      <c r="BJ174" s="27"/>
      <c r="BK174" s="27"/>
      <c r="BL174" s="27"/>
      <c r="BM174" s="27"/>
      <c r="BN174" s="27"/>
      <c r="BO174" s="44"/>
      <c r="BP174" s="27"/>
      <c r="BQ174" s="27"/>
      <c r="BR174" s="27"/>
      <c r="BS174" s="27"/>
      <c r="BT174" s="27"/>
      <c r="BU174" s="27"/>
      <c r="BV174" s="27"/>
      <c r="BW174" s="44"/>
    </row>
    <row r="175" spans="1:75" ht="11.25">
      <c r="A175" s="58"/>
      <c r="B175" s="6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6"/>
      <c r="AA175" s="7"/>
      <c r="AB175" s="7"/>
      <c r="AC175" s="7"/>
      <c r="AD175" s="7"/>
      <c r="AE175" s="7"/>
      <c r="AF175" s="7"/>
      <c r="AG175" s="7"/>
      <c r="AH175" s="6"/>
      <c r="AI175" s="7"/>
      <c r="AJ175" s="7"/>
      <c r="AK175" s="7"/>
      <c r="AL175" s="7"/>
      <c r="AM175" s="7"/>
      <c r="AN175" s="7"/>
      <c r="AO175" s="8"/>
      <c r="AP175" s="6"/>
      <c r="AQ175" s="7"/>
      <c r="AR175" s="7"/>
      <c r="AS175" s="7"/>
      <c r="AT175" s="7"/>
      <c r="AU175" s="7"/>
      <c r="AV175" s="7"/>
      <c r="AW175" s="7"/>
      <c r="AX175" s="7"/>
      <c r="AY175" s="8"/>
      <c r="AZ175" s="6"/>
      <c r="BA175" s="7"/>
      <c r="BB175" s="7"/>
      <c r="BC175" s="7"/>
      <c r="BD175" s="7"/>
      <c r="BE175" s="7"/>
      <c r="BF175" s="7"/>
      <c r="BG175" s="8"/>
      <c r="BH175" s="7"/>
      <c r="BI175" s="7"/>
      <c r="BJ175" s="7"/>
      <c r="BK175" s="7"/>
      <c r="BL175" s="7"/>
      <c r="BM175" s="7"/>
      <c r="BN175" s="7"/>
      <c r="BO175" s="8"/>
      <c r="BP175" s="7"/>
      <c r="BQ175" s="7"/>
      <c r="BR175" s="7"/>
      <c r="BS175" s="7"/>
      <c r="BT175" s="7"/>
      <c r="BU175" s="7"/>
      <c r="BV175" s="7"/>
      <c r="BW175" s="8"/>
    </row>
    <row r="176" spans="1:75" ht="11.25">
      <c r="A176" s="58"/>
      <c r="B176" s="6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 t="s">
        <v>44</v>
      </c>
      <c r="V176" s="7"/>
      <c r="W176" s="7"/>
      <c r="X176" s="7"/>
      <c r="Y176" s="7"/>
      <c r="Z176" s="6"/>
      <c r="AA176" s="21" t="s">
        <v>208</v>
      </c>
      <c r="AB176" s="7"/>
      <c r="AC176" s="7"/>
      <c r="AD176" s="7"/>
      <c r="AE176" s="49">
        <f>-0.071*$AD$2*$AC$7^2</f>
        <v>-4.313249999999999</v>
      </c>
      <c r="AF176" s="49"/>
      <c r="AG176" s="49"/>
      <c r="AH176" s="6"/>
      <c r="AI176" s="21" t="s">
        <v>586</v>
      </c>
      <c r="AJ176" s="7"/>
      <c r="AK176" s="7"/>
      <c r="AL176" s="7"/>
      <c r="AM176" s="49">
        <f>-0.106*$AL$2*$AK$8</f>
        <v>-13.568</v>
      </c>
      <c r="AN176" s="49"/>
      <c r="AO176" s="50"/>
      <c r="AP176" s="6"/>
      <c r="AQ176" s="7"/>
      <c r="AR176" s="7"/>
      <c r="AS176" s="21" t="s">
        <v>16</v>
      </c>
      <c r="AT176" s="7"/>
      <c r="AU176" s="7"/>
      <c r="AV176" s="7"/>
      <c r="AW176" s="49">
        <f>-0.188*$AT$2*$AU$8</f>
        <v>-9.87</v>
      </c>
      <c r="AX176" s="49"/>
      <c r="AY176" s="50"/>
      <c r="AZ176" s="6"/>
      <c r="BA176" s="21" t="s">
        <v>599</v>
      </c>
      <c r="BB176" s="7"/>
      <c r="BC176" s="7"/>
      <c r="BD176" s="7"/>
      <c r="BE176" s="49">
        <f>-0.087*$BE$10*$BC$8</f>
        <v>-1.34264925</v>
      </c>
      <c r="BF176" s="49"/>
      <c r="BG176" s="50"/>
      <c r="BH176" s="7"/>
      <c r="BI176" s="21" t="s">
        <v>599</v>
      </c>
      <c r="BJ176" s="7"/>
      <c r="BK176" s="7"/>
      <c r="BL176" s="7"/>
      <c r="BM176" s="49">
        <f>-0.087*$BM$10*$BK$8</f>
        <v>-2.4985856249999996</v>
      </c>
      <c r="BN176" s="49"/>
      <c r="BO176" s="50"/>
      <c r="BP176" s="7"/>
      <c r="BQ176" s="21" t="s">
        <v>608</v>
      </c>
      <c r="BR176" s="7"/>
      <c r="BS176" s="7"/>
      <c r="BT176" s="7"/>
      <c r="BU176" s="49">
        <f>-0.085*$BU$10*$BS$8</f>
        <v>-2.5366039999999996</v>
      </c>
      <c r="BV176" s="49"/>
      <c r="BW176" s="50"/>
    </row>
    <row r="177" spans="1:75" ht="12" thickBot="1">
      <c r="A177" s="58"/>
      <c r="B177" s="6"/>
      <c r="C177" s="7"/>
      <c r="D177" s="23"/>
      <c r="E177" s="23"/>
      <c r="F177" s="48"/>
      <c r="G177" s="34"/>
      <c r="H177" s="34"/>
      <c r="I177" s="34"/>
      <c r="J177" s="34"/>
      <c r="K177" s="34"/>
      <c r="L177" s="34"/>
      <c r="M177" s="23"/>
      <c r="N177" s="23"/>
      <c r="O177" s="23"/>
      <c r="P177" s="34"/>
      <c r="Q177" s="34"/>
      <c r="R177" s="34"/>
      <c r="S177" s="7"/>
      <c r="T177" s="7"/>
      <c r="U177" s="7" t="s">
        <v>357</v>
      </c>
      <c r="V177" s="7"/>
      <c r="W177" s="7"/>
      <c r="X177" s="7"/>
      <c r="Y177" s="7"/>
      <c r="Z177" s="6"/>
      <c r="AA177" s="7" t="s">
        <v>580</v>
      </c>
      <c r="AB177" s="7"/>
      <c r="AC177" s="7"/>
      <c r="AD177" s="7"/>
      <c r="AE177" s="49">
        <f>0.032*$AD$2*$AC$7^2</f>
        <v>1.944</v>
      </c>
      <c r="AF177" s="49"/>
      <c r="AG177" s="49"/>
      <c r="AH177" s="6"/>
      <c r="AI177" s="21" t="s">
        <v>587</v>
      </c>
      <c r="AJ177" s="7"/>
      <c r="AK177" s="7"/>
      <c r="AL177" s="7"/>
      <c r="AM177" s="49">
        <f>0.048*$AL$2*$AK$8</f>
        <v>6.144</v>
      </c>
      <c r="AN177" s="49"/>
      <c r="AO177" s="50"/>
      <c r="AP177" s="6"/>
      <c r="AQ177" s="7"/>
      <c r="AR177" s="7"/>
      <c r="AS177" s="21" t="s">
        <v>593</v>
      </c>
      <c r="AT177" s="7"/>
      <c r="AU177" s="7"/>
      <c r="AV177" s="7"/>
      <c r="AW177" s="49">
        <f>0.086*$AT$2*$AU$8</f>
        <v>4.515</v>
      </c>
      <c r="AX177" s="49"/>
      <c r="AY177" s="50"/>
      <c r="AZ177" s="6"/>
      <c r="BA177" s="21" t="s">
        <v>105</v>
      </c>
      <c r="BB177" s="7"/>
      <c r="BC177" s="7"/>
      <c r="BD177" s="7"/>
      <c r="BE177" s="49">
        <f>0.04*$BE$10*$BC$8</f>
        <v>0.61731</v>
      </c>
      <c r="BF177" s="49"/>
      <c r="BG177" s="50"/>
      <c r="BH177" s="7"/>
      <c r="BI177" s="21" t="s">
        <v>105</v>
      </c>
      <c r="BJ177" s="7"/>
      <c r="BK177" s="7"/>
      <c r="BL177" s="7"/>
      <c r="BM177" s="49">
        <f>0.04*$BM$10*$BK$8</f>
        <v>1.1487749999999999</v>
      </c>
      <c r="BN177" s="49"/>
      <c r="BO177" s="50"/>
      <c r="BP177" s="7"/>
      <c r="BQ177" s="21" t="s">
        <v>609</v>
      </c>
      <c r="BR177" s="7"/>
      <c r="BS177" s="7"/>
      <c r="BT177" s="7"/>
      <c r="BU177" s="49">
        <f>0.038*$BU$10*$BS$8</f>
        <v>1.1340111999999996</v>
      </c>
      <c r="BV177" s="49"/>
      <c r="BW177" s="50"/>
    </row>
    <row r="178" spans="1:75" ht="11.25">
      <c r="A178" s="58"/>
      <c r="B178" s="6"/>
      <c r="C178" s="7"/>
      <c r="D178" s="7"/>
      <c r="E178" s="12">
        <v>1</v>
      </c>
      <c r="F178" s="7"/>
      <c r="G178" s="7"/>
      <c r="H178" s="12">
        <v>2</v>
      </c>
      <c r="I178" s="7"/>
      <c r="J178" s="7"/>
      <c r="K178" s="12">
        <v>3</v>
      </c>
      <c r="L178" s="7"/>
      <c r="M178" s="7"/>
      <c r="N178" s="12">
        <v>4</v>
      </c>
      <c r="O178" s="7"/>
      <c r="P178" s="7"/>
      <c r="Q178" s="12">
        <v>5</v>
      </c>
      <c r="R178" s="7"/>
      <c r="S178" s="7"/>
      <c r="T178" s="7"/>
      <c r="U178" s="7" t="s">
        <v>298</v>
      </c>
      <c r="V178" s="7"/>
      <c r="W178" s="7"/>
      <c r="X178" s="7"/>
      <c r="Y178" s="7"/>
      <c r="Z178" s="6"/>
      <c r="AA178" s="21" t="s">
        <v>581</v>
      </c>
      <c r="AB178" s="7"/>
      <c r="AC178" s="7"/>
      <c r="AD178" s="7"/>
      <c r="AE178" s="49">
        <f>-0.059*$AD$2*$AC$7^2</f>
        <v>-3.58425</v>
      </c>
      <c r="AF178" s="49"/>
      <c r="AG178" s="49"/>
      <c r="AH178" s="6"/>
      <c r="AI178" s="21" t="s">
        <v>588</v>
      </c>
      <c r="AJ178" s="7"/>
      <c r="AK178" s="7"/>
      <c r="AL178" s="7"/>
      <c r="AM178" s="49">
        <f>-0.088*$AL$2*$AK$8</f>
        <v>-11.264</v>
      </c>
      <c r="AN178" s="49"/>
      <c r="AO178" s="50"/>
      <c r="AP178" s="6"/>
      <c r="AQ178" s="7"/>
      <c r="AR178" s="7"/>
      <c r="AS178" s="21" t="s">
        <v>594</v>
      </c>
      <c r="AT178" s="7"/>
      <c r="AU178" s="7"/>
      <c r="AV178" s="7"/>
      <c r="AW178" s="49">
        <f>-0.156*$AT$2*$AU$8</f>
        <v>-8.19</v>
      </c>
      <c r="AX178" s="49"/>
      <c r="AY178" s="50"/>
      <c r="AZ178" s="6"/>
      <c r="BA178" s="21" t="s">
        <v>600</v>
      </c>
      <c r="BB178" s="7"/>
      <c r="BC178" s="7"/>
      <c r="BD178" s="7"/>
      <c r="BE178" s="49">
        <f>-0.074*$BE$10*$BC$8</f>
        <v>-1.1420234999999999</v>
      </c>
      <c r="BF178" s="49"/>
      <c r="BG178" s="50"/>
      <c r="BH178" s="7"/>
      <c r="BI178" s="21" t="s">
        <v>604</v>
      </c>
      <c r="BJ178" s="7"/>
      <c r="BK178" s="7"/>
      <c r="BL178" s="7"/>
      <c r="BM178" s="49">
        <f>-0.073*$BM$10*$BK$8</f>
        <v>-2.096514375</v>
      </c>
      <c r="BN178" s="49"/>
      <c r="BO178" s="50"/>
      <c r="BP178" s="7"/>
      <c r="BQ178" s="21" t="s">
        <v>321</v>
      </c>
      <c r="BR178" s="7"/>
      <c r="BS178" s="7"/>
      <c r="BT178" s="7"/>
      <c r="BU178" s="49">
        <f>-0.072*$BU$10*$BS$8</f>
        <v>-2.1486527999999994</v>
      </c>
      <c r="BV178" s="49"/>
      <c r="BW178" s="50"/>
    </row>
    <row r="179" spans="1:75" ht="11.25">
      <c r="A179" s="58"/>
      <c r="B179" s="6"/>
      <c r="C179" s="51" t="s">
        <v>0</v>
      </c>
      <c r="D179" s="51"/>
      <c r="E179" s="12"/>
      <c r="F179" s="51" t="s">
        <v>1</v>
      </c>
      <c r="G179" s="51"/>
      <c r="H179" s="12"/>
      <c r="I179" s="51" t="s">
        <v>2</v>
      </c>
      <c r="J179" s="51"/>
      <c r="K179" s="12"/>
      <c r="L179" s="51" t="s">
        <v>72</v>
      </c>
      <c r="M179" s="51"/>
      <c r="N179" s="12"/>
      <c r="O179" s="51" t="s">
        <v>203</v>
      </c>
      <c r="P179" s="51"/>
      <c r="Q179" s="12"/>
      <c r="R179" s="51" t="s">
        <v>385</v>
      </c>
      <c r="S179" s="51"/>
      <c r="T179" s="7"/>
      <c r="U179" s="7" t="s">
        <v>487</v>
      </c>
      <c r="V179" s="7"/>
      <c r="W179" s="7"/>
      <c r="X179" s="7"/>
      <c r="Y179" s="7"/>
      <c r="Z179" s="6"/>
      <c r="AA179" s="21" t="s">
        <v>582</v>
      </c>
      <c r="AB179" s="7"/>
      <c r="AC179" s="7"/>
      <c r="AD179" s="7"/>
      <c r="AE179" s="49">
        <f>-0.048*$AD$2*$AC$7^2</f>
        <v>-2.9160000000000004</v>
      </c>
      <c r="AF179" s="49"/>
      <c r="AG179" s="49"/>
      <c r="AH179" s="6"/>
      <c r="AI179" s="21" t="s">
        <v>589</v>
      </c>
      <c r="AJ179" s="7"/>
      <c r="AK179" s="7"/>
      <c r="AL179" s="7"/>
      <c r="AM179" s="49">
        <f>-0.072*$AL$2*$AK$8</f>
        <v>-9.216</v>
      </c>
      <c r="AN179" s="49"/>
      <c r="AO179" s="50"/>
      <c r="AP179" s="6"/>
      <c r="AQ179" s="7"/>
      <c r="AR179" s="7"/>
      <c r="AS179" s="21" t="s">
        <v>595</v>
      </c>
      <c r="AT179" s="7"/>
      <c r="AU179" s="7"/>
      <c r="AV179" s="7"/>
      <c r="AW179" s="49">
        <f>-0.128*$AT$2*$AU$8</f>
        <v>-6.72</v>
      </c>
      <c r="AX179" s="49"/>
      <c r="AY179" s="50"/>
      <c r="AZ179" s="6"/>
      <c r="BA179" s="21" t="s">
        <v>352</v>
      </c>
      <c r="BB179" s="7"/>
      <c r="BC179" s="7"/>
      <c r="BD179" s="7"/>
      <c r="BE179" s="49">
        <f>-0.06*$BE$10*$BC$8</f>
        <v>-0.9259649999999999</v>
      </c>
      <c r="BF179" s="49"/>
      <c r="BG179" s="50"/>
      <c r="BH179" s="7"/>
      <c r="BI179" s="21" t="s">
        <v>605</v>
      </c>
      <c r="BJ179" s="7"/>
      <c r="BK179" s="7"/>
      <c r="BL179" s="7"/>
      <c r="BM179" s="49">
        <f>-0.059*$BM$10*$BK$8</f>
        <v>-1.6944431249999998</v>
      </c>
      <c r="BN179" s="49"/>
      <c r="BO179" s="50"/>
      <c r="BP179" s="7"/>
      <c r="BQ179" s="21" t="s">
        <v>467</v>
      </c>
      <c r="BR179" s="7"/>
      <c r="BS179" s="7"/>
      <c r="BT179" s="7"/>
      <c r="BU179" s="49">
        <f>-0.058*$BU$10*$BS$8</f>
        <v>-1.7308591999999996</v>
      </c>
      <c r="BV179" s="49"/>
      <c r="BW179" s="50"/>
    </row>
    <row r="180" spans="1:75" ht="11.25">
      <c r="A180" s="58"/>
      <c r="B180" s="6"/>
      <c r="C180" s="7"/>
      <c r="D180" s="24"/>
      <c r="E180" s="24" t="s">
        <v>20</v>
      </c>
      <c r="F180" s="7"/>
      <c r="G180" s="24"/>
      <c r="H180" s="24" t="s">
        <v>20</v>
      </c>
      <c r="I180" s="7"/>
      <c r="J180" s="24"/>
      <c r="K180" s="24" t="s">
        <v>20</v>
      </c>
      <c r="L180" s="7"/>
      <c r="M180" s="24"/>
      <c r="N180" s="24" t="s">
        <v>20</v>
      </c>
      <c r="O180" s="7"/>
      <c r="P180" s="25"/>
      <c r="Q180" s="12" t="str">
        <f>+N180</f>
        <v>L</v>
      </c>
      <c r="R180" s="7"/>
      <c r="S180" s="7"/>
      <c r="T180" s="7"/>
      <c r="U180" s="7" t="s">
        <v>358</v>
      </c>
      <c r="V180" s="7"/>
      <c r="W180" s="7"/>
      <c r="X180" s="7"/>
      <c r="Y180" s="7"/>
      <c r="Z180" s="6"/>
      <c r="AA180" s="21" t="s">
        <v>583</v>
      </c>
      <c r="AB180" s="7"/>
      <c r="AC180" s="7"/>
      <c r="AD180" s="7"/>
      <c r="AE180" s="49">
        <f>-0.194*$AD$2*$AC$7</f>
        <v>-2.619</v>
      </c>
      <c r="AF180" s="49"/>
      <c r="AG180" s="49"/>
      <c r="AH180" s="6"/>
      <c r="AI180" s="21" t="s">
        <v>590</v>
      </c>
      <c r="AJ180" s="7"/>
      <c r="AK180" s="7"/>
      <c r="AL180" s="7"/>
      <c r="AM180" s="49">
        <f>-0.291*$AL$2</f>
        <v>-9.312</v>
      </c>
      <c r="AN180" s="49"/>
      <c r="AO180" s="50"/>
      <c r="AP180" s="6"/>
      <c r="AQ180" s="7"/>
      <c r="AR180" s="7"/>
      <c r="AS180" s="21" t="s">
        <v>596</v>
      </c>
      <c r="AT180" s="7"/>
      <c r="AU180" s="7"/>
      <c r="AV180" s="7"/>
      <c r="AW180" s="49">
        <f>-0.517*$AT$2</f>
        <v>-7.755</v>
      </c>
      <c r="AX180" s="49"/>
      <c r="AY180" s="50"/>
      <c r="AZ180" s="6"/>
      <c r="BA180" s="21" t="s">
        <v>601</v>
      </c>
      <c r="BB180" s="7"/>
      <c r="BC180" s="7"/>
      <c r="BD180" s="7"/>
      <c r="BE180" s="49">
        <f>-0.241*$BE$10</f>
        <v>-1.305015</v>
      </c>
      <c r="BF180" s="49"/>
      <c r="BG180" s="50"/>
      <c r="BH180" s="7"/>
      <c r="BI180" s="21" t="s">
        <v>606</v>
      </c>
      <c r="BJ180" s="7"/>
      <c r="BK180" s="7"/>
      <c r="BL180" s="7"/>
      <c r="BM180" s="49">
        <f>-0.24*$BM$10</f>
        <v>-1.6217999999999997</v>
      </c>
      <c r="BN180" s="49"/>
      <c r="BO180" s="50"/>
      <c r="BP180" s="7"/>
      <c r="BQ180" s="21" t="s">
        <v>610</v>
      </c>
      <c r="BR180" s="7"/>
      <c r="BS180" s="7"/>
      <c r="BT180" s="7"/>
      <c r="BU180" s="49">
        <f>-0.233*$BU$10</f>
        <v>-1.9050079999999998</v>
      </c>
      <c r="BV180" s="49"/>
      <c r="BW180" s="50"/>
    </row>
    <row r="181" spans="1:75" ht="11.25">
      <c r="A181" s="58"/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 t="s">
        <v>359</v>
      </c>
      <c r="V181" s="7"/>
      <c r="W181" s="7"/>
      <c r="X181" s="7"/>
      <c r="Y181" s="7"/>
      <c r="Z181" s="6"/>
      <c r="AA181" s="7" t="s">
        <v>584</v>
      </c>
      <c r="AB181" s="7"/>
      <c r="AC181" s="7"/>
      <c r="AD181" s="7"/>
      <c r="AE181" s="49">
        <f>0.103*$AD$2*$AC$7</f>
        <v>1.3905</v>
      </c>
      <c r="AF181" s="49"/>
      <c r="AG181" s="49"/>
      <c r="AH181" s="6"/>
      <c r="AI181" s="21" t="s">
        <v>591</v>
      </c>
      <c r="AJ181" s="7"/>
      <c r="AK181" s="7"/>
      <c r="AL181" s="7"/>
      <c r="AM181" s="49">
        <f>0.154*$AL$2</f>
        <v>4.928</v>
      </c>
      <c r="AN181" s="49"/>
      <c r="AO181" s="50"/>
      <c r="AP181" s="6"/>
      <c r="AQ181" s="7"/>
      <c r="AR181" s="7"/>
      <c r="AS181" s="21" t="s">
        <v>597</v>
      </c>
      <c r="AT181" s="7"/>
      <c r="AU181" s="7"/>
      <c r="AV181" s="7"/>
      <c r="AW181" s="49">
        <f>0.274*$AT$2</f>
        <v>4.11</v>
      </c>
      <c r="AX181" s="49"/>
      <c r="AY181" s="50"/>
      <c r="AZ181" s="6"/>
      <c r="BA181" s="21" t="s">
        <v>602</v>
      </c>
      <c r="BB181" s="7"/>
      <c r="BC181" s="7"/>
      <c r="BD181" s="7"/>
      <c r="BE181" s="49">
        <f>0.127*$BE$10</f>
        <v>0.687705</v>
      </c>
      <c r="BF181" s="49"/>
      <c r="BG181" s="50"/>
      <c r="BH181" s="7"/>
      <c r="BI181" s="21" t="s">
        <v>602</v>
      </c>
      <c r="BJ181" s="7"/>
      <c r="BK181" s="7"/>
      <c r="BL181" s="7"/>
      <c r="BM181" s="49">
        <f>0.127*$BM$10</f>
        <v>0.8582025</v>
      </c>
      <c r="BN181" s="49"/>
      <c r="BO181" s="50"/>
      <c r="BP181" s="7"/>
      <c r="BQ181" s="21" t="s">
        <v>611</v>
      </c>
      <c r="BR181" s="7"/>
      <c r="BS181" s="7"/>
      <c r="BT181" s="7"/>
      <c r="BU181" s="49">
        <f>0.123*$BU$10</f>
        <v>1.0056479999999999</v>
      </c>
      <c r="BV181" s="49"/>
      <c r="BW181" s="50"/>
    </row>
    <row r="182" spans="1:75" ht="11.25">
      <c r="A182" s="58"/>
      <c r="B182" s="6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 t="s">
        <v>579</v>
      </c>
      <c r="V182" s="7"/>
      <c r="W182" s="7"/>
      <c r="X182" s="7"/>
      <c r="Y182" s="7"/>
      <c r="Z182" s="6"/>
      <c r="AA182" s="21" t="s">
        <v>585</v>
      </c>
      <c r="AB182" s="7"/>
      <c r="AC182" s="7"/>
      <c r="AD182" s="7"/>
      <c r="AE182" s="49">
        <f>-0.091*$AD$2*$AC$7</f>
        <v>-1.2285000000000001</v>
      </c>
      <c r="AF182" s="49"/>
      <c r="AG182" s="49"/>
      <c r="AH182" s="6"/>
      <c r="AI182" s="21" t="s">
        <v>592</v>
      </c>
      <c r="AJ182" s="7"/>
      <c r="AK182" s="7"/>
      <c r="AL182" s="7"/>
      <c r="AM182" s="49">
        <f>-0.136*$AL$2</f>
        <v>-4.352</v>
      </c>
      <c r="AN182" s="49"/>
      <c r="AO182" s="50"/>
      <c r="AP182" s="6"/>
      <c r="AQ182" s="7"/>
      <c r="AR182" s="7"/>
      <c r="AS182" s="21" t="s">
        <v>598</v>
      </c>
      <c r="AT182" s="7"/>
      <c r="AU182" s="7"/>
      <c r="AV182" s="7"/>
      <c r="AW182" s="49">
        <f>-0.242*$AT$2</f>
        <v>-3.63</v>
      </c>
      <c r="AX182" s="49"/>
      <c r="AY182" s="50"/>
      <c r="AZ182" s="6"/>
      <c r="BA182" s="21" t="s">
        <v>603</v>
      </c>
      <c r="BB182" s="7"/>
      <c r="BC182" s="7"/>
      <c r="BD182" s="7"/>
      <c r="BE182" s="49">
        <f>-0.114*$BE$10</f>
        <v>-0.61731</v>
      </c>
      <c r="BF182" s="49"/>
      <c r="BG182" s="50"/>
      <c r="BH182" s="7"/>
      <c r="BI182" s="21" t="s">
        <v>607</v>
      </c>
      <c r="BJ182" s="7"/>
      <c r="BK182" s="7"/>
      <c r="BL182" s="7"/>
      <c r="BM182" s="49">
        <f>-0.113*$BM$10</f>
        <v>-0.7635974999999999</v>
      </c>
      <c r="BN182" s="49"/>
      <c r="BO182" s="50"/>
      <c r="BP182" s="7"/>
      <c r="BQ182" s="21" t="s">
        <v>612</v>
      </c>
      <c r="BR182" s="7"/>
      <c r="BS182" s="7"/>
      <c r="BT182" s="7"/>
      <c r="BU182" s="49">
        <f>-0.11*$BU$10</f>
        <v>-0.8993599999999998</v>
      </c>
      <c r="BV182" s="49"/>
      <c r="BW182" s="50"/>
    </row>
    <row r="183" spans="1:75" ht="12" thickBot="1">
      <c r="A183" s="59"/>
      <c r="B183" s="45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5"/>
      <c r="AA183" s="46"/>
      <c r="AB183" s="46"/>
      <c r="AC183" s="46"/>
      <c r="AD183" s="46"/>
      <c r="AE183" s="46"/>
      <c r="AF183" s="46"/>
      <c r="AG183" s="46"/>
      <c r="AH183" s="45"/>
      <c r="AI183" s="46"/>
      <c r="AJ183" s="46"/>
      <c r="AK183" s="46"/>
      <c r="AL183" s="46"/>
      <c r="AM183" s="46"/>
      <c r="AN183" s="46"/>
      <c r="AO183" s="47"/>
      <c r="AP183" s="45"/>
      <c r="AQ183" s="46"/>
      <c r="AR183" s="46"/>
      <c r="AS183" s="46"/>
      <c r="AT183" s="46"/>
      <c r="AU183" s="46"/>
      <c r="AV183" s="46"/>
      <c r="AW183" s="46"/>
      <c r="AX183" s="46"/>
      <c r="AY183" s="47"/>
      <c r="AZ183" s="45"/>
      <c r="BA183" s="46"/>
      <c r="BB183" s="46"/>
      <c r="BC183" s="46"/>
      <c r="BD183" s="46"/>
      <c r="BE183" s="46"/>
      <c r="BF183" s="46"/>
      <c r="BG183" s="47"/>
      <c r="BH183" s="46"/>
      <c r="BI183" s="46"/>
      <c r="BJ183" s="46"/>
      <c r="BK183" s="46"/>
      <c r="BL183" s="46"/>
      <c r="BM183" s="46"/>
      <c r="BN183" s="46"/>
      <c r="BO183" s="47"/>
      <c r="BP183" s="46"/>
      <c r="BQ183" s="46"/>
      <c r="BR183" s="46"/>
      <c r="BS183" s="46"/>
      <c r="BT183" s="46"/>
      <c r="BU183" s="46"/>
      <c r="BV183" s="46"/>
      <c r="BW183" s="47"/>
    </row>
    <row r="184" spans="1:75" ht="12" thickTop="1">
      <c r="A184" s="57" t="s">
        <v>684</v>
      </c>
      <c r="B184" s="41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1"/>
      <c r="AA184" s="42"/>
      <c r="AB184" s="42"/>
      <c r="AC184" s="42"/>
      <c r="AD184" s="42"/>
      <c r="AE184" s="42"/>
      <c r="AF184" s="42"/>
      <c r="AG184" s="42"/>
      <c r="AH184" s="41"/>
      <c r="AI184" s="42"/>
      <c r="AJ184" s="42"/>
      <c r="AK184" s="42"/>
      <c r="AL184" s="42"/>
      <c r="AM184" s="42"/>
      <c r="AN184" s="42"/>
      <c r="AO184" s="43"/>
      <c r="AP184" s="41"/>
      <c r="AQ184" s="42"/>
      <c r="AR184" s="42"/>
      <c r="AS184" s="42"/>
      <c r="AT184" s="42"/>
      <c r="AU184" s="42"/>
      <c r="AV184" s="42"/>
      <c r="AW184" s="42"/>
      <c r="AX184" s="42"/>
      <c r="AY184" s="43"/>
      <c r="AZ184" s="41"/>
      <c r="BA184" s="42"/>
      <c r="BB184" s="42"/>
      <c r="BC184" s="42"/>
      <c r="BD184" s="42"/>
      <c r="BE184" s="42"/>
      <c r="BF184" s="42"/>
      <c r="BG184" s="43"/>
      <c r="BH184" s="42"/>
      <c r="BI184" s="42"/>
      <c r="BJ184" s="42"/>
      <c r="BK184" s="42"/>
      <c r="BL184" s="42"/>
      <c r="BM184" s="42"/>
      <c r="BN184" s="42"/>
      <c r="BO184" s="43"/>
      <c r="BP184" s="42"/>
      <c r="BQ184" s="42"/>
      <c r="BR184" s="42"/>
      <c r="BS184" s="42"/>
      <c r="BT184" s="42"/>
      <c r="BU184" s="42"/>
      <c r="BV184" s="42"/>
      <c r="BW184" s="43"/>
    </row>
    <row r="185" spans="1:75" ht="13.5" customHeight="1" thickBot="1">
      <c r="A185" s="58"/>
      <c r="B185" s="6"/>
      <c r="C185" s="48"/>
      <c r="D185" s="48"/>
      <c r="E185" s="23"/>
      <c r="F185" s="23"/>
      <c r="G185" s="48"/>
      <c r="H185" s="23"/>
      <c r="I185" s="23"/>
      <c r="J185" s="23"/>
      <c r="K185" s="23"/>
      <c r="L185" s="23"/>
      <c r="M185" s="23"/>
      <c r="N185" s="39"/>
      <c r="O185" s="39"/>
      <c r="P185" s="39"/>
      <c r="Q185" s="48"/>
      <c r="R185" s="48"/>
      <c r="S185" s="7"/>
      <c r="T185" s="7"/>
      <c r="U185" s="7" t="s">
        <v>617</v>
      </c>
      <c r="V185" s="7"/>
      <c r="W185" s="7"/>
      <c r="X185" s="7"/>
      <c r="Y185" s="7"/>
      <c r="Z185" s="6"/>
      <c r="AA185" s="21" t="s">
        <v>621</v>
      </c>
      <c r="AB185" s="7"/>
      <c r="AC185" s="7"/>
      <c r="AD185" s="7"/>
      <c r="AE185" s="49">
        <f>-0.083*$AD$2*$AC$7^2</f>
        <v>-5.04225</v>
      </c>
      <c r="AF185" s="49"/>
      <c r="AG185" s="49"/>
      <c r="AH185" s="6"/>
      <c r="AI185" s="21" t="s">
        <v>624</v>
      </c>
      <c r="AJ185" s="7"/>
      <c r="AK185" s="7"/>
      <c r="AL185" s="7"/>
      <c r="AM185" s="49">
        <f>-0.125*$AL$2*$AK$8</f>
        <v>-16</v>
      </c>
      <c r="AN185" s="49"/>
      <c r="AO185" s="50"/>
      <c r="AP185" s="6"/>
      <c r="AQ185" s="7"/>
      <c r="AR185" s="7"/>
      <c r="AS185" s="21" t="s">
        <v>626</v>
      </c>
      <c r="AT185" s="7"/>
      <c r="AU185" s="7"/>
      <c r="AV185" s="7"/>
      <c r="AW185" s="49">
        <f>-0.222*$AT$2*$AU$8</f>
        <v>-11.655000000000001</v>
      </c>
      <c r="AX185" s="49"/>
      <c r="AY185" s="50"/>
      <c r="AZ185" s="6"/>
      <c r="BA185" s="21" t="s">
        <v>235</v>
      </c>
      <c r="BB185" s="7"/>
      <c r="BC185" s="7"/>
      <c r="BD185" s="7"/>
      <c r="BE185" s="49">
        <f>-0.104*$BE$10*$BC$8</f>
        <v>-1.605006</v>
      </c>
      <c r="BF185" s="49"/>
      <c r="BG185" s="50"/>
      <c r="BH185" s="7"/>
      <c r="BI185" s="21" t="s">
        <v>631</v>
      </c>
      <c r="BJ185" s="7"/>
      <c r="BK185" s="7"/>
      <c r="BL185" s="7"/>
      <c r="BM185" s="49">
        <f>-0.103*$BM$10*$BK$8</f>
        <v>-2.9580956249999995</v>
      </c>
      <c r="BN185" s="49"/>
      <c r="BO185" s="50"/>
      <c r="BP185" s="7"/>
      <c r="BQ185" s="21" t="s">
        <v>633</v>
      </c>
      <c r="BR185" s="7"/>
      <c r="BS185" s="7"/>
      <c r="BT185" s="7"/>
      <c r="BU185" s="49">
        <f>-0.101*$BU$10*$BS$8</f>
        <v>-3.0140823999999995</v>
      </c>
      <c r="BV185" s="49"/>
      <c r="BW185" s="50"/>
    </row>
    <row r="186" spans="1:75" ht="12.75" customHeight="1">
      <c r="A186" s="58"/>
      <c r="B186" s="6"/>
      <c r="C186" s="7"/>
      <c r="D186" s="7"/>
      <c r="E186" s="7"/>
      <c r="F186" s="12">
        <v>25</v>
      </c>
      <c r="G186" s="7"/>
      <c r="H186" s="7"/>
      <c r="I186" s="12">
        <v>26</v>
      </c>
      <c r="J186" s="7"/>
      <c r="K186" s="7"/>
      <c r="L186" s="12">
        <v>27</v>
      </c>
      <c r="M186" s="7"/>
      <c r="N186" s="7"/>
      <c r="O186" s="12">
        <v>28</v>
      </c>
      <c r="P186" s="7"/>
      <c r="Q186" s="7"/>
      <c r="R186" s="7"/>
      <c r="S186" s="7"/>
      <c r="T186" s="7"/>
      <c r="U186" s="7" t="s">
        <v>618</v>
      </c>
      <c r="V186" s="7"/>
      <c r="W186" s="7"/>
      <c r="X186" s="7"/>
      <c r="Y186" s="7"/>
      <c r="Z186" s="6"/>
      <c r="AA186" s="7" t="s">
        <v>622</v>
      </c>
      <c r="AB186" s="7"/>
      <c r="AC186" s="7"/>
      <c r="AD186" s="7"/>
      <c r="AE186" s="49">
        <f>0.042*$AD$2*$AC$7^2</f>
        <v>2.5515</v>
      </c>
      <c r="AF186" s="49"/>
      <c r="AG186" s="49"/>
      <c r="AH186" s="6"/>
      <c r="AI186" s="21" t="s">
        <v>625</v>
      </c>
      <c r="AJ186" s="7"/>
      <c r="AK186" s="7"/>
      <c r="AL186" s="7"/>
      <c r="AM186" s="49">
        <f>0.125*$AL$2*$AK$8</f>
        <v>16</v>
      </c>
      <c r="AN186" s="49"/>
      <c r="AO186" s="50"/>
      <c r="AP186" s="6"/>
      <c r="AQ186" s="7"/>
      <c r="AR186" s="7"/>
      <c r="AS186" s="21" t="s">
        <v>627</v>
      </c>
      <c r="AT186" s="7"/>
      <c r="AU186" s="7"/>
      <c r="AV186" s="7"/>
      <c r="AW186" s="49">
        <f>0.111*$AT$2*$AU$8</f>
        <v>5.827500000000001</v>
      </c>
      <c r="AX186" s="49"/>
      <c r="AY186" s="50"/>
      <c r="AZ186" s="6"/>
      <c r="BA186" s="21" t="s">
        <v>629</v>
      </c>
      <c r="BB186" s="7"/>
      <c r="BC186" s="7"/>
      <c r="BD186" s="7"/>
      <c r="BE186" s="49">
        <f>0.062*$BE$10*$BC$8</f>
        <v>0.9568304999999999</v>
      </c>
      <c r="BF186" s="49"/>
      <c r="BG186" s="50"/>
      <c r="BH186" s="7"/>
      <c r="BI186" s="21" t="s">
        <v>632</v>
      </c>
      <c r="BJ186" s="7"/>
      <c r="BK186" s="7"/>
      <c r="BL186" s="7"/>
      <c r="BM186" s="49">
        <f>0.06*$BM$10*$BK$8</f>
        <v>1.7231624999999997</v>
      </c>
      <c r="BN186" s="49"/>
      <c r="BO186" s="50"/>
      <c r="BP186" s="7"/>
      <c r="BQ186" s="21" t="s">
        <v>634</v>
      </c>
      <c r="BR186" s="7"/>
      <c r="BS186" s="7"/>
      <c r="BT186" s="7"/>
      <c r="BU186" s="49">
        <f>0.057*$BU$10*$BS$8</f>
        <v>1.7010167999999997</v>
      </c>
      <c r="BV186" s="49"/>
      <c r="BW186" s="50"/>
    </row>
    <row r="187" spans="1:75" ht="12.75" customHeight="1">
      <c r="A187" s="58"/>
      <c r="B187" s="6"/>
      <c r="C187" s="7"/>
      <c r="D187" s="51" t="s">
        <v>613</v>
      </c>
      <c r="E187" s="51"/>
      <c r="F187" s="12"/>
      <c r="G187" s="51" t="s">
        <v>614</v>
      </c>
      <c r="H187" s="51"/>
      <c r="I187" s="12"/>
      <c r="J187" s="51" t="s">
        <v>20</v>
      </c>
      <c r="K187" s="51"/>
      <c r="L187" s="12"/>
      <c r="M187" s="51" t="s">
        <v>615</v>
      </c>
      <c r="N187" s="51"/>
      <c r="O187" s="12"/>
      <c r="P187" s="51" t="s">
        <v>616</v>
      </c>
      <c r="Q187" s="51"/>
      <c r="R187" s="7"/>
      <c r="S187" s="7"/>
      <c r="T187" s="7"/>
      <c r="U187" s="7" t="s">
        <v>619</v>
      </c>
      <c r="V187" s="7"/>
      <c r="W187" s="7"/>
      <c r="X187" s="7"/>
      <c r="Y187" s="7"/>
      <c r="Z187" s="6"/>
      <c r="AA187" s="7" t="s">
        <v>82</v>
      </c>
      <c r="AB187" s="7"/>
      <c r="AC187" s="7"/>
      <c r="AD187" s="7"/>
      <c r="AE187" s="49">
        <f>0.5*$AD$2*$AC$7</f>
        <v>6.75</v>
      </c>
      <c r="AF187" s="49"/>
      <c r="AG187" s="49"/>
      <c r="AH187" s="6"/>
      <c r="AI187" s="21" t="s">
        <v>89</v>
      </c>
      <c r="AJ187" s="7"/>
      <c r="AK187" s="7"/>
      <c r="AL187" s="7"/>
      <c r="AM187" s="49">
        <f>0.5*$AL$2</f>
        <v>16</v>
      </c>
      <c r="AN187" s="49"/>
      <c r="AO187" s="50"/>
      <c r="AP187" s="6"/>
      <c r="AQ187" s="7"/>
      <c r="AR187" s="7"/>
      <c r="AS187" s="21" t="s">
        <v>96</v>
      </c>
      <c r="AT187" s="7"/>
      <c r="AU187" s="7"/>
      <c r="AV187" s="7"/>
      <c r="AW187" s="49">
        <f>1*$AT$2</f>
        <v>15</v>
      </c>
      <c r="AX187" s="49"/>
      <c r="AY187" s="50"/>
      <c r="AZ187" s="6"/>
      <c r="BA187" s="21" t="s">
        <v>103</v>
      </c>
      <c r="BB187" s="7"/>
      <c r="BC187" s="7"/>
      <c r="BD187" s="7"/>
      <c r="BE187" s="49">
        <f>0.5*$BE$10</f>
        <v>2.7075</v>
      </c>
      <c r="BF187" s="49"/>
      <c r="BG187" s="50"/>
      <c r="BH187" s="7"/>
      <c r="BI187" s="21" t="s">
        <v>103</v>
      </c>
      <c r="BJ187" s="7"/>
      <c r="BK187" s="7"/>
      <c r="BL187" s="7"/>
      <c r="BM187" s="49">
        <f>0.5*$BM$10</f>
        <v>3.3787499999999997</v>
      </c>
      <c r="BN187" s="49"/>
      <c r="BO187" s="50"/>
      <c r="BP187" s="7"/>
      <c r="BQ187" s="21" t="s">
        <v>103</v>
      </c>
      <c r="BR187" s="7"/>
      <c r="BS187" s="7"/>
      <c r="BT187" s="7"/>
      <c r="BU187" s="49">
        <f>0.5*$BU$10</f>
        <v>4.087999999999999</v>
      </c>
      <c r="BV187" s="49"/>
      <c r="BW187" s="50"/>
    </row>
    <row r="188" spans="1:75" ht="12.75" customHeight="1">
      <c r="A188" s="58"/>
      <c r="B188" s="6"/>
      <c r="C188" s="7"/>
      <c r="D188" s="7"/>
      <c r="E188" s="24"/>
      <c r="F188" s="24" t="s">
        <v>20</v>
      </c>
      <c r="G188" s="7"/>
      <c r="H188" s="24"/>
      <c r="I188" s="24" t="s">
        <v>20</v>
      </c>
      <c r="J188" s="7"/>
      <c r="K188" s="24"/>
      <c r="L188" s="24" t="s">
        <v>20</v>
      </c>
      <c r="M188" s="7"/>
      <c r="N188" s="25"/>
      <c r="O188" s="12" t="str">
        <f>+L188</f>
        <v>L</v>
      </c>
      <c r="P188" s="7"/>
      <c r="Q188" s="7"/>
      <c r="R188" s="7"/>
      <c r="S188" s="7"/>
      <c r="T188" s="7"/>
      <c r="U188" s="7" t="s">
        <v>620</v>
      </c>
      <c r="V188" s="7"/>
      <c r="W188" s="7"/>
      <c r="X188" s="7"/>
      <c r="Y188" s="7"/>
      <c r="Z188" s="6"/>
      <c r="AA188" s="7" t="s">
        <v>623</v>
      </c>
      <c r="AB188" s="7"/>
      <c r="AC188" s="7"/>
      <c r="AD188" s="7"/>
      <c r="AE188" s="49">
        <f>1*$AD$2*$AC$7</f>
        <v>13.5</v>
      </c>
      <c r="AF188" s="49"/>
      <c r="AG188" s="49"/>
      <c r="AH188" s="6"/>
      <c r="AI188" s="21" t="s">
        <v>96</v>
      </c>
      <c r="AJ188" s="7"/>
      <c r="AK188" s="7"/>
      <c r="AL188" s="7"/>
      <c r="AM188" s="49">
        <f>1*$AL$2</f>
        <v>32</v>
      </c>
      <c r="AN188" s="49"/>
      <c r="AO188" s="50"/>
      <c r="AP188" s="6"/>
      <c r="AQ188" s="7"/>
      <c r="AR188" s="7"/>
      <c r="AS188" s="21" t="s">
        <v>628</v>
      </c>
      <c r="AT188" s="7"/>
      <c r="AU188" s="7"/>
      <c r="AV188" s="7"/>
      <c r="AW188" s="49">
        <f>2*$AT$2</f>
        <v>30</v>
      </c>
      <c r="AX188" s="49"/>
      <c r="AY188" s="50"/>
      <c r="AZ188" s="6"/>
      <c r="BA188" s="21" t="s">
        <v>630</v>
      </c>
      <c r="BB188" s="7"/>
      <c r="BC188" s="7"/>
      <c r="BD188" s="7"/>
      <c r="BE188" s="49">
        <f>1*$BE$10</f>
        <v>5.415</v>
      </c>
      <c r="BF188" s="49"/>
      <c r="BG188" s="50"/>
      <c r="BH188" s="7"/>
      <c r="BI188" s="21" t="s">
        <v>630</v>
      </c>
      <c r="BJ188" s="7"/>
      <c r="BK188" s="7"/>
      <c r="BL188" s="7"/>
      <c r="BM188" s="49">
        <f>1*$BM$10</f>
        <v>6.757499999999999</v>
      </c>
      <c r="BN188" s="49"/>
      <c r="BO188" s="50"/>
      <c r="BP188" s="7"/>
      <c r="BQ188" s="21" t="s">
        <v>630</v>
      </c>
      <c r="BR188" s="7"/>
      <c r="BS188" s="7"/>
      <c r="BT188" s="7"/>
      <c r="BU188" s="49">
        <f>1*$BU$10</f>
        <v>8.175999999999998</v>
      </c>
      <c r="BV188" s="49"/>
      <c r="BW188" s="50"/>
    </row>
    <row r="189" spans="1:75" ht="12.75" customHeight="1">
      <c r="A189" s="58"/>
      <c r="B189" s="26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6"/>
      <c r="AA189" s="27"/>
      <c r="AB189" s="27"/>
      <c r="AC189" s="27"/>
      <c r="AD189" s="27"/>
      <c r="AE189" s="27"/>
      <c r="AF189" s="27"/>
      <c r="AG189" s="27"/>
      <c r="AH189" s="26"/>
      <c r="AI189" s="27"/>
      <c r="AJ189" s="27"/>
      <c r="AK189" s="27"/>
      <c r="AL189" s="27"/>
      <c r="AM189" s="27"/>
      <c r="AN189" s="27"/>
      <c r="AO189" s="44"/>
      <c r="AP189" s="26"/>
      <c r="AQ189" s="27"/>
      <c r="AR189" s="27"/>
      <c r="AS189" s="27"/>
      <c r="AT189" s="27"/>
      <c r="AU189" s="27"/>
      <c r="AV189" s="27"/>
      <c r="AW189" s="27"/>
      <c r="AX189" s="27"/>
      <c r="AY189" s="44"/>
      <c r="AZ189" s="26"/>
      <c r="BA189" s="27"/>
      <c r="BB189" s="27"/>
      <c r="BC189" s="27"/>
      <c r="BD189" s="27"/>
      <c r="BE189" s="27"/>
      <c r="BF189" s="27"/>
      <c r="BG189" s="44"/>
      <c r="BH189" s="27"/>
      <c r="BI189" s="27"/>
      <c r="BJ189" s="27"/>
      <c r="BK189" s="27"/>
      <c r="BL189" s="27"/>
      <c r="BM189" s="27"/>
      <c r="BN189" s="27"/>
      <c r="BO189" s="44"/>
      <c r="BP189" s="27"/>
      <c r="BQ189" s="27"/>
      <c r="BR189" s="27"/>
      <c r="BS189" s="27"/>
      <c r="BT189" s="27"/>
      <c r="BU189" s="27"/>
      <c r="BV189" s="27"/>
      <c r="BW189" s="44"/>
    </row>
    <row r="190" spans="1:75" ht="12.75" customHeight="1">
      <c r="A190" s="58"/>
      <c r="B190" s="6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6"/>
      <c r="AA190" s="7"/>
      <c r="AB190" s="7"/>
      <c r="AC190" s="7"/>
      <c r="AD190" s="7"/>
      <c r="AE190" s="7"/>
      <c r="AF190" s="7"/>
      <c r="AG190" s="7"/>
      <c r="AH190" s="6"/>
      <c r="AI190" s="7"/>
      <c r="AJ190" s="7"/>
      <c r="AK190" s="7"/>
      <c r="AL190" s="7"/>
      <c r="AM190" s="7"/>
      <c r="AN190" s="7"/>
      <c r="AO190" s="8"/>
      <c r="AP190" s="6"/>
      <c r="AQ190" s="7"/>
      <c r="AR190" s="7"/>
      <c r="AS190" s="7"/>
      <c r="AT190" s="7"/>
      <c r="AU190" s="7"/>
      <c r="AV190" s="7"/>
      <c r="AW190" s="7"/>
      <c r="AX190" s="7"/>
      <c r="AY190" s="8"/>
      <c r="AZ190" s="6"/>
      <c r="BA190" s="7"/>
      <c r="BB190" s="7"/>
      <c r="BC190" s="7"/>
      <c r="BD190" s="7"/>
      <c r="BE190" s="7"/>
      <c r="BF190" s="7"/>
      <c r="BG190" s="8"/>
      <c r="BH190" s="7"/>
      <c r="BI190" s="7"/>
      <c r="BJ190" s="7"/>
      <c r="BK190" s="7"/>
      <c r="BL190" s="7"/>
      <c r="BM190" s="7"/>
      <c r="BN190" s="7"/>
      <c r="BO190" s="8"/>
      <c r="BP190" s="7"/>
      <c r="BQ190" s="7"/>
      <c r="BR190" s="7"/>
      <c r="BS190" s="7"/>
      <c r="BT190" s="7"/>
      <c r="BU190" s="7"/>
      <c r="BV190" s="7"/>
      <c r="BW190" s="8"/>
    </row>
    <row r="191" spans="1:75" ht="13.5" customHeight="1" thickBot="1">
      <c r="A191" s="58"/>
      <c r="B191" s="6"/>
      <c r="C191" s="34"/>
      <c r="D191" s="34"/>
      <c r="E191" s="23"/>
      <c r="F191" s="23"/>
      <c r="G191" s="48"/>
      <c r="H191" s="34"/>
      <c r="I191" s="34"/>
      <c r="J191" s="34"/>
      <c r="K191" s="23"/>
      <c r="L191" s="23"/>
      <c r="M191" s="23"/>
      <c r="N191" s="34"/>
      <c r="O191" s="34"/>
      <c r="P191" s="34"/>
      <c r="Q191" s="48"/>
      <c r="R191" s="48"/>
      <c r="S191" s="7"/>
      <c r="T191" s="7"/>
      <c r="U191" s="7" t="s">
        <v>617</v>
      </c>
      <c r="V191" s="7"/>
      <c r="W191" s="7"/>
      <c r="X191" s="7"/>
      <c r="Y191" s="7"/>
      <c r="Z191" s="6"/>
      <c r="AA191" s="21" t="s">
        <v>637</v>
      </c>
      <c r="AB191" s="7"/>
      <c r="AC191" s="7"/>
      <c r="AD191" s="7"/>
      <c r="AE191" s="49">
        <f>-0.042*$AD$2*$AC$7^2</f>
        <v>-2.5515</v>
      </c>
      <c r="AF191" s="49"/>
      <c r="AG191" s="49"/>
      <c r="AH191" s="6"/>
      <c r="AI191" s="21" t="s">
        <v>639</v>
      </c>
      <c r="AJ191" s="7"/>
      <c r="AK191" s="7"/>
      <c r="AL191" s="7"/>
      <c r="AM191" s="49">
        <f>-0.063*$AL$2*$AK$8</f>
        <v>-8.064</v>
      </c>
      <c r="AN191" s="49"/>
      <c r="AO191" s="50"/>
      <c r="AP191" s="6"/>
      <c r="AQ191" s="7"/>
      <c r="AR191" s="7"/>
      <c r="AS191" s="21" t="s">
        <v>641</v>
      </c>
      <c r="AT191" s="7"/>
      <c r="AU191" s="7"/>
      <c r="AV191" s="7"/>
      <c r="AW191" s="49">
        <f>-0.111*$AT$2*$AU$8</f>
        <v>-5.827500000000001</v>
      </c>
      <c r="AX191" s="49"/>
      <c r="AY191" s="50"/>
      <c r="AZ191" s="6"/>
      <c r="BA191" s="21" t="s">
        <v>643</v>
      </c>
      <c r="BB191" s="7"/>
      <c r="BC191" s="7"/>
      <c r="BD191" s="7"/>
      <c r="BE191" s="49">
        <f>-0.052*$BE$10*$BC$8</f>
        <v>-0.802503</v>
      </c>
      <c r="BF191" s="49"/>
      <c r="BG191" s="50"/>
      <c r="BH191" s="7"/>
      <c r="BI191" s="21" t="s">
        <v>643</v>
      </c>
      <c r="BJ191" s="7"/>
      <c r="BK191" s="7"/>
      <c r="BL191" s="7"/>
      <c r="BM191" s="49">
        <f>-0.052*$BM$10*$BK$8</f>
        <v>-1.4934075</v>
      </c>
      <c r="BN191" s="49"/>
      <c r="BO191" s="50"/>
      <c r="BP191" s="7"/>
      <c r="BQ191" s="21" t="s">
        <v>646</v>
      </c>
      <c r="BR191" s="7"/>
      <c r="BS191" s="7"/>
      <c r="BT191" s="7"/>
      <c r="BU191" s="49">
        <f>-0.051*$BU$10*$BS$8</f>
        <v>-1.5219623999999996</v>
      </c>
      <c r="BV191" s="49"/>
      <c r="BW191" s="50"/>
    </row>
    <row r="192" spans="1:75" ht="12.75" customHeight="1">
      <c r="A192" s="58"/>
      <c r="B192" s="6"/>
      <c r="C192" s="7"/>
      <c r="D192" s="7"/>
      <c r="E192" s="7"/>
      <c r="F192" s="12">
        <v>25</v>
      </c>
      <c r="G192" s="7"/>
      <c r="H192" s="7"/>
      <c r="I192" s="12">
        <v>26</v>
      </c>
      <c r="J192" s="7"/>
      <c r="K192" s="7"/>
      <c r="L192" s="12">
        <v>27</v>
      </c>
      <c r="M192" s="7"/>
      <c r="N192" s="7"/>
      <c r="O192" s="12">
        <v>28</v>
      </c>
      <c r="P192" s="7"/>
      <c r="Q192" s="7"/>
      <c r="R192" s="7"/>
      <c r="S192" s="7"/>
      <c r="T192" s="7"/>
      <c r="U192" s="7" t="s">
        <v>636</v>
      </c>
      <c r="V192" s="7"/>
      <c r="W192" s="7"/>
      <c r="X192" s="7"/>
      <c r="Y192" s="7"/>
      <c r="Z192" s="6"/>
      <c r="AA192" s="7" t="s">
        <v>638</v>
      </c>
      <c r="AB192" s="7"/>
      <c r="AC192" s="7"/>
      <c r="AD192" s="7"/>
      <c r="AE192" s="49">
        <f>0.083*$AD$2*$AC$7^2</f>
        <v>5.04225</v>
      </c>
      <c r="AF192" s="49"/>
      <c r="AG192" s="49"/>
      <c r="AH192" s="6"/>
      <c r="AI192" s="21" t="s">
        <v>640</v>
      </c>
      <c r="AJ192" s="7"/>
      <c r="AK192" s="7"/>
      <c r="AL192" s="7"/>
      <c r="AM192" s="49">
        <f>0.188*$AL$2*$AK$8</f>
        <v>24.064</v>
      </c>
      <c r="AN192" s="49"/>
      <c r="AO192" s="50"/>
      <c r="AP192" s="6"/>
      <c r="AQ192" s="7"/>
      <c r="AR192" s="7"/>
      <c r="AS192" s="21" t="s">
        <v>642</v>
      </c>
      <c r="AT192" s="7"/>
      <c r="AU192" s="7"/>
      <c r="AV192" s="7"/>
      <c r="AW192" s="49">
        <f>0.222*$AT$2*$AU$8</f>
        <v>11.655000000000001</v>
      </c>
      <c r="AX192" s="49"/>
      <c r="AY192" s="50"/>
      <c r="AZ192" s="6"/>
      <c r="BA192" s="21" t="s">
        <v>644</v>
      </c>
      <c r="BB192" s="7"/>
      <c r="BC192" s="7"/>
      <c r="BD192" s="7"/>
      <c r="BE192" s="49">
        <f>0.115*$BE$10*$BC$8</f>
        <v>1.7747662500000003</v>
      </c>
      <c r="BF192" s="49"/>
      <c r="BG192" s="50"/>
      <c r="BH192" s="7"/>
      <c r="BI192" s="21" t="s">
        <v>645</v>
      </c>
      <c r="BJ192" s="7"/>
      <c r="BK192" s="7"/>
      <c r="BL192" s="7"/>
      <c r="BM192" s="49">
        <f>0.112*$BM$10*$BK$8</f>
        <v>3.21657</v>
      </c>
      <c r="BN192" s="49"/>
      <c r="BO192" s="50"/>
      <c r="BP192" s="7"/>
      <c r="BQ192" s="21" t="s">
        <v>104</v>
      </c>
      <c r="BR192" s="7"/>
      <c r="BS192" s="7"/>
      <c r="BT192" s="7"/>
      <c r="BU192" s="49">
        <f>0.107*$BU$10*$BS$8</f>
        <v>3.193136799999999</v>
      </c>
      <c r="BV192" s="49"/>
      <c r="BW192" s="50"/>
    </row>
    <row r="193" spans="1:75" ht="12.75" customHeight="1">
      <c r="A193" s="58"/>
      <c r="B193" s="6"/>
      <c r="C193" s="7"/>
      <c r="D193" s="51" t="s">
        <v>613</v>
      </c>
      <c r="E193" s="51"/>
      <c r="F193" s="12"/>
      <c r="G193" s="51" t="s">
        <v>614</v>
      </c>
      <c r="H193" s="51"/>
      <c r="I193" s="12"/>
      <c r="J193" s="51" t="s">
        <v>20</v>
      </c>
      <c r="K193" s="51"/>
      <c r="L193" s="12"/>
      <c r="M193" s="51" t="s">
        <v>615</v>
      </c>
      <c r="N193" s="51"/>
      <c r="O193" s="12"/>
      <c r="P193" s="51" t="s">
        <v>616</v>
      </c>
      <c r="Q193" s="51"/>
      <c r="R193" s="7"/>
      <c r="S193" s="7"/>
      <c r="T193" s="7"/>
      <c r="U193" s="7" t="s">
        <v>620</v>
      </c>
      <c r="V193" s="7"/>
      <c r="W193" s="7"/>
      <c r="X193" s="7"/>
      <c r="Y193" s="7"/>
      <c r="Z193" s="6"/>
      <c r="AA193" s="7" t="s">
        <v>82</v>
      </c>
      <c r="AB193" s="7"/>
      <c r="AC193" s="7"/>
      <c r="AD193" s="7"/>
      <c r="AE193" s="49">
        <f>0.5*$AD$2*$AC$7</f>
        <v>6.75</v>
      </c>
      <c r="AF193" s="49"/>
      <c r="AG193" s="49"/>
      <c r="AH193" s="6"/>
      <c r="AI193" s="21" t="s">
        <v>89</v>
      </c>
      <c r="AJ193" s="7"/>
      <c r="AK193" s="7"/>
      <c r="AL193" s="7"/>
      <c r="AM193" s="49">
        <f>0.5*$AL$2</f>
        <v>16</v>
      </c>
      <c r="AN193" s="49"/>
      <c r="AO193" s="50"/>
      <c r="AP193" s="6"/>
      <c r="AQ193" s="7"/>
      <c r="AR193" s="7"/>
      <c r="AS193" s="21" t="s">
        <v>96</v>
      </c>
      <c r="AT193" s="7"/>
      <c r="AU193" s="7"/>
      <c r="AV193" s="7"/>
      <c r="AW193" s="49">
        <f>1*$AT$2</f>
        <v>15</v>
      </c>
      <c r="AX193" s="49"/>
      <c r="AY193" s="50"/>
      <c r="AZ193" s="6"/>
      <c r="BA193" s="21" t="s">
        <v>103</v>
      </c>
      <c r="BB193" s="7"/>
      <c r="BC193" s="7"/>
      <c r="BD193" s="7"/>
      <c r="BE193" s="49">
        <f>0.5*$BE$10</f>
        <v>2.7075</v>
      </c>
      <c r="BF193" s="49"/>
      <c r="BG193" s="50"/>
      <c r="BH193" s="7"/>
      <c r="BI193" s="21" t="s">
        <v>103</v>
      </c>
      <c r="BJ193" s="7"/>
      <c r="BK193" s="7"/>
      <c r="BL193" s="7"/>
      <c r="BM193" s="49">
        <f>0.5*$BM$10</f>
        <v>3.3787499999999997</v>
      </c>
      <c r="BN193" s="49"/>
      <c r="BO193" s="50"/>
      <c r="BP193" s="7"/>
      <c r="BQ193" s="21" t="s">
        <v>103</v>
      </c>
      <c r="BR193" s="7"/>
      <c r="BS193" s="7"/>
      <c r="BT193" s="7"/>
      <c r="BU193" s="49">
        <f>0.5*$BU$10</f>
        <v>4.087999999999999</v>
      </c>
      <c r="BV193" s="49"/>
      <c r="BW193" s="50"/>
    </row>
    <row r="194" spans="1:75" ht="12.75" customHeight="1">
      <c r="A194" s="58"/>
      <c r="B194" s="6"/>
      <c r="C194" s="7"/>
      <c r="D194" s="7"/>
      <c r="E194" s="24"/>
      <c r="F194" s="24" t="s">
        <v>20</v>
      </c>
      <c r="G194" s="7"/>
      <c r="H194" s="24"/>
      <c r="I194" s="24" t="s">
        <v>20</v>
      </c>
      <c r="J194" s="7"/>
      <c r="K194" s="24"/>
      <c r="L194" s="24" t="s">
        <v>20</v>
      </c>
      <c r="M194" s="7"/>
      <c r="N194" s="25"/>
      <c r="O194" s="12" t="str">
        <f>+L194</f>
        <v>L</v>
      </c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6"/>
      <c r="AA194" s="7"/>
      <c r="AB194" s="7"/>
      <c r="AC194" s="7"/>
      <c r="AD194" s="7"/>
      <c r="AE194" s="7"/>
      <c r="AF194" s="7"/>
      <c r="AG194" s="7"/>
      <c r="AH194" s="6"/>
      <c r="AI194" s="7"/>
      <c r="AJ194" s="7"/>
      <c r="AK194" s="7"/>
      <c r="AL194" s="7"/>
      <c r="AM194" s="7"/>
      <c r="AN194" s="7"/>
      <c r="AO194" s="8"/>
      <c r="AP194" s="6"/>
      <c r="AQ194" s="7"/>
      <c r="AR194" s="7"/>
      <c r="AS194" s="7"/>
      <c r="AT194" s="7"/>
      <c r="AU194" s="7"/>
      <c r="AV194" s="7"/>
      <c r="AW194" s="7"/>
      <c r="AX194" s="7"/>
      <c r="AY194" s="8"/>
      <c r="AZ194" s="6"/>
      <c r="BA194" s="7"/>
      <c r="BB194" s="7"/>
      <c r="BC194" s="7"/>
      <c r="BD194" s="7"/>
      <c r="BE194" s="7"/>
      <c r="BF194" s="7"/>
      <c r="BG194" s="8"/>
      <c r="BH194" s="7"/>
      <c r="BI194" s="7"/>
      <c r="BJ194" s="7"/>
      <c r="BK194" s="7"/>
      <c r="BL194" s="7"/>
      <c r="BM194" s="7"/>
      <c r="BN194" s="7"/>
      <c r="BO194" s="8"/>
      <c r="BP194" s="7"/>
      <c r="BQ194" s="7"/>
      <c r="BR194" s="7"/>
      <c r="BS194" s="7"/>
      <c r="BT194" s="7"/>
      <c r="BU194" s="7"/>
      <c r="BV194" s="7"/>
      <c r="BW194" s="8"/>
    </row>
    <row r="195" spans="1:75" ht="12.75" customHeight="1">
      <c r="A195" s="58"/>
      <c r="B195" s="6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6"/>
      <c r="AA195" s="7"/>
      <c r="AB195" s="7"/>
      <c r="AC195" s="7"/>
      <c r="AD195" s="7"/>
      <c r="AE195" s="7"/>
      <c r="AF195" s="7"/>
      <c r="AG195" s="7"/>
      <c r="AH195" s="6"/>
      <c r="AI195" s="7"/>
      <c r="AJ195" s="7"/>
      <c r="AK195" s="7"/>
      <c r="AL195" s="7"/>
      <c r="AM195" s="7"/>
      <c r="AN195" s="7"/>
      <c r="AO195" s="8"/>
      <c r="AP195" s="6"/>
      <c r="AQ195" s="7"/>
      <c r="AR195" s="7"/>
      <c r="AS195" s="7"/>
      <c r="AT195" s="7"/>
      <c r="AU195" s="7"/>
      <c r="AV195" s="7"/>
      <c r="AW195" s="7"/>
      <c r="AX195" s="7"/>
      <c r="AY195" s="8"/>
      <c r="AZ195" s="6"/>
      <c r="BA195" s="7"/>
      <c r="BB195" s="7"/>
      <c r="BC195" s="7"/>
      <c r="BD195" s="7"/>
      <c r="BE195" s="7"/>
      <c r="BF195" s="7"/>
      <c r="BG195" s="8"/>
      <c r="BH195" s="7"/>
      <c r="BI195" s="7"/>
      <c r="BJ195" s="7"/>
      <c r="BK195" s="7"/>
      <c r="BL195" s="7"/>
      <c r="BM195" s="7"/>
      <c r="BN195" s="7"/>
      <c r="BO195" s="8"/>
      <c r="BP195" s="7"/>
      <c r="BQ195" s="7"/>
      <c r="BR195" s="7"/>
      <c r="BS195" s="7"/>
      <c r="BT195" s="7"/>
      <c r="BU195" s="7"/>
      <c r="BV195" s="7"/>
      <c r="BW195" s="8"/>
    </row>
    <row r="196" spans="1:75" ht="12.75" customHeight="1">
      <c r="A196" s="58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3"/>
      <c r="AA196" s="4"/>
      <c r="AB196" s="4"/>
      <c r="AC196" s="4"/>
      <c r="AD196" s="4"/>
      <c r="AE196" s="4"/>
      <c r="AF196" s="4"/>
      <c r="AG196" s="4"/>
      <c r="AH196" s="3"/>
      <c r="AI196" s="4"/>
      <c r="AJ196" s="4"/>
      <c r="AK196" s="4"/>
      <c r="AL196" s="4"/>
      <c r="AM196" s="4"/>
      <c r="AN196" s="4"/>
      <c r="AO196" s="5"/>
      <c r="AP196" s="3"/>
      <c r="AQ196" s="4"/>
      <c r="AR196" s="4"/>
      <c r="AS196" s="4"/>
      <c r="AT196" s="4"/>
      <c r="AU196" s="4"/>
      <c r="AV196" s="4"/>
      <c r="AW196" s="4"/>
      <c r="AX196" s="4"/>
      <c r="AY196" s="5"/>
      <c r="AZ196" s="3"/>
      <c r="BA196" s="4"/>
      <c r="BB196" s="4"/>
      <c r="BC196" s="4"/>
      <c r="BD196" s="4"/>
      <c r="BE196" s="4"/>
      <c r="BF196" s="4"/>
      <c r="BG196" s="5"/>
      <c r="BH196" s="4"/>
      <c r="BI196" s="4"/>
      <c r="BJ196" s="4"/>
      <c r="BK196" s="4"/>
      <c r="BL196" s="4"/>
      <c r="BM196" s="4"/>
      <c r="BN196" s="4"/>
      <c r="BO196" s="5"/>
      <c r="BP196" s="4"/>
      <c r="BQ196" s="4"/>
      <c r="BR196" s="4"/>
      <c r="BS196" s="4"/>
      <c r="BT196" s="4"/>
      <c r="BU196" s="4"/>
      <c r="BV196" s="4"/>
      <c r="BW196" s="5"/>
    </row>
    <row r="197" spans="1:75" ht="13.5" customHeight="1" thickBot="1">
      <c r="A197" s="58"/>
      <c r="B197" s="6"/>
      <c r="C197" s="48"/>
      <c r="D197" s="48"/>
      <c r="E197" s="34"/>
      <c r="F197" s="34"/>
      <c r="G197" s="34"/>
      <c r="H197" s="23"/>
      <c r="I197" s="23"/>
      <c r="J197" s="23"/>
      <c r="K197" s="23"/>
      <c r="L197" s="23"/>
      <c r="M197" s="23"/>
      <c r="N197" s="34"/>
      <c r="O197" s="34"/>
      <c r="P197" s="34"/>
      <c r="Q197" s="48"/>
      <c r="R197" s="48"/>
      <c r="S197" s="7"/>
      <c r="T197" s="7"/>
      <c r="U197" s="7" t="s">
        <v>648</v>
      </c>
      <c r="V197" s="7"/>
      <c r="W197" s="7"/>
      <c r="X197" s="7"/>
      <c r="Y197" s="7"/>
      <c r="Z197" s="6"/>
      <c r="AA197" s="21" t="s">
        <v>650</v>
      </c>
      <c r="AB197" s="7"/>
      <c r="AC197" s="7"/>
      <c r="AD197" s="7"/>
      <c r="AE197" s="49">
        <f>-0.114*$AD$2*$AC$7^2</f>
        <v>-6.9255</v>
      </c>
      <c r="AF197" s="49"/>
      <c r="AG197" s="49"/>
      <c r="AH197" s="6"/>
      <c r="AI197" s="21" t="s">
        <v>652</v>
      </c>
      <c r="AJ197" s="7"/>
      <c r="AK197" s="7"/>
      <c r="AL197" s="7"/>
      <c r="AM197" s="49">
        <f>-0.171*$AL$2*$AK$8</f>
        <v>-21.888</v>
      </c>
      <c r="AN197" s="49"/>
      <c r="AO197" s="50"/>
      <c r="AP197" s="6"/>
      <c r="AQ197" s="7"/>
      <c r="AR197" s="7"/>
      <c r="AS197" s="21" t="s">
        <v>654</v>
      </c>
      <c r="AT197" s="7"/>
      <c r="AU197" s="7"/>
      <c r="AV197" s="7"/>
      <c r="AW197" s="49">
        <f>-0.304*$AT$2*$AU$8</f>
        <v>-15.959999999999999</v>
      </c>
      <c r="AX197" s="49"/>
      <c r="AY197" s="50"/>
      <c r="AZ197" s="6"/>
      <c r="BA197" s="21" t="s">
        <v>177</v>
      </c>
      <c r="BB197" s="7"/>
      <c r="BC197" s="7"/>
      <c r="BD197" s="7"/>
      <c r="BE197" s="49">
        <f>-0.142*$BE$10*$BC$8</f>
        <v>-2.1914504999999997</v>
      </c>
      <c r="BF197" s="49"/>
      <c r="BG197" s="50"/>
      <c r="BH197" s="7"/>
      <c r="BI197" s="21" t="s">
        <v>658</v>
      </c>
      <c r="BJ197" s="7"/>
      <c r="BK197" s="7"/>
      <c r="BL197" s="7"/>
      <c r="BM197" s="49">
        <f>-0.141*$BM$10*$BK$8</f>
        <v>-4.049431874999999</v>
      </c>
      <c r="BN197" s="49"/>
      <c r="BO197" s="50"/>
      <c r="BP197" s="7"/>
      <c r="BQ197" s="21" t="s">
        <v>660</v>
      </c>
      <c r="BR197" s="7"/>
      <c r="BS197" s="7"/>
      <c r="BT197" s="7"/>
      <c r="BU197" s="49">
        <f>-0.137*$BU$10*$BS$8</f>
        <v>-4.088408799999999</v>
      </c>
      <c r="BV197" s="49"/>
      <c r="BW197" s="50"/>
    </row>
    <row r="198" spans="1:75" ht="12.75" customHeight="1">
      <c r="A198" s="58"/>
      <c r="B198" s="6"/>
      <c r="C198" s="7"/>
      <c r="D198" s="7"/>
      <c r="E198" s="7"/>
      <c r="F198" s="12">
        <v>25</v>
      </c>
      <c r="G198" s="7"/>
      <c r="H198" s="7"/>
      <c r="I198" s="12">
        <v>26</v>
      </c>
      <c r="J198" s="7"/>
      <c r="K198" s="7"/>
      <c r="L198" s="12">
        <v>27</v>
      </c>
      <c r="M198" s="7"/>
      <c r="N198" s="7"/>
      <c r="O198" s="12">
        <v>28</v>
      </c>
      <c r="P198" s="7"/>
      <c r="Q198" s="7"/>
      <c r="R198" s="7"/>
      <c r="S198" s="7"/>
      <c r="T198" s="7"/>
      <c r="U198" s="7" t="s">
        <v>649</v>
      </c>
      <c r="V198" s="7"/>
      <c r="W198" s="7"/>
      <c r="X198" s="7"/>
      <c r="Y198" s="7"/>
      <c r="Z198" s="6"/>
      <c r="AA198" s="21" t="s">
        <v>489</v>
      </c>
      <c r="AB198" s="7"/>
      <c r="AC198" s="7"/>
      <c r="AD198" s="7"/>
      <c r="AE198" s="49">
        <f>-0.022*$AD$2*$AC$7^2</f>
        <v>-1.3365</v>
      </c>
      <c r="AF198" s="49"/>
      <c r="AG198" s="49"/>
      <c r="AH198" s="6"/>
      <c r="AI198" s="21" t="s">
        <v>653</v>
      </c>
      <c r="AJ198" s="7"/>
      <c r="AK198" s="7"/>
      <c r="AL198" s="7"/>
      <c r="AM198" s="49">
        <f>-0.034*$AL$2*$AK$8</f>
        <v>-4.352</v>
      </c>
      <c r="AN198" s="49"/>
      <c r="AO198" s="50"/>
      <c r="AP198" s="6"/>
      <c r="AQ198" s="7"/>
      <c r="AR198" s="7"/>
      <c r="AS198" s="21" t="s">
        <v>655</v>
      </c>
      <c r="AT198" s="7"/>
      <c r="AU198" s="7"/>
      <c r="AV198" s="7"/>
      <c r="AW198" s="49">
        <f>-0.06*$AT$2*$AU$8</f>
        <v>-3.1499999999999995</v>
      </c>
      <c r="AX198" s="49"/>
      <c r="AY198" s="50"/>
      <c r="AZ198" s="6"/>
      <c r="BA198" s="21" t="s">
        <v>144</v>
      </c>
      <c r="BB198" s="7"/>
      <c r="BC198" s="7"/>
      <c r="BD198" s="7"/>
      <c r="BE198" s="49">
        <f>-0.028*$BE$10*$BC$8</f>
        <v>-0.43211700000000003</v>
      </c>
      <c r="BF198" s="49"/>
      <c r="BG198" s="50"/>
      <c r="BH198" s="7"/>
      <c r="BI198" s="21" t="s">
        <v>144</v>
      </c>
      <c r="BJ198" s="7"/>
      <c r="BK198" s="7"/>
      <c r="BL198" s="7"/>
      <c r="BM198" s="49">
        <f>-0.028*$BM$10*$BK$8</f>
        <v>-0.8041425</v>
      </c>
      <c r="BN198" s="49"/>
      <c r="BO198" s="50"/>
      <c r="BP198" s="7"/>
      <c r="BQ198" s="21" t="s">
        <v>148</v>
      </c>
      <c r="BR198" s="7"/>
      <c r="BS198" s="7"/>
      <c r="BT198" s="7"/>
      <c r="BU198" s="49">
        <f>-0.027*$BU$10*$BS$8</f>
        <v>-0.8057447999999998</v>
      </c>
      <c r="BV198" s="49"/>
      <c r="BW198" s="50"/>
    </row>
    <row r="199" spans="1:75" ht="12.75" customHeight="1">
      <c r="A199" s="58"/>
      <c r="B199" s="6"/>
      <c r="C199" s="7"/>
      <c r="D199" s="51" t="s">
        <v>613</v>
      </c>
      <c r="E199" s="51"/>
      <c r="F199" s="12"/>
      <c r="G199" s="51" t="s">
        <v>614</v>
      </c>
      <c r="H199" s="51"/>
      <c r="I199" s="12"/>
      <c r="J199" s="51" t="s">
        <v>20</v>
      </c>
      <c r="K199" s="51"/>
      <c r="L199" s="12"/>
      <c r="M199" s="51" t="s">
        <v>615</v>
      </c>
      <c r="N199" s="51"/>
      <c r="O199" s="12"/>
      <c r="P199" s="51" t="s">
        <v>616</v>
      </c>
      <c r="Q199" s="51"/>
      <c r="R199" s="7"/>
      <c r="S199" s="7"/>
      <c r="T199" s="7"/>
      <c r="U199" s="7" t="s">
        <v>647</v>
      </c>
      <c r="V199" s="7"/>
      <c r="W199" s="7"/>
      <c r="X199" s="7"/>
      <c r="Y199" s="7"/>
      <c r="Z199" s="6"/>
      <c r="AA199" s="7" t="s">
        <v>651</v>
      </c>
      <c r="AB199" s="7"/>
      <c r="AC199" s="7"/>
      <c r="AD199" s="7"/>
      <c r="AE199" s="49">
        <f>1.184*$AD$2*$AC$7</f>
        <v>15.983999999999998</v>
      </c>
      <c r="AF199" s="49"/>
      <c r="AG199" s="49"/>
      <c r="AH199" s="6"/>
      <c r="AI199" s="21" t="s">
        <v>319</v>
      </c>
      <c r="AJ199" s="7"/>
      <c r="AK199" s="7"/>
      <c r="AL199" s="7"/>
      <c r="AM199" s="49">
        <f>1.274*$AL$2</f>
        <v>40.768</v>
      </c>
      <c r="AN199" s="49"/>
      <c r="AO199" s="50"/>
      <c r="AP199" s="6"/>
      <c r="AQ199" s="7"/>
      <c r="AR199" s="7"/>
      <c r="AS199" s="21" t="s">
        <v>656</v>
      </c>
      <c r="AT199" s="7"/>
      <c r="AU199" s="7"/>
      <c r="AV199" s="7"/>
      <c r="AW199" s="49">
        <f>2.488*$AT$2</f>
        <v>37.32</v>
      </c>
      <c r="AX199" s="49"/>
      <c r="AY199" s="50"/>
      <c r="AZ199" s="6"/>
      <c r="BA199" s="21" t="s">
        <v>657</v>
      </c>
      <c r="BB199" s="7"/>
      <c r="BC199" s="7"/>
      <c r="BD199" s="7"/>
      <c r="BE199" s="49">
        <f>1.229*$BE$10</f>
        <v>6.655035000000001</v>
      </c>
      <c r="BF199" s="49"/>
      <c r="BG199" s="50"/>
      <c r="BH199" s="7"/>
      <c r="BI199" s="21" t="s">
        <v>659</v>
      </c>
      <c r="BJ199" s="7"/>
      <c r="BK199" s="7"/>
      <c r="BL199" s="7"/>
      <c r="BM199" s="49">
        <f>1.227*$BM$10</f>
        <v>8.2914525</v>
      </c>
      <c r="BN199" s="49"/>
      <c r="BO199" s="50"/>
      <c r="BP199" s="7"/>
      <c r="BQ199" s="21" t="s">
        <v>661</v>
      </c>
      <c r="BR199" s="7"/>
      <c r="BS199" s="7"/>
      <c r="BT199" s="7"/>
      <c r="BU199" s="49">
        <f>1.221*$BU$10</f>
        <v>9.982895999999998</v>
      </c>
      <c r="BV199" s="49"/>
      <c r="BW199" s="50"/>
    </row>
    <row r="200" spans="1:75" ht="12.75" customHeight="1">
      <c r="A200" s="58"/>
      <c r="B200" s="6"/>
      <c r="C200" s="7"/>
      <c r="D200" s="7"/>
      <c r="E200" s="24"/>
      <c r="F200" s="24" t="s">
        <v>20</v>
      </c>
      <c r="G200" s="7"/>
      <c r="H200" s="24"/>
      <c r="I200" s="24" t="s">
        <v>20</v>
      </c>
      <c r="J200" s="7"/>
      <c r="K200" s="24"/>
      <c r="L200" s="24" t="s">
        <v>20</v>
      </c>
      <c r="M200" s="7"/>
      <c r="N200" s="25"/>
      <c r="O200" s="12" t="str">
        <f>+L200</f>
        <v>L</v>
      </c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6"/>
      <c r="AA200" s="7"/>
      <c r="AB200" s="7"/>
      <c r="AC200" s="7"/>
      <c r="AD200" s="7"/>
      <c r="AE200" s="7"/>
      <c r="AF200" s="7"/>
      <c r="AG200" s="7"/>
      <c r="AH200" s="6"/>
      <c r="AI200" s="7"/>
      <c r="AJ200" s="7"/>
      <c r="AK200" s="7"/>
      <c r="AL200" s="7"/>
      <c r="AM200" s="7"/>
      <c r="AN200" s="7"/>
      <c r="AO200" s="8"/>
      <c r="AP200" s="6"/>
      <c r="AQ200" s="7"/>
      <c r="AR200" s="7"/>
      <c r="AS200" s="7"/>
      <c r="AT200" s="7"/>
      <c r="AU200" s="7"/>
      <c r="AV200" s="7"/>
      <c r="AW200" s="7"/>
      <c r="AX200" s="7"/>
      <c r="AY200" s="8"/>
      <c r="AZ200" s="6"/>
      <c r="BA200" s="7"/>
      <c r="BB200" s="7"/>
      <c r="BC200" s="7"/>
      <c r="BD200" s="7"/>
      <c r="BE200" s="7"/>
      <c r="BF200" s="7"/>
      <c r="BG200" s="8"/>
      <c r="BH200" s="7"/>
      <c r="BI200" s="7"/>
      <c r="BJ200" s="7"/>
      <c r="BK200" s="7"/>
      <c r="BL200" s="7"/>
      <c r="BM200" s="7"/>
      <c r="BN200" s="7"/>
      <c r="BO200" s="8"/>
      <c r="BP200" s="7"/>
      <c r="BQ200" s="7"/>
      <c r="BR200" s="7"/>
      <c r="BS200" s="7"/>
      <c r="BT200" s="7"/>
      <c r="BU200" s="7"/>
      <c r="BV200" s="7"/>
      <c r="BW200" s="8"/>
    </row>
    <row r="201" spans="1:75" ht="12.75" customHeight="1">
      <c r="A201" s="58"/>
      <c r="B201" s="2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6"/>
      <c r="AA201" s="27"/>
      <c r="AB201" s="27"/>
      <c r="AC201" s="27"/>
      <c r="AD201" s="27"/>
      <c r="AE201" s="27"/>
      <c r="AF201" s="27"/>
      <c r="AG201" s="27"/>
      <c r="AH201" s="26"/>
      <c r="AI201" s="27"/>
      <c r="AJ201" s="27"/>
      <c r="AK201" s="27"/>
      <c r="AL201" s="27"/>
      <c r="AM201" s="27"/>
      <c r="AN201" s="27"/>
      <c r="AO201" s="44"/>
      <c r="AP201" s="26"/>
      <c r="AQ201" s="27"/>
      <c r="AR201" s="27"/>
      <c r="AS201" s="27"/>
      <c r="AT201" s="27"/>
      <c r="AU201" s="27"/>
      <c r="AV201" s="27"/>
      <c r="AW201" s="27"/>
      <c r="AX201" s="27"/>
      <c r="AY201" s="44"/>
      <c r="AZ201" s="26"/>
      <c r="BA201" s="27"/>
      <c r="BB201" s="27"/>
      <c r="BC201" s="27"/>
      <c r="BD201" s="27"/>
      <c r="BE201" s="27"/>
      <c r="BF201" s="27"/>
      <c r="BG201" s="44"/>
      <c r="BH201" s="27"/>
      <c r="BI201" s="27"/>
      <c r="BJ201" s="27"/>
      <c r="BK201" s="27"/>
      <c r="BL201" s="27"/>
      <c r="BM201" s="27"/>
      <c r="BN201" s="27"/>
      <c r="BO201" s="44"/>
      <c r="BP201" s="27"/>
      <c r="BQ201" s="27"/>
      <c r="BR201" s="27"/>
      <c r="BS201" s="27"/>
      <c r="BT201" s="27"/>
      <c r="BU201" s="27"/>
      <c r="BV201" s="27"/>
      <c r="BW201" s="44"/>
    </row>
    <row r="202" spans="1:75" ht="12.75" customHeight="1">
      <c r="A202" s="58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3"/>
      <c r="AA202" s="4"/>
      <c r="AB202" s="4"/>
      <c r="AC202" s="4"/>
      <c r="AD202" s="4"/>
      <c r="AE202" s="4"/>
      <c r="AF202" s="4"/>
      <c r="AG202" s="4"/>
      <c r="AH202" s="3"/>
      <c r="AI202" s="4"/>
      <c r="AJ202" s="4"/>
      <c r="AK202" s="4"/>
      <c r="AL202" s="4"/>
      <c r="AM202" s="4"/>
      <c r="AN202" s="4"/>
      <c r="AO202" s="5"/>
      <c r="AP202" s="3"/>
      <c r="AQ202" s="4"/>
      <c r="AR202" s="4"/>
      <c r="AS202" s="4"/>
      <c r="AT202" s="4"/>
      <c r="AU202" s="4"/>
      <c r="AV202" s="4"/>
      <c r="AW202" s="4"/>
      <c r="AX202" s="4"/>
      <c r="AY202" s="5"/>
      <c r="AZ202" s="3"/>
      <c r="BA202" s="4"/>
      <c r="BB202" s="4"/>
      <c r="BC202" s="4"/>
      <c r="BD202" s="4"/>
      <c r="BE202" s="4"/>
      <c r="BF202" s="4"/>
      <c r="BG202" s="5"/>
      <c r="BH202" s="4"/>
      <c r="BI202" s="4"/>
      <c r="BJ202" s="4"/>
      <c r="BK202" s="4"/>
      <c r="BL202" s="4"/>
      <c r="BM202" s="4"/>
      <c r="BN202" s="4"/>
      <c r="BO202" s="5"/>
      <c r="BP202" s="4"/>
      <c r="BQ202" s="4"/>
      <c r="BR202" s="4"/>
      <c r="BS202" s="4"/>
      <c r="BT202" s="4"/>
      <c r="BU202" s="4"/>
      <c r="BV202" s="4"/>
      <c r="BW202" s="5"/>
    </row>
    <row r="203" spans="1:75" ht="13.5" customHeight="1" thickBot="1">
      <c r="A203" s="58"/>
      <c r="B203" s="6"/>
      <c r="C203" s="34"/>
      <c r="D203" s="34"/>
      <c r="E203" s="23"/>
      <c r="F203" s="23"/>
      <c r="G203" s="48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7"/>
      <c r="T203" s="7"/>
      <c r="U203" s="7" t="s">
        <v>662</v>
      </c>
      <c r="V203" s="7"/>
      <c r="W203" s="7"/>
      <c r="X203" s="7"/>
      <c r="Y203" s="7"/>
      <c r="Z203" s="6"/>
      <c r="AA203" s="21" t="s">
        <v>264</v>
      </c>
      <c r="AB203" s="7"/>
      <c r="AC203" s="7"/>
      <c r="AD203" s="7"/>
      <c r="AE203" s="49">
        <f>-0.054*$AD$2*$AC$7^2</f>
        <v>-3.2805</v>
      </c>
      <c r="AF203" s="49"/>
      <c r="AG203" s="49"/>
      <c r="AH203" s="6"/>
      <c r="AI203" s="21" t="s">
        <v>457</v>
      </c>
      <c r="AJ203" s="7"/>
      <c r="AK203" s="7"/>
      <c r="AL203" s="7"/>
      <c r="AM203" s="49">
        <f>-0.079*$AL$2*$AK$8</f>
        <v>-10.112</v>
      </c>
      <c r="AN203" s="49"/>
      <c r="AO203" s="50"/>
      <c r="AP203" s="6"/>
      <c r="AQ203" s="7"/>
      <c r="AR203" s="7"/>
      <c r="AS203" s="21" t="s">
        <v>666</v>
      </c>
      <c r="AT203" s="7"/>
      <c r="AU203" s="7"/>
      <c r="AV203" s="7"/>
      <c r="AW203" s="49">
        <f>-0.141*$AT$2*$AU$8</f>
        <v>-7.402499999999999</v>
      </c>
      <c r="AX203" s="49"/>
      <c r="AY203" s="50"/>
      <c r="AZ203" s="6"/>
      <c r="BA203" s="21" t="s">
        <v>345</v>
      </c>
      <c r="BB203" s="7"/>
      <c r="BC203" s="7"/>
      <c r="BD203" s="7"/>
      <c r="BE203" s="49">
        <f>-0.066*$BE$10*$BC$8</f>
        <v>-1.0185615000000001</v>
      </c>
      <c r="BF203" s="49"/>
      <c r="BG203" s="50"/>
      <c r="BH203" s="7"/>
      <c r="BI203" s="21" t="s">
        <v>345</v>
      </c>
      <c r="BJ203" s="7"/>
      <c r="BK203" s="7"/>
      <c r="BL203" s="7"/>
      <c r="BM203" s="49">
        <f>-0.066*$BM$10*$BK$8</f>
        <v>-1.8954787499999999</v>
      </c>
      <c r="BN203" s="49"/>
      <c r="BO203" s="50"/>
      <c r="BP203" s="7"/>
      <c r="BQ203" s="21" t="s">
        <v>351</v>
      </c>
      <c r="BR203" s="7"/>
      <c r="BS203" s="7"/>
      <c r="BT203" s="7"/>
      <c r="BU203" s="49">
        <f>-0.064*$BU$10*$BS$8</f>
        <v>-1.9099135999999999</v>
      </c>
      <c r="BV203" s="49"/>
      <c r="BW203" s="50"/>
    </row>
    <row r="204" spans="1:75" ht="12.75" customHeight="1">
      <c r="A204" s="58"/>
      <c r="B204" s="6"/>
      <c r="C204" s="7"/>
      <c r="D204" s="7"/>
      <c r="E204" s="7"/>
      <c r="F204" s="12">
        <v>25</v>
      </c>
      <c r="G204" s="7"/>
      <c r="H204" s="7"/>
      <c r="I204" s="12">
        <v>26</v>
      </c>
      <c r="J204" s="7"/>
      <c r="K204" s="7"/>
      <c r="L204" s="12">
        <v>27</v>
      </c>
      <c r="M204" s="7"/>
      <c r="N204" s="7"/>
      <c r="O204" s="12">
        <v>28</v>
      </c>
      <c r="P204" s="7"/>
      <c r="Q204" s="7"/>
      <c r="R204" s="7"/>
      <c r="S204" s="7"/>
      <c r="T204" s="7"/>
      <c r="U204" s="7" t="s">
        <v>635</v>
      </c>
      <c r="V204" s="7"/>
      <c r="W204" s="7"/>
      <c r="X204" s="7"/>
      <c r="Y204" s="7"/>
      <c r="Z204" s="6"/>
      <c r="AA204" s="7" t="s">
        <v>664</v>
      </c>
      <c r="AB204" s="7"/>
      <c r="AC204" s="7"/>
      <c r="AD204" s="7"/>
      <c r="AE204" s="49">
        <f>0.071*$AD$2*$AC$7^2</f>
        <v>4.313249999999999</v>
      </c>
      <c r="AF204" s="49"/>
      <c r="AG204" s="49"/>
      <c r="AH204" s="6"/>
      <c r="AI204" s="21" t="s">
        <v>402</v>
      </c>
      <c r="AJ204" s="7"/>
      <c r="AK204" s="7"/>
      <c r="AL204" s="7"/>
      <c r="AM204" s="49">
        <f>0.171*$AL$2*$AK$8</f>
        <v>21.888</v>
      </c>
      <c r="AN204" s="49"/>
      <c r="AO204" s="50"/>
      <c r="AP204" s="6"/>
      <c r="AQ204" s="7"/>
      <c r="AR204" s="7"/>
      <c r="AS204" s="21" t="s">
        <v>667</v>
      </c>
      <c r="AT204" s="7"/>
      <c r="AU204" s="7"/>
      <c r="AV204" s="7"/>
      <c r="AW204" s="49">
        <f>0.192*$AT$2*$AU$8</f>
        <v>10.08</v>
      </c>
      <c r="AX204" s="49"/>
      <c r="AY204" s="50"/>
      <c r="AZ204" s="6"/>
      <c r="BA204" s="21" t="s">
        <v>485</v>
      </c>
      <c r="BB204" s="7"/>
      <c r="BC204" s="7"/>
      <c r="BD204" s="7"/>
      <c r="BE204" s="49">
        <f>0.101*$BE$10*$BC$8</f>
        <v>1.5587077500000002</v>
      </c>
      <c r="BF204" s="49"/>
      <c r="BG204" s="50"/>
      <c r="BH204" s="7"/>
      <c r="BI204" s="21" t="s">
        <v>252</v>
      </c>
      <c r="BJ204" s="7"/>
      <c r="BK204" s="7"/>
      <c r="BL204" s="7"/>
      <c r="BM204" s="49">
        <f>0.098*$BM$10*$BK$8</f>
        <v>2.8144987500000003</v>
      </c>
      <c r="BN204" s="49"/>
      <c r="BO204" s="50"/>
      <c r="BP204" s="7"/>
      <c r="BQ204" s="21" t="s">
        <v>669</v>
      </c>
      <c r="BR204" s="7"/>
      <c r="BS204" s="7"/>
      <c r="BT204" s="7"/>
      <c r="BU204" s="49">
        <f>0.093*$BU$10*$BS$8</f>
        <v>2.775343199999999</v>
      </c>
      <c r="BV204" s="49"/>
      <c r="BW204" s="50"/>
    </row>
    <row r="205" spans="1:75" ht="12.75" customHeight="1">
      <c r="A205" s="58"/>
      <c r="B205" s="6"/>
      <c r="C205" s="7"/>
      <c r="D205" s="51" t="s">
        <v>613</v>
      </c>
      <c r="E205" s="51"/>
      <c r="F205" s="12"/>
      <c r="G205" s="51" t="s">
        <v>614</v>
      </c>
      <c r="H205" s="51"/>
      <c r="I205" s="12"/>
      <c r="J205" s="51" t="s">
        <v>20</v>
      </c>
      <c r="K205" s="51"/>
      <c r="L205" s="12"/>
      <c r="M205" s="51" t="s">
        <v>615</v>
      </c>
      <c r="N205" s="51"/>
      <c r="O205" s="12"/>
      <c r="P205" s="51" t="s">
        <v>616</v>
      </c>
      <c r="Q205" s="51"/>
      <c r="R205" s="7"/>
      <c r="S205" s="7"/>
      <c r="T205" s="7"/>
      <c r="U205" s="7" t="s">
        <v>663</v>
      </c>
      <c r="V205" s="7"/>
      <c r="W205" s="7"/>
      <c r="X205" s="7"/>
      <c r="Y205" s="7"/>
      <c r="Z205" s="6"/>
      <c r="AA205" s="7" t="s">
        <v>521</v>
      </c>
      <c r="AB205" s="7"/>
      <c r="AC205" s="7"/>
      <c r="AD205" s="7"/>
      <c r="AE205" s="49">
        <f>0.014*$AD$2*$AC$7^2</f>
        <v>0.8505</v>
      </c>
      <c r="AF205" s="49"/>
      <c r="AG205" s="49"/>
      <c r="AH205" s="6"/>
      <c r="AI205" s="21" t="s">
        <v>665</v>
      </c>
      <c r="AJ205" s="7"/>
      <c r="AK205" s="7"/>
      <c r="AL205" s="7"/>
      <c r="AM205" s="49">
        <f>0.021*$AL$2*$AK$8</f>
        <v>2.688</v>
      </c>
      <c r="AN205" s="49"/>
      <c r="AO205" s="50"/>
      <c r="AP205" s="6"/>
      <c r="AQ205" s="7"/>
      <c r="AR205" s="7"/>
      <c r="AS205" s="21" t="s">
        <v>668</v>
      </c>
      <c r="AT205" s="7"/>
      <c r="AU205" s="7"/>
      <c r="AV205" s="7"/>
      <c r="AW205" s="49">
        <f>0.037*$AT$2*$AU$8</f>
        <v>1.9425</v>
      </c>
      <c r="AX205" s="49"/>
      <c r="AY205" s="50"/>
      <c r="AZ205" s="6"/>
      <c r="BA205" s="21" t="s">
        <v>344</v>
      </c>
      <c r="BB205" s="7"/>
      <c r="BC205" s="7"/>
      <c r="BD205" s="7"/>
      <c r="BE205" s="49">
        <f>0.017*$BE$10*$BC$8</f>
        <v>0.26235675</v>
      </c>
      <c r="BF205" s="49"/>
      <c r="BG205" s="50"/>
      <c r="BH205" s="7"/>
      <c r="BI205" s="21" t="s">
        <v>344</v>
      </c>
      <c r="BJ205" s="7"/>
      <c r="BK205" s="7"/>
      <c r="BL205" s="7"/>
      <c r="BM205" s="49">
        <f>0.017*$BM$10*$BK$8</f>
        <v>0.48822937499999997</v>
      </c>
      <c r="BN205" s="49"/>
      <c r="BO205" s="50"/>
      <c r="BP205" s="7"/>
      <c r="BQ205" s="21" t="s">
        <v>344</v>
      </c>
      <c r="BR205" s="7"/>
      <c r="BS205" s="7"/>
      <c r="BT205" s="7"/>
      <c r="BU205" s="49">
        <f>0.017*$BU$10*$BS$8</f>
        <v>0.5073207999999999</v>
      </c>
      <c r="BV205" s="49"/>
      <c r="BW205" s="50"/>
    </row>
    <row r="206" spans="1:75" ht="12.75" customHeight="1">
      <c r="A206" s="58"/>
      <c r="B206" s="6"/>
      <c r="C206" s="7"/>
      <c r="D206" s="7"/>
      <c r="E206" s="24"/>
      <c r="F206" s="24" t="s">
        <v>20</v>
      </c>
      <c r="G206" s="7"/>
      <c r="H206" s="24"/>
      <c r="I206" s="24" t="s">
        <v>20</v>
      </c>
      <c r="J206" s="7"/>
      <c r="K206" s="24"/>
      <c r="L206" s="24" t="s">
        <v>20</v>
      </c>
      <c r="M206" s="7"/>
      <c r="N206" s="25"/>
      <c r="O206" s="12" t="str">
        <f>+L206</f>
        <v>L</v>
      </c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6"/>
      <c r="AA206" s="7"/>
      <c r="AB206" s="7"/>
      <c r="AC206" s="7"/>
      <c r="AD206" s="7"/>
      <c r="AE206" s="7"/>
      <c r="AF206" s="7"/>
      <c r="AG206" s="7"/>
      <c r="AH206" s="6"/>
      <c r="AI206" s="7"/>
      <c r="AJ206" s="7"/>
      <c r="AK206" s="7"/>
      <c r="AL206" s="7"/>
      <c r="AM206" s="7"/>
      <c r="AN206" s="7"/>
      <c r="AO206" s="8"/>
      <c r="AP206" s="6"/>
      <c r="AQ206" s="7"/>
      <c r="AR206" s="7"/>
      <c r="AS206" s="7"/>
      <c r="AT206" s="7"/>
      <c r="AU206" s="7"/>
      <c r="AV206" s="7"/>
      <c r="AW206" s="7"/>
      <c r="AX206" s="7"/>
      <c r="AY206" s="8"/>
      <c r="AZ206" s="6"/>
      <c r="BA206" s="7"/>
      <c r="BB206" s="7"/>
      <c r="BC206" s="7"/>
      <c r="BD206" s="7"/>
      <c r="BE206" s="7"/>
      <c r="BF206" s="7"/>
      <c r="BG206" s="8"/>
      <c r="BH206" s="7"/>
      <c r="BI206" s="7"/>
      <c r="BJ206" s="7"/>
      <c r="BK206" s="7"/>
      <c r="BL206" s="7"/>
      <c r="BM206" s="7"/>
      <c r="BN206" s="7"/>
      <c r="BO206" s="8"/>
      <c r="BP206" s="7"/>
      <c r="BQ206" s="7"/>
      <c r="BR206" s="7"/>
      <c r="BS206" s="7"/>
      <c r="BT206" s="7"/>
      <c r="BU206" s="7"/>
      <c r="BV206" s="7"/>
      <c r="BW206" s="8"/>
    </row>
    <row r="207" spans="1:75" ht="13.5" customHeight="1" thickBot="1">
      <c r="A207" s="59"/>
      <c r="B207" s="45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5"/>
      <c r="AA207" s="46"/>
      <c r="AB207" s="46"/>
      <c r="AC207" s="46"/>
      <c r="AD207" s="46"/>
      <c r="AE207" s="46"/>
      <c r="AF207" s="46"/>
      <c r="AG207" s="46"/>
      <c r="AH207" s="45"/>
      <c r="AI207" s="46"/>
      <c r="AJ207" s="46"/>
      <c r="AK207" s="46"/>
      <c r="AL207" s="46"/>
      <c r="AM207" s="46"/>
      <c r="AN207" s="46"/>
      <c r="AO207" s="47"/>
      <c r="AP207" s="45"/>
      <c r="AQ207" s="46"/>
      <c r="AR207" s="46"/>
      <c r="AS207" s="46"/>
      <c r="AT207" s="46"/>
      <c r="AU207" s="46"/>
      <c r="AV207" s="46"/>
      <c r="AW207" s="46"/>
      <c r="AX207" s="46"/>
      <c r="AY207" s="47"/>
      <c r="AZ207" s="45"/>
      <c r="BA207" s="46"/>
      <c r="BB207" s="46"/>
      <c r="BC207" s="46"/>
      <c r="BD207" s="46"/>
      <c r="BE207" s="46"/>
      <c r="BF207" s="46"/>
      <c r="BG207" s="47"/>
      <c r="BH207" s="46"/>
      <c r="BI207" s="46"/>
      <c r="BJ207" s="46"/>
      <c r="BK207" s="46"/>
      <c r="BL207" s="46"/>
      <c r="BM207" s="46"/>
      <c r="BN207" s="46"/>
      <c r="BO207" s="47"/>
      <c r="BP207" s="46"/>
      <c r="BQ207" s="46"/>
      <c r="BR207" s="46"/>
      <c r="BS207" s="46"/>
      <c r="BT207" s="46"/>
      <c r="BU207" s="46"/>
      <c r="BV207" s="46"/>
      <c r="BW207" s="47"/>
    </row>
    <row r="208" ht="12" thickTop="1"/>
  </sheetData>
  <sheetProtection password="BF0F" sheet="1" objects="1" scenarios="1"/>
  <mergeCells count="991">
    <mergeCell ref="A118:A183"/>
    <mergeCell ref="A184:A207"/>
    <mergeCell ref="A11:A29"/>
    <mergeCell ref="A30:A63"/>
    <mergeCell ref="A1:BW1"/>
    <mergeCell ref="A64:A117"/>
    <mergeCell ref="BU203:BW203"/>
    <mergeCell ref="BU204:BW204"/>
    <mergeCell ref="AM203:AO203"/>
    <mergeCell ref="AM204:AO204"/>
    <mergeCell ref="BM197:BO197"/>
    <mergeCell ref="BM198:BO198"/>
    <mergeCell ref="BM199:BO199"/>
    <mergeCell ref="BU197:BW197"/>
    <mergeCell ref="BU205:BW205"/>
    <mergeCell ref="BE203:BG203"/>
    <mergeCell ref="BE204:BG204"/>
    <mergeCell ref="BE205:BG205"/>
    <mergeCell ref="BM203:BO203"/>
    <mergeCell ref="BM204:BO204"/>
    <mergeCell ref="BM205:BO205"/>
    <mergeCell ref="AM205:AO205"/>
    <mergeCell ref="AW203:AY203"/>
    <mergeCell ref="AW204:AY204"/>
    <mergeCell ref="AW205:AY205"/>
    <mergeCell ref="P205:Q205"/>
    <mergeCell ref="AE203:AG203"/>
    <mergeCell ref="AE204:AG204"/>
    <mergeCell ref="AE205:AG205"/>
    <mergeCell ref="D205:E205"/>
    <mergeCell ref="G205:H205"/>
    <mergeCell ref="J205:K205"/>
    <mergeCell ref="M205:N205"/>
    <mergeCell ref="BU198:BW198"/>
    <mergeCell ref="BU199:BW199"/>
    <mergeCell ref="AW197:AY197"/>
    <mergeCell ref="AW198:AY198"/>
    <mergeCell ref="AW199:AY199"/>
    <mergeCell ref="BE197:BG197"/>
    <mergeCell ref="BE198:BG198"/>
    <mergeCell ref="BE199:BG199"/>
    <mergeCell ref="AE199:AG199"/>
    <mergeCell ref="AM197:AO197"/>
    <mergeCell ref="AM198:AO198"/>
    <mergeCell ref="AM199:AO199"/>
    <mergeCell ref="BU191:BW191"/>
    <mergeCell ref="BU192:BW192"/>
    <mergeCell ref="BU193:BW193"/>
    <mergeCell ref="D199:E199"/>
    <mergeCell ref="G199:H199"/>
    <mergeCell ref="J199:K199"/>
    <mergeCell ref="M199:N199"/>
    <mergeCell ref="P199:Q199"/>
    <mergeCell ref="AE197:AG197"/>
    <mergeCell ref="AE198:AG198"/>
    <mergeCell ref="BE191:BG191"/>
    <mergeCell ref="BE192:BG192"/>
    <mergeCell ref="BE193:BG193"/>
    <mergeCell ref="BM191:BO191"/>
    <mergeCell ref="BM192:BO192"/>
    <mergeCell ref="BM193:BO193"/>
    <mergeCell ref="AM191:AO191"/>
    <mergeCell ref="AM192:AO192"/>
    <mergeCell ref="AM193:AO193"/>
    <mergeCell ref="AW192:AY192"/>
    <mergeCell ref="AW191:AY191"/>
    <mergeCell ref="AW193:AY193"/>
    <mergeCell ref="P193:Q193"/>
    <mergeCell ref="AE191:AG191"/>
    <mergeCell ref="AE192:AG192"/>
    <mergeCell ref="AE193:AG193"/>
    <mergeCell ref="D193:E193"/>
    <mergeCell ref="G193:H193"/>
    <mergeCell ref="J193:K193"/>
    <mergeCell ref="M193:N193"/>
    <mergeCell ref="BU185:BW185"/>
    <mergeCell ref="BU186:BW186"/>
    <mergeCell ref="BU187:BW187"/>
    <mergeCell ref="BU188:BW188"/>
    <mergeCell ref="BM185:BO185"/>
    <mergeCell ref="BM186:BO186"/>
    <mergeCell ref="BM187:BO187"/>
    <mergeCell ref="BM188:BO188"/>
    <mergeCell ref="BE185:BG185"/>
    <mergeCell ref="BE186:BG186"/>
    <mergeCell ref="BE187:BG187"/>
    <mergeCell ref="BE188:BG188"/>
    <mergeCell ref="AW185:AY185"/>
    <mergeCell ref="AW186:AY186"/>
    <mergeCell ref="AW187:AY187"/>
    <mergeCell ref="AW188:AY188"/>
    <mergeCell ref="AE188:AG188"/>
    <mergeCell ref="AM185:AO185"/>
    <mergeCell ref="AM186:AO186"/>
    <mergeCell ref="AM187:AO187"/>
    <mergeCell ref="AM188:AO188"/>
    <mergeCell ref="P187:Q187"/>
    <mergeCell ref="AE185:AG185"/>
    <mergeCell ref="AE186:AG186"/>
    <mergeCell ref="AE187:AG187"/>
    <mergeCell ref="D187:E187"/>
    <mergeCell ref="G187:H187"/>
    <mergeCell ref="J187:K187"/>
    <mergeCell ref="M187:N187"/>
    <mergeCell ref="BM180:BO180"/>
    <mergeCell ref="BM181:BO181"/>
    <mergeCell ref="BM182:BO182"/>
    <mergeCell ref="BU176:BW176"/>
    <mergeCell ref="BU177:BW177"/>
    <mergeCell ref="BU178:BW178"/>
    <mergeCell ref="BU179:BW179"/>
    <mergeCell ref="BU180:BW180"/>
    <mergeCell ref="BU181:BW181"/>
    <mergeCell ref="BU182:BW182"/>
    <mergeCell ref="BM176:BO176"/>
    <mergeCell ref="BM177:BO177"/>
    <mergeCell ref="BM178:BO178"/>
    <mergeCell ref="BM179:BO179"/>
    <mergeCell ref="AW180:AY180"/>
    <mergeCell ref="AW181:AY181"/>
    <mergeCell ref="AW182:AY182"/>
    <mergeCell ref="BE176:BG176"/>
    <mergeCell ref="BE177:BG177"/>
    <mergeCell ref="BE178:BG178"/>
    <mergeCell ref="BE179:BG179"/>
    <mergeCell ref="BE180:BG180"/>
    <mergeCell ref="BE181:BG181"/>
    <mergeCell ref="BE182:BG182"/>
    <mergeCell ref="AW176:AY176"/>
    <mergeCell ref="AW177:AY177"/>
    <mergeCell ref="AW178:AY178"/>
    <mergeCell ref="AW179:AY179"/>
    <mergeCell ref="AE180:AG180"/>
    <mergeCell ref="AE182:AG182"/>
    <mergeCell ref="AE181:AG181"/>
    <mergeCell ref="AM176:AO176"/>
    <mergeCell ref="AM177:AO177"/>
    <mergeCell ref="AM178:AO178"/>
    <mergeCell ref="AM179:AO179"/>
    <mergeCell ref="AM180:AO180"/>
    <mergeCell ref="AM181:AO181"/>
    <mergeCell ref="AM182:AO182"/>
    <mergeCell ref="O179:P179"/>
    <mergeCell ref="R179:S179"/>
    <mergeCell ref="AE176:AG176"/>
    <mergeCell ref="AE177:AG177"/>
    <mergeCell ref="AE178:AG178"/>
    <mergeCell ref="AE179:AG179"/>
    <mergeCell ref="C179:D179"/>
    <mergeCell ref="F179:G179"/>
    <mergeCell ref="I179:J179"/>
    <mergeCell ref="L179:M179"/>
    <mergeCell ref="BM171:BO171"/>
    <mergeCell ref="BM172:BO172"/>
    <mergeCell ref="BM173:BO173"/>
    <mergeCell ref="BU167:BW167"/>
    <mergeCell ref="BU168:BW168"/>
    <mergeCell ref="BU169:BW169"/>
    <mergeCell ref="BU170:BW170"/>
    <mergeCell ref="BU171:BW171"/>
    <mergeCell ref="BU172:BW172"/>
    <mergeCell ref="BU173:BW173"/>
    <mergeCell ref="BM167:BO167"/>
    <mergeCell ref="BM168:BO168"/>
    <mergeCell ref="BM169:BO169"/>
    <mergeCell ref="BM170:BO170"/>
    <mergeCell ref="AW171:AY171"/>
    <mergeCell ref="AW172:AY172"/>
    <mergeCell ref="AW173:AY173"/>
    <mergeCell ref="BE167:BG167"/>
    <mergeCell ref="BE168:BG168"/>
    <mergeCell ref="BE169:BG169"/>
    <mergeCell ref="BE170:BG170"/>
    <mergeCell ref="BE171:BG171"/>
    <mergeCell ref="BE172:BG172"/>
    <mergeCell ref="BE173:BG173"/>
    <mergeCell ref="AW167:AY167"/>
    <mergeCell ref="AW168:AY168"/>
    <mergeCell ref="AW169:AY169"/>
    <mergeCell ref="AW170:AY170"/>
    <mergeCell ref="AW81:AY81"/>
    <mergeCell ref="AW77:AY77"/>
    <mergeCell ref="AW78:AY78"/>
    <mergeCell ref="AW79:AY79"/>
    <mergeCell ref="AW80:AY80"/>
    <mergeCell ref="AE81:AG81"/>
    <mergeCell ref="AM77:AO77"/>
    <mergeCell ref="AM78:AO78"/>
    <mergeCell ref="AM79:AO79"/>
    <mergeCell ref="AM80:AO80"/>
    <mergeCell ref="AM81:AO81"/>
    <mergeCell ref="BU74:BW74"/>
    <mergeCell ref="F80:G80"/>
    <mergeCell ref="I80:J80"/>
    <mergeCell ref="L80:M80"/>
    <mergeCell ref="O80:P80"/>
    <mergeCell ref="R80:S80"/>
    <mergeCell ref="AE77:AG77"/>
    <mergeCell ref="AE79:AG79"/>
    <mergeCell ref="AE80:AG80"/>
    <mergeCell ref="BE74:BG74"/>
    <mergeCell ref="BM73:BO73"/>
    <mergeCell ref="BU65:BW65"/>
    <mergeCell ref="BU66:BW66"/>
    <mergeCell ref="BU67:BW67"/>
    <mergeCell ref="BU68:BW68"/>
    <mergeCell ref="BU69:BW69"/>
    <mergeCell ref="BU70:BW70"/>
    <mergeCell ref="BU71:BW71"/>
    <mergeCell ref="BU72:BW72"/>
    <mergeCell ref="BU73:BW73"/>
    <mergeCell ref="BM65:BO65"/>
    <mergeCell ref="BM66:BO66"/>
    <mergeCell ref="BM67:BO67"/>
    <mergeCell ref="BM68:BO68"/>
    <mergeCell ref="BM69:BO69"/>
    <mergeCell ref="BM70:BO70"/>
    <mergeCell ref="BM71:BO71"/>
    <mergeCell ref="BM72:BO72"/>
    <mergeCell ref="BM74:BO74"/>
    <mergeCell ref="AW74:AY74"/>
    <mergeCell ref="BE65:BG65"/>
    <mergeCell ref="BE66:BG66"/>
    <mergeCell ref="BE67:BG67"/>
    <mergeCell ref="BE68:BG68"/>
    <mergeCell ref="BE69:BG69"/>
    <mergeCell ref="BE70:BG70"/>
    <mergeCell ref="BE71:BG71"/>
    <mergeCell ref="BE72:BG72"/>
    <mergeCell ref="BE73:BG73"/>
    <mergeCell ref="AM74:AO74"/>
    <mergeCell ref="AW65:AY65"/>
    <mergeCell ref="AW66:AY66"/>
    <mergeCell ref="AW67:AY67"/>
    <mergeCell ref="AW68:AY68"/>
    <mergeCell ref="AW69:AY69"/>
    <mergeCell ref="AW70:AY70"/>
    <mergeCell ref="AW71:AY71"/>
    <mergeCell ref="AW72:AY72"/>
    <mergeCell ref="AW73:AY73"/>
    <mergeCell ref="AE74:AG74"/>
    <mergeCell ref="AM65:AO65"/>
    <mergeCell ref="AM66:AO66"/>
    <mergeCell ref="AM67:AO67"/>
    <mergeCell ref="AM68:AO68"/>
    <mergeCell ref="AM69:AO69"/>
    <mergeCell ref="AM70:AO70"/>
    <mergeCell ref="AM71:AO71"/>
    <mergeCell ref="AM72:AO72"/>
    <mergeCell ref="AM73:AO73"/>
    <mergeCell ref="AE70:AG70"/>
    <mergeCell ref="AE71:AG71"/>
    <mergeCell ref="AE72:AG72"/>
    <mergeCell ref="AE73:AG73"/>
    <mergeCell ref="F69:G69"/>
    <mergeCell ref="AE65:AG65"/>
    <mergeCell ref="AE66:AG66"/>
    <mergeCell ref="AE67:AG67"/>
    <mergeCell ref="I69:J69"/>
    <mergeCell ref="L69:M69"/>
    <mergeCell ref="O69:P69"/>
    <mergeCell ref="R69:S69"/>
    <mergeCell ref="AE68:AG68"/>
    <mergeCell ref="AE69:AG69"/>
    <mergeCell ref="BU59:BW59"/>
    <mergeCell ref="BU60:BW60"/>
    <mergeCell ref="BU61:BW61"/>
    <mergeCell ref="BU62:BW62"/>
    <mergeCell ref="BM59:BO59"/>
    <mergeCell ref="BM60:BO60"/>
    <mergeCell ref="BM61:BO61"/>
    <mergeCell ref="BM62:BO62"/>
    <mergeCell ref="BE59:BG59"/>
    <mergeCell ref="BE60:BG60"/>
    <mergeCell ref="BE61:BG61"/>
    <mergeCell ref="BE62:BG62"/>
    <mergeCell ref="AW59:AY59"/>
    <mergeCell ref="AW60:AY60"/>
    <mergeCell ref="AW61:AY61"/>
    <mergeCell ref="AW62:AY62"/>
    <mergeCell ref="AM59:AO59"/>
    <mergeCell ref="AM60:AO60"/>
    <mergeCell ref="AM61:AO61"/>
    <mergeCell ref="AM62:AO62"/>
    <mergeCell ref="AE59:AG59"/>
    <mergeCell ref="AE60:AG60"/>
    <mergeCell ref="AE61:AG61"/>
    <mergeCell ref="AE62:AG62"/>
    <mergeCell ref="I61:J61"/>
    <mergeCell ref="L61:M61"/>
    <mergeCell ref="O61:P61"/>
    <mergeCell ref="R61:S61"/>
    <mergeCell ref="BM56:BO56"/>
    <mergeCell ref="BU52:BW52"/>
    <mergeCell ref="BU53:BW53"/>
    <mergeCell ref="BU54:BW54"/>
    <mergeCell ref="BU55:BW55"/>
    <mergeCell ref="BU56:BW56"/>
    <mergeCell ref="BM52:BO52"/>
    <mergeCell ref="BM53:BO53"/>
    <mergeCell ref="BM54:BO54"/>
    <mergeCell ref="BM55:BO55"/>
    <mergeCell ref="AW56:AY56"/>
    <mergeCell ref="BE52:BG52"/>
    <mergeCell ref="BE53:BG53"/>
    <mergeCell ref="BE54:BG54"/>
    <mergeCell ref="BE55:BG55"/>
    <mergeCell ref="BE56:BG56"/>
    <mergeCell ref="AW52:AY52"/>
    <mergeCell ref="AW53:AY53"/>
    <mergeCell ref="AW54:AY54"/>
    <mergeCell ref="AW55:AY55"/>
    <mergeCell ref="AE56:AG56"/>
    <mergeCell ref="AM52:AO52"/>
    <mergeCell ref="AM53:AO53"/>
    <mergeCell ref="AM54:AO54"/>
    <mergeCell ref="AM55:AO55"/>
    <mergeCell ref="AM56:AO56"/>
    <mergeCell ref="AE52:AG52"/>
    <mergeCell ref="AE53:AG53"/>
    <mergeCell ref="AE54:AG54"/>
    <mergeCell ref="AE55:AG55"/>
    <mergeCell ref="I54:J54"/>
    <mergeCell ref="L54:M54"/>
    <mergeCell ref="O54:P54"/>
    <mergeCell ref="R54:S54"/>
    <mergeCell ref="BU46:BW46"/>
    <mergeCell ref="BU47:BW47"/>
    <mergeCell ref="BU48:BW48"/>
    <mergeCell ref="BU49:BW49"/>
    <mergeCell ref="BM46:BO46"/>
    <mergeCell ref="BM48:BO48"/>
    <mergeCell ref="BM47:BO47"/>
    <mergeCell ref="BM49:BO49"/>
    <mergeCell ref="AW49:AY49"/>
    <mergeCell ref="BE46:BG46"/>
    <mergeCell ref="BE47:BG47"/>
    <mergeCell ref="BE48:BG48"/>
    <mergeCell ref="BE49:BG49"/>
    <mergeCell ref="AW46:AY46"/>
    <mergeCell ref="AW47:AY47"/>
    <mergeCell ref="AW48:AY48"/>
    <mergeCell ref="AE43:AG43"/>
    <mergeCell ref="AM40:AO40"/>
    <mergeCell ref="AM41:AO41"/>
    <mergeCell ref="AM42:AO42"/>
    <mergeCell ref="AM43:AO43"/>
    <mergeCell ref="AE40:AG40"/>
    <mergeCell ref="AE41:AG41"/>
    <mergeCell ref="AE42:AG42"/>
    <mergeCell ref="AW35:AY35"/>
    <mergeCell ref="I42:J42"/>
    <mergeCell ref="L42:M42"/>
    <mergeCell ref="O42:P42"/>
    <mergeCell ref="R42:S42"/>
    <mergeCell ref="AW42:AY42"/>
    <mergeCell ref="BU35:BW35"/>
    <mergeCell ref="BU37:BW37"/>
    <mergeCell ref="BU36:BW36"/>
    <mergeCell ref="BM32:BO32"/>
    <mergeCell ref="BM36:BO36"/>
    <mergeCell ref="BU31:BW31"/>
    <mergeCell ref="BU32:BW32"/>
    <mergeCell ref="BU33:BW33"/>
    <mergeCell ref="BU34:BW34"/>
    <mergeCell ref="BE36:BG36"/>
    <mergeCell ref="BE37:BG37"/>
    <mergeCell ref="BM33:BO33"/>
    <mergeCell ref="BM34:BO34"/>
    <mergeCell ref="BM35:BO35"/>
    <mergeCell ref="BM37:BO37"/>
    <mergeCell ref="BE32:BG32"/>
    <mergeCell ref="BE33:BG33"/>
    <mergeCell ref="BE34:BG34"/>
    <mergeCell ref="BE35:BG35"/>
    <mergeCell ref="AM34:AO34"/>
    <mergeCell ref="AM35:AO35"/>
    <mergeCell ref="AM36:AO36"/>
    <mergeCell ref="AM37:AO37"/>
    <mergeCell ref="I34:J34"/>
    <mergeCell ref="AE31:AG31"/>
    <mergeCell ref="AE32:AG32"/>
    <mergeCell ref="AE33:AG33"/>
    <mergeCell ref="AE34:AG34"/>
    <mergeCell ref="BU26:BW26"/>
    <mergeCell ref="L34:M34"/>
    <mergeCell ref="O34:P34"/>
    <mergeCell ref="R34:S34"/>
    <mergeCell ref="AW31:AY31"/>
    <mergeCell ref="AW32:AY32"/>
    <mergeCell ref="AW33:AY33"/>
    <mergeCell ref="AW34:AY34"/>
    <mergeCell ref="BM31:BO31"/>
    <mergeCell ref="BM26:BO26"/>
    <mergeCell ref="BU21:BW21"/>
    <mergeCell ref="BU12:BW12"/>
    <mergeCell ref="BU13:BW13"/>
    <mergeCell ref="BU14:BW14"/>
    <mergeCell ref="BU15:BW15"/>
    <mergeCell ref="BM15:BO15"/>
    <mergeCell ref="BU25:BW25"/>
    <mergeCell ref="BM16:BO16"/>
    <mergeCell ref="BM19:BO19"/>
    <mergeCell ref="BM20:BO20"/>
    <mergeCell ref="BM21:BO21"/>
    <mergeCell ref="BM25:BO25"/>
    <mergeCell ref="BU16:BW16"/>
    <mergeCell ref="BU19:BW19"/>
    <mergeCell ref="BU20:BW20"/>
    <mergeCell ref="BE15:BG15"/>
    <mergeCell ref="BE16:BG16"/>
    <mergeCell ref="BE19:BG19"/>
    <mergeCell ref="BE20:BG20"/>
    <mergeCell ref="AW21:AY21"/>
    <mergeCell ref="AW15:AY15"/>
    <mergeCell ref="AW16:AY16"/>
    <mergeCell ref="AW19:AY19"/>
    <mergeCell ref="AW20:AY20"/>
    <mergeCell ref="L27:M27"/>
    <mergeCell ref="O27:P27"/>
    <mergeCell ref="R27:S27"/>
    <mergeCell ref="AW40:AY40"/>
    <mergeCell ref="AE35:AG35"/>
    <mergeCell ref="AE36:AG36"/>
    <mergeCell ref="AE37:AG37"/>
    <mergeCell ref="AM31:AO31"/>
    <mergeCell ref="AM32:AO32"/>
    <mergeCell ref="AM33:AO33"/>
    <mergeCell ref="AW43:AY43"/>
    <mergeCell ref="BE41:BG41"/>
    <mergeCell ref="BE42:BG42"/>
    <mergeCell ref="BE43:BG43"/>
    <mergeCell ref="BE40:BG40"/>
    <mergeCell ref="BE21:BG21"/>
    <mergeCell ref="AW41:AY41"/>
    <mergeCell ref="AW25:AY25"/>
    <mergeCell ref="AW26:AY26"/>
    <mergeCell ref="BE25:BG25"/>
    <mergeCell ref="BE26:BG26"/>
    <mergeCell ref="AW36:AY36"/>
    <mergeCell ref="AW37:AY37"/>
    <mergeCell ref="BE31:BG31"/>
    <mergeCell ref="BM42:BO42"/>
    <mergeCell ref="BM43:BO43"/>
    <mergeCell ref="BU40:BW40"/>
    <mergeCell ref="BU41:BW41"/>
    <mergeCell ref="BU43:BW43"/>
    <mergeCell ref="BU42:BW42"/>
    <mergeCell ref="BM41:BO41"/>
    <mergeCell ref="BM40:BO40"/>
    <mergeCell ref="BU2:BV2"/>
    <mergeCell ref="BQ6:BR6"/>
    <mergeCell ref="BS6:BT6"/>
    <mergeCell ref="BU6:BV6"/>
    <mergeCell ref="BE12:BG12"/>
    <mergeCell ref="BM2:BN2"/>
    <mergeCell ref="BI6:BJ6"/>
    <mergeCell ref="BM6:BN6"/>
    <mergeCell ref="BK6:BL6"/>
    <mergeCell ref="BD6:BE6"/>
    <mergeCell ref="BS8:BT8"/>
    <mergeCell ref="BU10:BV10"/>
    <mergeCell ref="BK8:BL8"/>
    <mergeCell ref="BM10:BN10"/>
    <mergeCell ref="I48:J48"/>
    <mergeCell ref="L48:M48"/>
    <mergeCell ref="O48:P48"/>
    <mergeCell ref="R48:S48"/>
    <mergeCell ref="AE47:AG47"/>
    <mergeCell ref="AE48:AG48"/>
    <mergeCell ref="AM46:AO46"/>
    <mergeCell ref="R15:S15"/>
    <mergeCell ref="AE46:AG46"/>
    <mergeCell ref="R21:S21"/>
    <mergeCell ref="AM19:AO19"/>
    <mergeCell ref="AM20:AO20"/>
    <mergeCell ref="AM21:AO21"/>
    <mergeCell ref="AE15:AG15"/>
    <mergeCell ref="AM16:AO16"/>
    <mergeCell ref="AM25:AO25"/>
    <mergeCell ref="AM26:AO26"/>
    <mergeCell ref="AM15:AO15"/>
    <mergeCell ref="L15:M15"/>
    <mergeCell ref="O15:P15"/>
    <mergeCell ref="AE26:AG26"/>
    <mergeCell ref="L21:M21"/>
    <mergeCell ref="O21:P21"/>
    <mergeCell ref="AE16:AG16"/>
    <mergeCell ref="AE19:AG19"/>
    <mergeCell ref="AE20:AG20"/>
    <mergeCell ref="AE21:AG21"/>
    <mergeCell ref="AC7:AD7"/>
    <mergeCell ref="AW12:AY12"/>
    <mergeCell ref="AW13:AY13"/>
    <mergeCell ref="AW14:AY14"/>
    <mergeCell ref="AM12:AO12"/>
    <mergeCell ref="AM13:AO13"/>
    <mergeCell ref="AM14:AO14"/>
    <mergeCell ref="AE12:AG12"/>
    <mergeCell ref="AE13:AG13"/>
    <mergeCell ref="AE14:AG14"/>
    <mergeCell ref="AD2:AE2"/>
    <mergeCell ref="AE49:AG49"/>
    <mergeCell ref="AM47:AO47"/>
    <mergeCell ref="AM48:AO48"/>
    <mergeCell ref="AK8:AL8"/>
    <mergeCell ref="AJ6:AK6"/>
    <mergeCell ref="AL6:AM6"/>
    <mergeCell ref="AM49:AO49"/>
    <mergeCell ref="AL2:AM2"/>
    <mergeCell ref="AE25:AG25"/>
    <mergeCell ref="BE81:BG81"/>
    <mergeCell ref="BE10:BF10"/>
    <mergeCell ref="AT2:AU2"/>
    <mergeCell ref="AS6:AT6"/>
    <mergeCell ref="AU6:AV6"/>
    <mergeCell ref="AU8:AV8"/>
    <mergeCell ref="AV2:AW2"/>
    <mergeCell ref="AW6:AX6"/>
    <mergeCell ref="BD2:BE2"/>
    <mergeCell ref="BB6:BC6"/>
    <mergeCell ref="BM79:BO79"/>
    <mergeCell ref="BM80:BO80"/>
    <mergeCell ref="BC8:BD8"/>
    <mergeCell ref="BE79:BG79"/>
    <mergeCell ref="BE80:BG80"/>
    <mergeCell ref="BE13:BG13"/>
    <mergeCell ref="BE14:BG14"/>
    <mergeCell ref="BM12:BO12"/>
    <mergeCell ref="BM13:BO13"/>
    <mergeCell ref="BM14:BO14"/>
    <mergeCell ref="BM81:BO81"/>
    <mergeCell ref="BE77:BG77"/>
    <mergeCell ref="BE78:BG78"/>
    <mergeCell ref="BU77:BW77"/>
    <mergeCell ref="BU78:BW78"/>
    <mergeCell ref="BU79:BW79"/>
    <mergeCell ref="BU80:BW80"/>
    <mergeCell ref="BU81:BW81"/>
    <mergeCell ref="BM77:BO77"/>
    <mergeCell ref="BM78:BO78"/>
    <mergeCell ref="F87:G87"/>
    <mergeCell ref="I87:J87"/>
    <mergeCell ref="L87:M87"/>
    <mergeCell ref="O87:P87"/>
    <mergeCell ref="R87:S87"/>
    <mergeCell ref="AE85:AG85"/>
    <mergeCell ref="AE86:AG86"/>
    <mergeCell ref="AE87:AG87"/>
    <mergeCell ref="BE84:BG84"/>
    <mergeCell ref="AE88:AG88"/>
    <mergeCell ref="AM84:AO84"/>
    <mergeCell ref="AM85:AO85"/>
    <mergeCell ref="AM86:AO86"/>
    <mergeCell ref="AM87:AO87"/>
    <mergeCell ref="AM88:AO88"/>
    <mergeCell ref="AW84:AY84"/>
    <mergeCell ref="AW85:AY85"/>
    <mergeCell ref="AW86:AY86"/>
    <mergeCell ref="AW87:AY87"/>
    <mergeCell ref="AW88:AY88"/>
    <mergeCell ref="BE85:BG85"/>
    <mergeCell ref="BE86:BG86"/>
    <mergeCell ref="BE87:BG87"/>
    <mergeCell ref="BE88:BG88"/>
    <mergeCell ref="BM88:BO88"/>
    <mergeCell ref="BU84:BW84"/>
    <mergeCell ref="BU85:BW85"/>
    <mergeCell ref="BU86:BW86"/>
    <mergeCell ref="BU87:BW87"/>
    <mergeCell ref="BU88:BW88"/>
    <mergeCell ref="BM84:BO84"/>
    <mergeCell ref="BM85:BO85"/>
    <mergeCell ref="BM86:BO86"/>
    <mergeCell ref="BM87:BO87"/>
    <mergeCell ref="F94:G94"/>
    <mergeCell ref="I94:J94"/>
    <mergeCell ref="L94:M94"/>
    <mergeCell ref="O94:P94"/>
    <mergeCell ref="R94:S94"/>
    <mergeCell ref="AE91:AG91"/>
    <mergeCell ref="AE92:AG92"/>
    <mergeCell ref="AE93:AG93"/>
    <mergeCell ref="AE94:AG94"/>
    <mergeCell ref="AE95:AG95"/>
    <mergeCell ref="AE96:AG96"/>
    <mergeCell ref="AM91:AO91"/>
    <mergeCell ref="AM92:AO92"/>
    <mergeCell ref="AM93:AO93"/>
    <mergeCell ref="AM94:AO94"/>
    <mergeCell ref="AM96:AO96"/>
    <mergeCell ref="AM95:AO95"/>
    <mergeCell ref="AW91:AY91"/>
    <mergeCell ref="AW92:AY92"/>
    <mergeCell ref="AW93:AY93"/>
    <mergeCell ref="AW94:AY94"/>
    <mergeCell ref="BM95:BO95"/>
    <mergeCell ref="BM96:BO96"/>
    <mergeCell ref="BE91:BG91"/>
    <mergeCell ref="BE92:BG92"/>
    <mergeCell ref="BE93:BG93"/>
    <mergeCell ref="BE94:BG94"/>
    <mergeCell ref="AW95:AY95"/>
    <mergeCell ref="AW96:AY96"/>
    <mergeCell ref="BE96:BG96"/>
    <mergeCell ref="BE95:BG95"/>
    <mergeCell ref="BU95:BW95"/>
    <mergeCell ref="BU96:BW96"/>
    <mergeCell ref="BM91:BO91"/>
    <mergeCell ref="BM92:BO92"/>
    <mergeCell ref="BU91:BW91"/>
    <mergeCell ref="BU92:BW92"/>
    <mergeCell ref="BU93:BW93"/>
    <mergeCell ref="BU94:BW94"/>
    <mergeCell ref="BM93:BO93"/>
    <mergeCell ref="BM94:BO94"/>
    <mergeCell ref="F101:G101"/>
    <mergeCell ref="I101:J101"/>
    <mergeCell ref="L101:M101"/>
    <mergeCell ref="O101:P101"/>
    <mergeCell ref="R101:S101"/>
    <mergeCell ref="AE99:AG99"/>
    <mergeCell ref="AE100:AG100"/>
    <mergeCell ref="AE101:AG101"/>
    <mergeCell ref="AE102:AG102"/>
    <mergeCell ref="AE103:AG103"/>
    <mergeCell ref="AE104:AG104"/>
    <mergeCell ref="AM99:AO99"/>
    <mergeCell ref="AM100:AO100"/>
    <mergeCell ref="AM101:AO101"/>
    <mergeCell ref="AM102:AO102"/>
    <mergeCell ref="AM103:AO103"/>
    <mergeCell ref="AM104:AO104"/>
    <mergeCell ref="AW99:AY99"/>
    <mergeCell ref="AW100:AY100"/>
    <mergeCell ref="AW101:AY101"/>
    <mergeCell ref="AW102:AY102"/>
    <mergeCell ref="BM103:BO103"/>
    <mergeCell ref="BM104:BO104"/>
    <mergeCell ref="BE99:BG99"/>
    <mergeCell ref="BE100:BG100"/>
    <mergeCell ref="BE101:BG101"/>
    <mergeCell ref="BE102:BG102"/>
    <mergeCell ref="AW103:AY103"/>
    <mergeCell ref="AW104:AY104"/>
    <mergeCell ref="BE103:BG103"/>
    <mergeCell ref="BE104:BG104"/>
    <mergeCell ref="BU103:BW103"/>
    <mergeCell ref="BU104:BW104"/>
    <mergeCell ref="BM99:BO99"/>
    <mergeCell ref="BM100:BO100"/>
    <mergeCell ref="BU99:BW99"/>
    <mergeCell ref="BU100:BW100"/>
    <mergeCell ref="BU101:BW101"/>
    <mergeCell ref="BU102:BW102"/>
    <mergeCell ref="BM101:BO101"/>
    <mergeCell ref="BM102:BO102"/>
    <mergeCell ref="F109:G109"/>
    <mergeCell ref="I109:J109"/>
    <mergeCell ref="L109:M109"/>
    <mergeCell ref="O109:P109"/>
    <mergeCell ref="R109:S109"/>
    <mergeCell ref="AE107:AG107"/>
    <mergeCell ref="AE108:AG108"/>
    <mergeCell ref="AE109:AG109"/>
    <mergeCell ref="AE110:AG110"/>
    <mergeCell ref="AM107:AO107"/>
    <mergeCell ref="AM108:AO108"/>
    <mergeCell ref="AM109:AO109"/>
    <mergeCell ref="AM110:AO110"/>
    <mergeCell ref="AW107:AY107"/>
    <mergeCell ref="AW108:AY108"/>
    <mergeCell ref="AW109:AY109"/>
    <mergeCell ref="AW110:AY110"/>
    <mergeCell ref="BE107:BG107"/>
    <mergeCell ref="BE108:BG108"/>
    <mergeCell ref="BE109:BG109"/>
    <mergeCell ref="BE110:BG110"/>
    <mergeCell ref="BM107:BO107"/>
    <mergeCell ref="BM108:BO108"/>
    <mergeCell ref="BM109:BO109"/>
    <mergeCell ref="BM110:BO110"/>
    <mergeCell ref="BU107:BW107"/>
    <mergeCell ref="BU108:BW108"/>
    <mergeCell ref="BU109:BW109"/>
    <mergeCell ref="BU110:BW110"/>
    <mergeCell ref="F115:G115"/>
    <mergeCell ref="I115:J115"/>
    <mergeCell ref="L115:M115"/>
    <mergeCell ref="O115:P115"/>
    <mergeCell ref="R115:S115"/>
    <mergeCell ref="AE113:AG113"/>
    <mergeCell ref="AE114:AG114"/>
    <mergeCell ref="AE115:AG115"/>
    <mergeCell ref="AE116:AG116"/>
    <mergeCell ref="AM113:AO113"/>
    <mergeCell ref="AM114:AO114"/>
    <mergeCell ref="AM115:AO115"/>
    <mergeCell ref="AM116:AO116"/>
    <mergeCell ref="AW113:AY113"/>
    <mergeCell ref="AW114:AY114"/>
    <mergeCell ref="AW115:AY115"/>
    <mergeCell ref="AW116:AY116"/>
    <mergeCell ref="BE113:BG113"/>
    <mergeCell ref="BE114:BG114"/>
    <mergeCell ref="BE115:BG115"/>
    <mergeCell ref="BE116:BG116"/>
    <mergeCell ref="BM113:BO113"/>
    <mergeCell ref="BM114:BO114"/>
    <mergeCell ref="BM115:BO115"/>
    <mergeCell ref="BM116:BO116"/>
    <mergeCell ref="BU113:BW113"/>
    <mergeCell ref="BU114:BW114"/>
    <mergeCell ref="BU115:BW115"/>
    <mergeCell ref="BU116:BW116"/>
    <mergeCell ref="R125:S125"/>
    <mergeCell ref="C125:D125"/>
    <mergeCell ref="AE119:AG119"/>
    <mergeCell ref="AE120:AG120"/>
    <mergeCell ref="AE121:AG121"/>
    <mergeCell ref="AE122:AG122"/>
    <mergeCell ref="F125:G125"/>
    <mergeCell ref="I125:J125"/>
    <mergeCell ref="L125:M125"/>
    <mergeCell ref="O125:P125"/>
    <mergeCell ref="AE123:AG123"/>
    <mergeCell ref="AE124:AG124"/>
    <mergeCell ref="AE125:AG125"/>
    <mergeCell ref="AE126:AG126"/>
    <mergeCell ref="AE127:AG127"/>
    <mergeCell ref="AE129:AG129"/>
    <mergeCell ref="AE128:AG128"/>
    <mergeCell ref="AE130:AG130"/>
    <mergeCell ref="AM119:AO119"/>
    <mergeCell ref="AM120:AO120"/>
    <mergeCell ref="AM121:AO121"/>
    <mergeCell ref="AM122:AO122"/>
    <mergeCell ref="AM123:AO123"/>
    <mergeCell ref="AM124:AO124"/>
    <mergeCell ref="AM125:AO125"/>
    <mergeCell ref="AM126:AO126"/>
    <mergeCell ref="AM127:AO127"/>
    <mergeCell ref="AM129:AO129"/>
    <mergeCell ref="AM128:AO128"/>
    <mergeCell ref="AM130:AO130"/>
    <mergeCell ref="AW119:AY119"/>
    <mergeCell ref="AW120:AY120"/>
    <mergeCell ref="AW121:AY121"/>
    <mergeCell ref="AW122:AY122"/>
    <mergeCell ref="AW123:AY123"/>
    <mergeCell ref="AW124:AY124"/>
    <mergeCell ref="AW125:AY125"/>
    <mergeCell ref="AW126:AY126"/>
    <mergeCell ref="AW127:AY127"/>
    <mergeCell ref="AW129:AY129"/>
    <mergeCell ref="AW128:AY128"/>
    <mergeCell ref="AW130:AY130"/>
    <mergeCell ref="BE119:BG119"/>
    <mergeCell ref="BE120:BG120"/>
    <mergeCell ref="BE121:BG121"/>
    <mergeCell ref="BE122:BG122"/>
    <mergeCell ref="BE123:BG123"/>
    <mergeCell ref="BE124:BG124"/>
    <mergeCell ref="BE125:BG125"/>
    <mergeCell ref="BE126:BG126"/>
    <mergeCell ref="BE127:BG127"/>
    <mergeCell ref="BE128:BG128"/>
    <mergeCell ref="BE129:BG129"/>
    <mergeCell ref="BE130:BG130"/>
    <mergeCell ref="BM119:BO119"/>
    <mergeCell ref="BM120:BO120"/>
    <mergeCell ref="BM121:BO121"/>
    <mergeCell ref="BM122:BO122"/>
    <mergeCell ref="BM123:BO123"/>
    <mergeCell ref="BM124:BO124"/>
    <mergeCell ref="BM125:BO125"/>
    <mergeCell ref="BM126:BO126"/>
    <mergeCell ref="BM127:BO127"/>
    <mergeCell ref="BM129:BO129"/>
    <mergeCell ref="BM128:BO128"/>
    <mergeCell ref="BM130:BO130"/>
    <mergeCell ref="BU119:BW119"/>
    <mergeCell ref="BU120:BW120"/>
    <mergeCell ref="BU121:BW121"/>
    <mergeCell ref="BU122:BW122"/>
    <mergeCell ref="BU123:BW123"/>
    <mergeCell ref="BU124:BW124"/>
    <mergeCell ref="BU125:BW125"/>
    <mergeCell ref="BU126:BW126"/>
    <mergeCell ref="BU127:BW127"/>
    <mergeCell ref="BU129:BW129"/>
    <mergeCell ref="BU128:BW128"/>
    <mergeCell ref="BU130:BW130"/>
    <mergeCell ref="AE133:AG133"/>
    <mergeCell ref="AE135:AG135"/>
    <mergeCell ref="C135:D135"/>
    <mergeCell ref="F135:G135"/>
    <mergeCell ref="I135:J135"/>
    <mergeCell ref="L135:M135"/>
    <mergeCell ref="AM138:AO138"/>
    <mergeCell ref="AM135:AO135"/>
    <mergeCell ref="O135:P135"/>
    <mergeCell ref="R135:S135"/>
    <mergeCell ref="AM133:AO133"/>
    <mergeCell ref="AM134:AO134"/>
    <mergeCell ref="AM136:AO136"/>
    <mergeCell ref="AM137:AO137"/>
    <mergeCell ref="AW133:AY133"/>
    <mergeCell ref="AW134:AY134"/>
    <mergeCell ref="AW135:AY135"/>
    <mergeCell ref="AW136:AY136"/>
    <mergeCell ref="BM137:BO137"/>
    <mergeCell ref="BM138:BO138"/>
    <mergeCell ref="BE133:BG133"/>
    <mergeCell ref="BE134:BG134"/>
    <mergeCell ref="BE135:BG135"/>
    <mergeCell ref="BE136:BG136"/>
    <mergeCell ref="AW137:AY137"/>
    <mergeCell ref="AW138:AY138"/>
    <mergeCell ref="BE137:BG137"/>
    <mergeCell ref="BE138:BG138"/>
    <mergeCell ref="BU137:BW137"/>
    <mergeCell ref="BU138:BW138"/>
    <mergeCell ref="BM133:BO133"/>
    <mergeCell ref="BM134:BO134"/>
    <mergeCell ref="BU133:BW133"/>
    <mergeCell ref="BU134:BW134"/>
    <mergeCell ref="BU135:BW135"/>
    <mergeCell ref="BU136:BW136"/>
    <mergeCell ref="BM135:BO135"/>
    <mergeCell ref="BM136:BO136"/>
    <mergeCell ref="C143:D143"/>
    <mergeCell ref="F143:G143"/>
    <mergeCell ref="I143:J143"/>
    <mergeCell ref="L143:M143"/>
    <mergeCell ref="O143:P143"/>
    <mergeCell ref="R143:S143"/>
    <mergeCell ref="AE134:AG134"/>
    <mergeCell ref="AE142:AG142"/>
    <mergeCell ref="AE136:AG136"/>
    <mergeCell ref="AE137:AG137"/>
    <mergeCell ref="AE138:AG138"/>
    <mergeCell ref="AE145:AG145"/>
    <mergeCell ref="AE146:AG146"/>
    <mergeCell ref="AM141:AO141"/>
    <mergeCell ref="AM142:AO142"/>
    <mergeCell ref="AM143:AO143"/>
    <mergeCell ref="AM144:AO144"/>
    <mergeCell ref="AM145:AO145"/>
    <mergeCell ref="AM146:AO146"/>
    <mergeCell ref="AE144:AG144"/>
    <mergeCell ref="AW141:AY141"/>
    <mergeCell ref="AW142:AY142"/>
    <mergeCell ref="AW143:AY143"/>
    <mergeCell ref="AW144:AY144"/>
    <mergeCell ref="BE141:BG141"/>
    <mergeCell ref="BE142:BG142"/>
    <mergeCell ref="BE143:BG143"/>
    <mergeCell ref="BE144:BG144"/>
    <mergeCell ref="BM142:BO142"/>
    <mergeCell ref="AW145:AY145"/>
    <mergeCell ref="AW146:AY146"/>
    <mergeCell ref="BE145:BG145"/>
    <mergeCell ref="BE146:BG146"/>
    <mergeCell ref="BM146:BO146"/>
    <mergeCell ref="BU145:BW145"/>
    <mergeCell ref="BU146:BW146"/>
    <mergeCell ref="BM141:BO141"/>
    <mergeCell ref="BM143:BO143"/>
    <mergeCell ref="BM144:BO144"/>
    <mergeCell ref="BU141:BW141"/>
    <mergeCell ref="BU142:BW142"/>
    <mergeCell ref="BU143:BW143"/>
    <mergeCell ref="BU144:BW144"/>
    <mergeCell ref="BM145:BO145"/>
    <mergeCell ref="AE149:AG149"/>
    <mergeCell ref="AE150:AG150"/>
    <mergeCell ref="AE151:AG151"/>
    <mergeCell ref="C151:D151"/>
    <mergeCell ref="F151:G151"/>
    <mergeCell ref="I151:J151"/>
    <mergeCell ref="L151:M151"/>
    <mergeCell ref="AE153:AG153"/>
    <mergeCell ref="AE154:AG154"/>
    <mergeCell ref="AE155:AG155"/>
    <mergeCell ref="O151:P151"/>
    <mergeCell ref="R151:S151"/>
    <mergeCell ref="AM150:AO150"/>
    <mergeCell ref="AM151:AO151"/>
    <mergeCell ref="AM152:AO152"/>
    <mergeCell ref="AE152:AG152"/>
    <mergeCell ref="AM155:AO155"/>
    <mergeCell ref="AM154:AO154"/>
    <mergeCell ref="AW149:AY149"/>
    <mergeCell ref="AW150:AY150"/>
    <mergeCell ref="AW151:AY151"/>
    <mergeCell ref="AW152:AY152"/>
    <mergeCell ref="AW153:AY153"/>
    <mergeCell ref="AW155:AY155"/>
    <mergeCell ref="AW154:AY154"/>
    <mergeCell ref="AM149:AO149"/>
    <mergeCell ref="BE149:BG149"/>
    <mergeCell ref="BE150:BG150"/>
    <mergeCell ref="BE151:BG151"/>
    <mergeCell ref="BE152:BG152"/>
    <mergeCell ref="BM149:BO149"/>
    <mergeCell ref="BM150:BO150"/>
    <mergeCell ref="BM151:BO151"/>
    <mergeCell ref="BM152:BO152"/>
    <mergeCell ref="O161:P161"/>
    <mergeCell ref="R161:S161"/>
    <mergeCell ref="AE158:AG158"/>
    <mergeCell ref="BU149:BW149"/>
    <mergeCell ref="BU150:BW150"/>
    <mergeCell ref="BU151:BW151"/>
    <mergeCell ref="BU152:BW152"/>
    <mergeCell ref="BE153:BG153"/>
    <mergeCell ref="BE155:BG155"/>
    <mergeCell ref="BE154:BG154"/>
    <mergeCell ref="C161:D161"/>
    <mergeCell ref="F161:G161"/>
    <mergeCell ref="I161:J161"/>
    <mergeCell ref="L161:M161"/>
    <mergeCell ref="AE160:AG160"/>
    <mergeCell ref="AE161:AG161"/>
    <mergeCell ref="AE162:AG162"/>
    <mergeCell ref="BU153:BW153"/>
    <mergeCell ref="BU154:BW154"/>
    <mergeCell ref="BU155:BW155"/>
    <mergeCell ref="BM153:BO153"/>
    <mergeCell ref="BM155:BO155"/>
    <mergeCell ref="BM154:BO154"/>
    <mergeCell ref="AM153:AO153"/>
    <mergeCell ref="AE164:AG164"/>
    <mergeCell ref="AE163:AG163"/>
    <mergeCell ref="AM158:AO158"/>
    <mergeCell ref="AM159:AO159"/>
    <mergeCell ref="AM160:AO160"/>
    <mergeCell ref="AM161:AO161"/>
    <mergeCell ref="AM162:AO162"/>
    <mergeCell ref="AM163:AO163"/>
    <mergeCell ref="AM164:AO164"/>
    <mergeCell ref="AE159:AG159"/>
    <mergeCell ref="AW158:AY158"/>
    <mergeCell ref="AW159:AY159"/>
    <mergeCell ref="AW160:AY160"/>
    <mergeCell ref="AW161:AY161"/>
    <mergeCell ref="AW162:AY162"/>
    <mergeCell ref="AW163:AY163"/>
    <mergeCell ref="AW164:AY164"/>
    <mergeCell ref="BE158:BG158"/>
    <mergeCell ref="BE159:BG159"/>
    <mergeCell ref="BE160:BG160"/>
    <mergeCell ref="BE161:BG161"/>
    <mergeCell ref="BE162:BG162"/>
    <mergeCell ref="BE164:BG164"/>
    <mergeCell ref="BE163:BG163"/>
    <mergeCell ref="BM158:BO158"/>
    <mergeCell ref="BM159:BO159"/>
    <mergeCell ref="BM160:BO160"/>
    <mergeCell ref="BM161:BO161"/>
    <mergeCell ref="BM162:BO162"/>
    <mergeCell ref="BM163:BO163"/>
    <mergeCell ref="BM164:BO164"/>
    <mergeCell ref="BU158:BW158"/>
    <mergeCell ref="BU159:BW159"/>
    <mergeCell ref="BU160:BW160"/>
    <mergeCell ref="BU161:BW161"/>
    <mergeCell ref="BU162:BW162"/>
    <mergeCell ref="BU163:BW163"/>
    <mergeCell ref="BU164:BW164"/>
    <mergeCell ref="C170:D170"/>
    <mergeCell ref="F170:G170"/>
    <mergeCell ref="I170:J170"/>
    <mergeCell ref="L170:M170"/>
    <mergeCell ref="O170:P170"/>
    <mergeCell ref="R170:S170"/>
    <mergeCell ref="AE167:AG167"/>
    <mergeCell ref="AE168:AG168"/>
    <mergeCell ref="AE169:AG169"/>
    <mergeCell ref="AE170:AG170"/>
    <mergeCell ref="AE171:AG171"/>
    <mergeCell ref="AE172:AG172"/>
    <mergeCell ref="AE173:AG173"/>
    <mergeCell ref="AM167:AO167"/>
    <mergeCell ref="AM168:AO168"/>
    <mergeCell ref="AM169:AO169"/>
    <mergeCell ref="AM170:AO170"/>
    <mergeCell ref="AM171:AO171"/>
    <mergeCell ref="AM172:AO172"/>
    <mergeCell ref="AM173:AO173"/>
  </mergeCells>
  <printOptions/>
  <pageMargins left="0.75" right="0.75" top="1" bottom="1" header="0.5" footer="0.5"/>
  <pageSetup fitToHeight="2" fitToWidth="1" horizontalDpi="600" verticalDpi="600" orientation="portrait" paperSize="8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anadoluray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gurcanb</dc:creator>
  <cp:keywords/>
  <dc:description/>
  <cp:lastModifiedBy>gurcanb</cp:lastModifiedBy>
  <cp:lastPrinted>2011-11-28T08:07:06Z</cp:lastPrinted>
  <dcterms:created xsi:type="dcterms:W3CDTF">2011-11-25T06:50:45Z</dcterms:created>
  <dcterms:modified xsi:type="dcterms:W3CDTF">2011-11-28T08:49:53Z</dcterms:modified>
  <cp:category/>
  <cp:version/>
  <cp:contentType/>
  <cp:contentStatus/>
</cp:coreProperties>
</file>