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rca\Documents\ozel\satis\yeni_yönetmelige_gore_hesaplar(sifreli)\cesitli_hesaplamalar\"/>
    </mc:Choice>
  </mc:AlternateContent>
  <xr:revisionPtr revIDLastSave="0" documentId="13_ncr:1_{AA1C27CD-D9C8-4358-B929-5AA7FD677D4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Sheet1!$B$2:$AS$137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02" i="1" l="1"/>
  <c r="M401" i="1"/>
  <c r="M391" i="1"/>
  <c r="M390" i="1"/>
  <c r="M389" i="1"/>
  <c r="U384" i="1"/>
  <c r="O384" i="1"/>
  <c r="X384" i="1" s="1"/>
  <c r="O383" i="1"/>
  <c r="U372" i="1"/>
  <c r="O372" i="1"/>
  <c r="X372" i="1" s="1"/>
  <c r="N371" i="1"/>
  <c r="M365" i="1"/>
  <c r="M377" i="1" s="1"/>
  <c r="M364" i="1"/>
  <c r="M376" i="1" s="1"/>
  <c r="M363" i="1"/>
  <c r="M375" i="1" s="1"/>
  <c r="M362" i="1"/>
  <c r="U352" i="1"/>
  <c r="S352" i="1" s="1"/>
  <c r="M374" i="1" s="1"/>
  <c r="P345" i="1"/>
  <c r="L339" i="1"/>
  <c r="L338" i="1"/>
  <c r="L337" i="1"/>
  <c r="L336" i="1"/>
  <c r="AK331" i="1"/>
  <c r="M331" i="1"/>
  <c r="C297" i="1"/>
  <c r="AN331" i="1" s="1"/>
  <c r="B295" i="1"/>
  <c r="J331" i="1" s="1"/>
  <c r="B287" i="1"/>
  <c r="E331" i="1" s="1"/>
  <c r="AC325" i="1"/>
  <c r="AF325" i="1" s="1"/>
  <c r="AG403" i="1" s="1"/>
  <c r="Z325" i="1"/>
  <c r="AA391" i="1" s="1"/>
  <c r="U331" i="1"/>
  <c r="J327" i="1"/>
  <c r="AO326" i="1"/>
  <c r="AP404" i="1" s="1"/>
  <c r="AI326" i="1"/>
  <c r="AJ392" i="1" s="1"/>
  <c r="AC326" i="1"/>
  <c r="AD365" i="1" s="1"/>
  <c r="AD377" i="1" s="1"/>
  <c r="Z326" i="1"/>
  <c r="AA404" i="1" s="1"/>
  <c r="J326" i="1"/>
  <c r="AO325" i="1"/>
  <c r="AI325" i="1" s="1"/>
  <c r="J325" i="1"/>
  <c r="J324" i="1"/>
  <c r="J323" i="1"/>
  <c r="J319" i="1"/>
  <c r="AL326" i="1" s="1"/>
  <c r="AL339" i="1" s="1"/>
  <c r="H319" i="1"/>
  <c r="F319" i="1"/>
  <c r="J317" i="1"/>
  <c r="AF326" i="1" s="1"/>
  <c r="AG365" i="1" s="1"/>
  <c r="AG377" i="1" s="1"/>
  <c r="H317" i="1"/>
  <c r="F317" i="1"/>
  <c r="U210" i="1"/>
  <c r="S210" i="1" s="1"/>
  <c r="M232" i="1" s="1"/>
  <c r="M260" i="1"/>
  <c r="M259" i="1"/>
  <c r="M249" i="1"/>
  <c r="M248" i="1"/>
  <c r="M247" i="1"/>
  <c r="M223" i="1"/>
  <c r="M235" i="1" s="1"/>
  <c r="M222" i="1"/>
  <c r="M234" i="1" s="1"/>
  <c r="M221" i="1"/>
  <c r="M233" i="1" s="1"/>
  <c r="U242" i="1"/>
  <c r="O242" i="1"/>
  <c r="X242" i="1" s="1"/>
  <c r="O241" i="1"/>
  <c r="U230" i="1"/>
  <c r="O230" i="1"/>
  <c r="X230" i="1" s="1"/>
  <c r="N229" i="1"/>
  <c r="M220" i="1"/>
  <c r="P203" i="1"/>
  <c r="L197" i="1"/>
  <c r="L196" i="1"/>
  <c r="L195" i="1"/>
  <c r="L194" i="1"/>
  <c r="O145" i="1"/>
  <c r="P191" i="1" s="1"/>
  <c r="C160" i="1"/>
  <c r="C153" i="1"/>
  <c r="J187" i="1"/>
  <c r="J186" i="1"/>
  <c r="J185" i="1"/>
  <c r="J184" i="1"/>
  <c r="J183" i="1"/>
  <c r="AI186" i="1"/>
  <c r="AI197" i="1" s="1"/>
  <c r="AC186" i="1"/>
  <c r="AC197" i="1" s="1"/>
  <c r="Z186" i="1"/>
  <c r="Z197" i="1" s="1"/>
  <c r="AI185" i="1"/>
  <c r="AL222" i="1" s="1"/>
  <c r="AL234" i="1" s="1"/>
  <c r="Z185" i="1"/>
  <c r="Z196" i="1" s="1"/>
  <c r="J179" i="1"/>
  <c r="AF186" i="1" s="1"/>
  <c r="H179" i="1"/>
  <c r="F179" i="1"/>
  <c r="M366" i="1" l="1"/>
  <c r="AD366" i="1" s="1"/>
  <c r="L340" i="1"/>
  <c r="AL340" i="1" s="1"/>
  <c r="AC222" i="1"/>
  <c r="AC234" i="1" s="1"/>
  <c r="AL262" i="1"/>
  <c r="AC223" i="1"/>
  <c r="AC235" i="1" s="1"/>
  <c r="AL223" i="1"/>
  <c r="AL235" i="1" s="1"/>
  <c r="AD404" i="1"/>
  <c r="AI262" i="1"/>
  <c r="AI223" i="1"/>
  <c r="AC261" i="1"/>
  <c r="AA392" i="1"/>
  <c r="AO338" i="1"/>
  <c r="AD392" i="1"/>
  <c r="AP391" i="1"/>
  <c r="AC262" i="1"/>
  <c r="M191" i="1"/>
  <c r="M250" i="1"/>
  <c r="AL261" i="1"/>
  <c r="C294" i="1"/>
  <c r="AF331" i="1" s="1"/>
  <c r="M403" i="1"/>
  <c r="AP405" i="1" s="1"/>
  <c r="AP364" i="1"/>
  <c r="AP376" i="1" s="1"/>
  <c r="AC339" i="1"/>
  <c r="M392" i="1"/>
  <c r="AJ393" i="1" s="1"/>
  <c r="AP403" i="1"/>
  <c r="AI196" i="1"/>
  <c r="Z339" i="1"/>
  <c r="Z340" i="1" s="1"/>
  <c r="AL249" i="1"/>
  <c r="AO339" i="1"/>
  <c r="AA365" i="1"/>
  <c r="AL325" i="1"/>
  <c r="AJ403" i="1"/>
  <c r="AI338" i="1"/>
  <c r="AJ391" i="1"/>
  <c r="AJ364" i="1"/>
  <c r="AJ376" i="1" s="1"/>
  <c r="AM365" i="1"/>
  <c r="AM377" i="1" s="1"/>
  <c r="AP392" i="1"/>
  <c r="M378" i="1"/>
  <c r="AD378" i="1" s="1"/>
  <c r="AP365" i="1"/>
  <c r="AP377" i="1" s="1"/>
  <c r="M224" i="1"/>
  <c r="AF250" i="1"/>
  <c r="AG364" i="1"/>
  <c r="AG376" i="1" s="1"/>
  <c r="AG391" i="1"/>
  <c r="AF197" i="1"/>
  <c r="AI250" i="1"/>
  <c r="N277" i="1"/>
  <c r="Z338" i="1"/>
  <c r="AA403" i="1"/>
  <c r="AG404" i="1"/>
  <c r="AM392" i="1"/>
  <c r="AJ404" i="1"/>
  <c r="AJ365" i="1"/>
  <c r="AJ377" i="1" s="1"/>
  <c r="T410" i="1"/>
  <c r="AL250" i="1"/>
  <c r="AC249" i="1"/>
  <c r="AF262" i="1"/>
  <c r="AF338" i="1"/>
  <c r="AI339" i="1"/>
  <c r="AA364" i="1"/>
  <c r="AA376" i="1" s="1"/>
  <c r="AG392" i="1"/>
  <c r="AM404" i="1"/>
  <c r="AC338" i="1"/>
  <c r="AF339" i="1"/>
  <c r="AD403" i="1"/>
  <c r="AF223" i="1"/>
  <c r="AC250" i="1"/>
  <c r="M261" i="1"/>
  <c r="AD364" i="1"/>
  <c r="AD376" i="1" s="1"/>
  <c r="AD391" i="1"/>
  <c r="J328" i="1"/>
  <c r="AL327" i="1" s="1"/>
  <c r="AC185" i="1"/>
  <c r="T268" i="1"/>
  <c r="L198" i="1"/>
  <c r="AC198" i="1" s="1"/>
  <c r="M236" i="1"/>
  <c r="J188" i="1"/>
  <c r="AI187" i="1" s="1"/>
  <c r="J46" i="1"/>
  <c r="J44" i="1"/>
  <c r="M127" i="1"/>
  <c r="AM405" i="1" l="1"/>
  <c r="AC224" i="1"/>
  <c r="AC225" i="1" s="1"/>
  <c r="AJ405" i="1"/>
  <c r="AJ406" i="1" s="1"/>
  <c r="AF340" i="1"/>
  <c r="AF341" i="1" s="1"/>
  <c r="AC340" i="1"/>
  <c r="AC341" i="1" s="1"/>
  <c r="AO340" i="1"/>
  <c r="AO341" i="1" s="1"/>
  <c r="AJ394" i="1"/>
  <c r="AG366" i="1"/>
  <c r="AG367" i="1" s="1"/>
  <c r="AP366" i="1"/>
  <c r="AP367" i="1" s="1"/>
  <c r="AA366" i="1"/>
  <c r="AA367" i="1" s="1"/>
  <c r="AL251" i="1"/>
  <c r="AG393" i="1"/>
  <c r="Z341" i="1"/>
  <c r="AA393" i="1"/>
  <c r="AA394" i="1" s="1"/>
  <c r="AL224" i="1"/>
  <c r="AL225" i="1" s="1"/>
  <c r="AA405" i="1"/>
  <c r="AA406" i="1" s="1"/>
  <c r="AC251" i="1"/>
  <c r="AC252" i="1" s="1"/>
  <c r="AM393" i="1"/>
  <c r="AL252" i="1"/>
  <c r="AD379" i="1"/>
  <c r="AL263" i="1"/>
  <c r="AL264" i="1" s="1"/>
  <c r="AP393" i="1"/>
  <c r="AP394" i="1" s="1"/>
  <c r="AP406" i="1"/>
  <c r="AD393" i="1"/>
  <c r="AD394" i="1" s="1"/>
  <c r="AJ366" i="1"/>
  <c r="AJ367" i="1" s="1"/>
  <c r="AC263" i="1"/>
  <c r="AC264" i="1" s="1"/>
  <c r="AL328" i="1"/>
  <c r="AA377" i="1"/>
  <c r="AA378" i="1" s="1"/>
  <c r="AA379" i="1" s="1"/>
  <c r="AD405" i="1"/>
  <c r="AD406" i="1" s="1"/>
  <c r="AG405" i="1"/>
  <c r="AG406" i="1" s="1"/>
  <c r="AP378" i="1"/>
  <c r="AP379" i="1" s="1"/>
  <c r="Y295" i="1"/>
  <c r="Z331" i="1" s="1"/>
  <c r="AM378" i="1"/>
  <c r="AD367" i="1"/>
  <c r="AI340" i="1"/>
  <c r="AI341" i="1" s="1"/>
  <c r="AF222" i="1"/>
  <c r="AF234" i="1" s="1"/>
  <c r="AF261" i="1"/>
  <c r="AF249" i="1"/>
  <c r="B331" i="1"/>
  <c r="AC331" i="1"/>
  <c r="R331" i="1"/>
  <c r="AM403" i="1"/>
  <c r="AM406" i="1" s="1"/>
  <c r="AL338" i="1"/>
  <c r="AL341" i="1" s="1"/>
  <c r="AM391" i="1"/>
  <c r="AM364" i="1"/>
  <c r="AM376" i="1" s="1"/>
  <c r="AM366" i="1"/>
  <c r="AG378" i="1"/>
  <c r="AG379" i="1" s="1"/>
  <c r="AG394" i="1"/>
  <c r="AJ378" i="1"/>
  <c r="AJ379" i="1" s="1"/>
  <c r="AI327" i="1"/>
  <c r="AI328" i="1" s="1"/>
  <c r="AO327" i="1"/>
  <c r="AO328" i="1" s="1"/>
  <c r="Z327" i="1"/>
  <c r="Z328" i="1" s="1"/>
  <c r="AF327" i="1"/>
  <c r="AF328" i="1" s="1"/>
  <c r="AC327" i="1"/>
  <c r="M310" i="1" s="1"/>
  <c r="AL236" i="1"/>
  <c r="AL237" i="1" s="1"/>
  <c r="AC236" i="1"/>
  <c r="AC237" i="1" s="1"/>
  <c r="AI198" i="1"/>
  <c r="AI199" i="1" s="1"/>
  <c r="Z198" i="1"/>
  <c r="Z199" i="1" s="1"/>
  <c r="AF198" i="1"/>
  <c r="AF185" i="1"/>
  <c r="AF251" i="1"/>
  <c r="AF263" i="1"/>
  <c r="AC196" i="1"/>
  <c r="AC199" i="1" s="1"/>
  <c r="AI188" i="1"/>
  <c r="AF187" i="1"/>
  <c r="AC187" i="1"/>
  <c r="Z187" i="1"/>
  <c r="Z188" i="1" s="1"/>
  <c r="M128" i="1"/>
  <c r="T136" i="1" s="1"/>
  <c r="M115" i="1"/>
  <c r="M116" i="1"/>
  <c r="M117" i="1"/>
  <c r="AM394" i="1" l="1"/>
  <c r="AA396" i="1" s="1"/>
  <c r="M398" i="1" s="1"/>
  <c r="AF264" i="1"/>
  <c r="AM379" i="1"/>
  <c r="AA381" i="1" s="1"/>
  <c r="AM367" i="1"/>
  <c r="AA369" i="1" s="1"/>
  <c r="Q371" i="1" s="1"/>
  <c r="AA408" i="1"/>
  <c r="Q410" i="1" s="1"/>
  <c r="W410" i="1" s="1"/>
  <c r="Z343" i="1"/>
  <c r="M345" i="1" s="1"/>
  <c r="S345" i="1" s="1"/>
  <c r="AI222" i="1"/>
  <c r="AI234" i="1" s="1"/>
  <c r="AI261" i="1"/>
  <c r="AI249" i="1"/>
  <c r="AF252" i="1"/>
  <c r="C332" i="1"/>
  <c r="M333" i="1" s="1"/>
  <c r="AF188" i="1"/>
  <c r="AC328" i="1"/>
  <c r="Z329" i="1" s="1"/>
  <c r="I333" i="1" s="1"/>
  <c r="AA294" i="1"/>
  <c r="AI263" i="1"/>
  <c r="AF196" i="1"/>
  <c r="AF199" i="1" s="1"/>
  <c r="Z201" i="1" s="1"/>
  <c r="M203" i="1" s="1"/>
  <c r="S203" i="1" s="1"/>
  <c r="AI251" i="1"/>
  <c r="AF235" i="1"/>
  <c r="AF236" i="1" s="1"/>
  <c r="AF237" i="1" s="1"/>
  <c r="AF224" i="1"/>
  <c r="AF225" i="1" s="1"/>
  <c r="AC188" i="1"/>
  <c r="N171" i="1"/>
  <c r="AA157" i="1"/>
  <c r="M118" i="1"/>
  <c r="M129" i="1"/>
  <c r="U110" i="1"/>
  <c r="U98" i="1"/>
  <c r="AI264" i="1" l="1"/>
  <c r="AC266" i="1" s="1"/>
  <c r="Q268" i="1" s="1"/>
  <c r="W268" i="1" s="1"/>
  <c r="H369" i="1"/>
  <c r="L371" i="1" s="1"/>
  <c r="T371" i="1" s="1"/>
  <c r="L372" i="1" s="1"/>
  <c r="AI252" i="1"/>
  <c r="AC254" i="1" s="1"/>
  <c r="M256" i="1" s="1"/>
  <c r="H381" i="1"/>
  <c r="M383" i="1" s="1"/>
  <c r="R383" i="1"/>
  <c r="Z189" i="1"/>
  <c r="I191" i="1" s="1"/>
  <c r="U191" i="1" s="1"/>
  <c r="P333" i="1"/>
  <c r="AI235" i="1"/>
  <c r="AI236" i="1" s="1"/>
  <c r="AI237" i="1" s="1"/>
  <c r="AC239" i="1" s="1"/>
  <c r="AI224" i="1"/>
  <c r="AI225" i="1" s="1"/>
  <c r="AC227" i="1" s="1"/>
  <c r="O110" i="1"/>
  <c r="X110" i="1" s="1"/>
  <c r="O109" i="1"/>
  <c r="O98" i="1"/>
  <c r="X98" i="1" s="1"/>
  <c r="N97" i="1"/>
  <c r="M88" i="1"/>
  <c r="M89" i="1"/>
  <c r="M101" i="1" s="1"/>
  <c r="M90" i="1"/>
  <c r="M102" i="1" s="1"/>
  <c r="M91" i="1"/>
  <c r="M103" i="1" s="1"/>
  <c r="U78" i="1"/>
  <c r="S78" i="1" s="1"/>
  <c r="M100" i="1" s="1"/>
  <c r="P71" i="1"/>
  <c r="L62" i="1"/>
  <c r="L63" i="1"/>
  <c r="L64" i="1"/>
  <c r="L65" i="1"/>
  <c r="AI58" i="1"/>
  <c r="AC58" i="1"/>
  <c r="X58" i="1"/>
  <c r="U58" i="1"/>
  <c r="M58" i="1"/>
  <c r="C19" i="1"/>
  <c r="E58" i="1" s="1"/>
  <c r="O6" i="1"/>
  <c r="J58" i="1" s="1"/>
  <c r="U383" i="1" l="1"/>
  <c r="L384" i="1" s="1"/>
  <c r="R372" i="1"/>
  <c r="AA372" i="1" s="1"/>
  <c r="N386" i="1" s="1"/>
  <c r="R241" i="1"/>
  <c r="H239" i="1"/>
  <c r="M241" i="1" s="1"/>
  <c r="H227" i="1"/>
  <c r="L229" i="1" s="1"/>
  <c r="Q229" i="1"/>
  <c r="L66" i="1"/>
  <c r="M104" i="1"/>
  <c r="M92" i="1"/>
  <c r="B58" i="1"/>
  <c r="AF58" i="1"/>
  <c r="D17" i="1"/>
  <c r="D25" i="1" s="1"/>
  <c r="R384" i="1" l="1"/>
  <c r="AA384" i="1" s="1"/>
  <c r="Q386" i="1" s="1"/>
  <c r="T386" i="1" s="1"/>
  <c r="U241" i="1"/>
  <c r="L242" i="1" s="1"/>
  <c r="R242" i="1" s="1"/>
  <c r="AA242" i="1" s="1"/>
  <c r="Q244" i="1" s="1"/>
  <c r="T229" i="1"/>
  <c r="L230" i="1" s="1"/>
  <c r="R230" i="1" s="1"/>
  <c r="AA230" i="1" s="1"/>
  <c r="N244" i="1" s="1"/>
  <c r="AN58" i="1"/>
  <c r="R58" i="1"/>
  <c r="T244" i="1" l="1"/>
  <c r="AQ58" i="1"/>
  <c r="M59" i="1" s="1"/>
  <c r="AO53" i="1"/>
  <c r="AL53" i="1"/>
  <c r="AI53" i="1"/>
  <c r="AF53" i="1"/>
  <c r="AC53" i="1"/>
  <c r="Z53" i="1"/>
  <c r="AI52" i="1"/>
  <c r="AJ129" i="1" s="1"/>
  <c r="AC52" i="1"/>
  <c r="AD129" i="1" s="1"/>
  <c r="AO52" i="1"/>
  <c r="Z52" i="1"/>
  <c r="J54" i="1"/>
  <c r="J53" i="1"/>
  <c r="J52" i="1"/>
  <c r="J51" i="1"/>
  <c r="J50" i="1"/>
  <c r="AD118" i="1" l="1"/>
  <c r="AD119" i="1" s="1"/>
  <c r="AD130" i="1"/>
  <c r="AA118" i="1"/>
  <c r="AA130" i="1"/>
  <c r="AG118" i="1"/>
  <c r="AG119" i="1" s="1"/>
  <c r="AG130" i="1"/>
  <c r="AJ118" i="1"/>
  <c r="AJ119" i="1" s="1"/>
  <c r="AJ130" i="1"/>
  <c r="AP117" i="1"/>
  <c r="AP129" i="1"/>
  <c r="AP118" i="1"/>
  <c r="AP119" i="1" s="1"/>
  <c r="AP130" i="1"/>
  <c r="AA117" i="1"/>
  <c r="AA129" i="1"/>
  <c r="AM118" i="1"/>
  <c r="AM119" i="1" s="1"/>
  <c r="AM130" i="1"/>
  <c r="AJ90" i="1"/>
  <c r="AJ102" i="1" s="1"/>
  <c r="AJ117" i="1"/>
  <c r="AD90" i="1"/>
  <c r="AD102" i="1" s="1"/>
  <c r="AD117" i="1"/>
  <c r="AA119" i="1"/>
  <c r="Z65" i="1"/>
  <c r="Z66" i="1" s="1"/>
  <c r="AA91" i="1"/>
  <c r="AC65" i="1"/>
  <c r="AC66" i="1" s="1"/>
  <c r="AD91" i="1"/>
  <c r="AF65" i="1"/>
  <c r="AF66" i="1" s="1"/>
  <c r="AG91" i="1"/>
  <c r="AI65" i="1"/>
  <c r="AI66" i="1" s="1"/>
  <c r="AJ91" i="1"/>
  <c r="Z64" i="1"/>
  <c r="AA90" i="1"/>
  <c r="AA102" i="1" s="1"/>
  <c r="AL65" i="1"/>
  <c r="AL66" i="1" s="1"/>
  <c r="AM91" i="1"/>
  <c r="AO64" i="1"/>
  <c r="AP90" i="1"/>
  <c r="AP102" i="1" s="1"/>
  <c r="AO65" i="1"/>
  <c r="AO66" i="1" s="1"/>
  <c r="AO67" i="1" s="1"/>
  <c r="AP91" i="1"/>
  <c r="AL52" i="1"/>
  <c r="AI64" i="1"/>
  <c r="AF52" i="1"/>
  <c r="AC64" i="1"/>
  <c r="J55" i="1"/>
  <c r="AL54" i="1" s="1"/>
  <c r="AI67" i="1" l="1"/>
  <c r="AG117" i="1"/>
  <c r="AG120" i="1" s="1"/>
  <c r="AG129" i="1"/>
  <c r="AM117" i="1"/>
  <c r="AM120" i="1" s="1"/>
  <c r="AM129" i="1"/>
  <c r="Z67" i="1"/>
  <c r="AJ120" i="1"/>
  <c r="AJ131" i="1"/>
  <c r="AJ132" i="1" s="1"/>
  <c r="AM131" i="1"/>
  <c r="AG131" i="1"/>
  <c r="AD120" i="1"/>
  <c r="AD131" i="1"/>
  <c r="AD132" i="1" s="1"/>
  <c r="AP120" i="1"/>
  <c r="AP131" i="1"/>
  <c r="AP132" i="1" s="1"/>
  <c r="AC67" i="1"/>
  <c r="AA120" i="1"/>
  <c r="AA131" i="1"/>
  <c r="AA132" i="1" s="1"/>
  <c r="AF64" i="1"/>
  <c r="AF67" i="1" s="1"/>
  <c r="AG90" i="1"/>
  <c r="AG102" i="1" s="1"/>
  <c r="AP103" i="1"/>
  <c r="AP104" i="1" s="1"/>
  <c r="AP105" i="1" s="1"/>
  <c r="AP92" i="1"/>
  <c r="AP93" i="1" s="1"/>
  <c r="AJ103" i="1"/>
  <c r="AJ104" i="1" s="1"/>
  <c r="AJ105" i="1" s="1"/>
  <c r="AJ92" i="1"/>
  <c r="AJ93" i="1" s="1"/>
  <c r="AG103" i="1"/>
  <c r="AG104" i="1" s="1"/>
  <c r="AG92" i="1"/>
  <c r="AL64" i="1"/>
  <c r="AL67" i="1" s="1"/>
  <c r="AM90" i="1"/>
  <c r="AM102" i="1" s="1"/>
  <c r="AM103" i="1"/>
  <c r="AM104" i="1" s="1"/>
  <c r="AM105" i="1" s="1"/>
  <c r="AM92" i="1"/>
  <c r="AM93" i="1" s="1"/>
  <c r="AD103" i="1"/>
  <c r="AD104" i="1" s="1"/>
  <c r="AD105" i="1" s="1"/>
  <c r="AD92" i="1"/>
  <c r="AD93" i="1" s="1"/>
  <c r="AL55" i="1"/>
  <c r="AA103" i="1"/>
  <c r="AA104" i="1" s="1"/>
  <c r="AA105" i="1" s="1"/>
  <c r="AA92" i="1"/>
  <c r="AA93" i="1" s="1"/>
  <c r="AI54" i="1"/>
  <c r="AI55" i="1" s="1"/>
  <c r="AF54" i="1"/>
  <c r="AF55" i="1" s="1"/>
  <c r="AC54" i="1"/>
  <c r="Z54" i="1"/>
  <c r="Z55" i="1" s="1"/>
  <c r="AO54" i="1"/>
  <c r="AG132" i="1" l="1"/>
  <c r="AM132" i="1"/>
  <c r="AO55" i="1"/>
  <c r="AA23" i="1"/>
  <c r="AC55" i="1"/>
  <c r="N37" i="1"/>
  <c r="Z69" i="1"/>
  <c r="M71" i="1" s="1"/>
  <c r="S71" i="1" s="1"/>
  <c r="AG105" i="1"/>
  <c r="AA107" i="1" s="1"/>
  <c r="AA122" i="1"/>
  <c r="M124" i="1" s="1"/>
  <c r="AG93" i="1"/>
  <c r="AA95" i="1" s="1"/>
  <c r="H44" i="1"/>
  <c r="H46" i="1"/>
  <c r="F46" i="1"/>
  <c r="F44" i="1"/>
  <c r="AA134" i="1" l="1"/>
  <c r="Q136" i="1" s="1"/>
  <c r="W136" i="1" s="1"/>
  <c r="Z56" i="1"/>
  <c r="I59" i="1" s="1"/>
  <c r="P59" i="1" s="1"/>
  <c r="Q97" i="1"/>
  <c r="H95" i="1"/>
  <c r="L97" i="1" s="1"/>
  <c r="T97" i="1" s="1"/>
  <c r="L98" i="1" s="1"/>
  <c r="H107" i="1"/>
  <c r="M109" i="1" s="1"/>
  <c r="R109" i="1"/>
  <c r="U109" i="1" l="1"/>
  <c r="L110" i="1" s="1"/>
  <c r="R98" i="1"/>
  <c r="R110" i="1" l="1"/>
  <c r="AA110" i="1" s="1"/>
  <c r="AA98" i="1"/>
  <c r="N112" i="1" s="1"/>
  <c r="Q112" i="1" l="1"/>
  <c r="T112" i="1" s="1"/>
</calcChain>
</file>

<file path=xl/sharedStrings.xml><?xml version="1.0" encoding="utf-8"?>
<sst xmlns="http://schemas.openxmlformats.org/spreadsheetml/2006/main" count="815" uniqueCount="126">
  <si>
    <t>nokta no</t>
  </si>
  <si>
    <t>M1</t>
  </si>
  <si>
    <t>M3'</t>
  </si>
  <si>
    <t>M3</t>
  </si>
  <si>
    <t>M2</t>
  </si>
  <si>
    <t>M2'</t>
  </si>
  <si>
    <t>M4</t>
  </si>
  <si>
    <t>(m)</t>
  </si>
  <si>
    <t>X</t>
  </si>
  <si>
    <t>Y</t>
  </si>
  <si>
    <t>R</t>
  </si>
  <si>
    <t>t1</t>
  </si>
  <si>
    <t>t2</t>
  </si>
  <si>
    <t>t3</t>
  </si>
  <si>
    <t>t4</t>
  </si>
  <si>
    <t>t5</t>
  </si>
  <si>
    <t>fazla kazı =</t>
  </si>
  <si>
    <t>püskürtme betonu =</t>
  </si>
  <si>
    <t>deformasyon =</t>
  </si>
  <si>
    <t>kaplama betonu =</t>
  </si>
  <si>
    <t>kazı ~ kaplama  =</t>
  </si>
  <si>
    <t>m</t>
  </si>
  <si>
    <t>keçe+membran =</t>
  </si>
  <si>
    <r>
      <t>açı (</t>
    </r>
    <r>
      <rPr>
        <sz val="8"/>
        <color theme="1"/>
        <rFont val="Symbol"/>
        <family val="1"/>
        <charset val="2"/>
      </rPr>
      <t>°</t>
    </r>
    <r>
      <rPr>
        <sz val="8"/>
        <color theme="1"/>
        <rFont val="Arial"/>
        <family val="2"/>
        <charset val="162"/>
      </rPr>
      <t>)</t>
    </r>
  </si>
  <si>
    <t>kaplama R (m)</t>
  </si>
  <si>
    <t>kazı R (m)</t>
  </si>
  <si>
    <r>
      <t xml:space="preserve">kazı alan  (m²)    ( </t>
    </r>
    <r>
      <rPr>
        <sz val="8"/>
        <color theme="1"/>
        <rFont val="Symbol"/>
        <family val="1"/>
        <charset val="2"/>
      </rPr>
      <t>p</t>
    </r>
    <r>
      <rPr>
        <sz val="8"/>
        <color theme="1"/>
        <rFont val="Arial"/>
        <family val="2"/>
        <charset val="162"/>
      </rPr>
      <t xml:space="preserve"> * R² * açı / 360 )</t>
    </r>
  </si>
  <si>
    <t>kazı alanı</t>
  </si>
  <si>
    <t>kazı alan hesabı</t>
  </si>
  <si>
    <t>Minha hesabı</t>
  </si>
  <si>
    <t>*</t>
  </si>
  <si>
    <t xml:space="preserve"> /</t>
  </si>
  <si>
    <t xml:space="preserve"> - [(</t>
  </si>
  <si>
    <t>+</t>
  </si>
  <si>
    <t>) /</t>
  </si>
  <si>
    <t xml:space="preserve"> - (</t>
  </si>
  <si>
    <t>] =</t>
  </si>
  <si>
    <t>m²</t>
  </si>
  <si>
    <t>=</t>
  </si>
  <si>
    <t>-</t>
  </si>
  <si>
    <t>kaplama / lining =</t>
  </si>
  <si>
    <t>püskürtme betonu ekseni =</t>
  </si>
  <si>
    <t>püskürtme beton eksen uzunluğu hesabı</t>
  </si>
  <si>
    <t>püskürtme beton eksen R (m)</t>
  </si>
  <si>
    <r>
      <t xml:space="preserve">püskürtme bet.eksen uzunluk  (m)
( 2 * </t>
    </r>
    <r>
      <rPr>
        <sz val="8"/>
        <color theme="1"/>
        <rFont val="Symbol"/>
        <family val="1"/>
        <charset val="2"/>
      </rPr>
      <t>p</t>
    </r>
    <r>
      <rPr>
        <sz val="8"/>
        <color theme="1"/>
        <rFont val="Arial"/>
        <family val="2"/>
        <charset val="162"/>
      </rPr>
      <t xml:space="preserve"> * R * açı / 360 )</t>
    </r>
  </si>
  <si>
    <t>püskürtme beton eksen uzunluğu (m)</t>
  </si>
  <si>
    <t>iç hasır çelik</t>
  </si>
  <si>
    <t>dış hasır çelik</t>
  </si>
  <si>
    <t>püskürtme beton</t>
  </si>
  <si>
    <t>HASIR ÇELİK HESABI</t>
  </si>
  <si>
    <t>iç hasır çelik ekseni =</t>
  </si>
  <si>
    <t>uzun boy</t>
  </si>
  <si>
    <t>kısa boy</t>
  </si>
  <si>
    <t>bindirme adedi =</t>
  </si>
  <si>
    <t>hasır çelik bindirme =</t>
  </si>
  <si>
    <t>adet</t>
  </si>
  <si>
    <t>hasır çelik ağırlığı =</t>
  </si>
  <si>
    <t>kg/m²</t>
  </si>
  <si>
    <t>kg</t>
  </si>
  <si>
    <t>toplam iç hasır çelik uzunluğu =</t>
  </si>
  <si>
    <t>toplam iç hasır çelik ağırlığı =</t>
  </si>
  <si>
    <t>iç hasır çelik eksen uzunluğu hesabı</t>
  </si>
  <si>
    <r>
      <t xml:space="preserve">iç hasır çelik eksen uzunluk  (m)
( 2 * </t>
    </r>
    <r>
      <rPr>
        <sz val="8"/>
        <color theme="1"/>
        <rFont val="Symbol"/>
        <family val="1"/>
        <charset val="2"/>
      </rPr>
      <t>p</t>
    </r>
    <r>
      <rPr>
        <sz val="8"/>
        <color theme="1"/>
        <rFont val="Arial"/>
        <family val="2"/>
        <charset val="162"/>
      </rPr>
      <t xml:space="preserve"> * R * açı / 360 )</t>
    </r>
  </si>
  <si>
    <t>iç hasır çelik eksen R (m)</t>
  </si>
  <si>
    <t>iç hasır çelik eksen uzunluğu (m)</t>
  </si>
  <si>
    <t>dış hasır çelik ekseni =</t>
  </si>
  <si>
    <t>toplam dış hasır çelik uzunluğu =</t>
  </si>
  <si>
    <t>toplam dış hasır çelik ağırlığı =</t>
  </si>
  <si>
    <t>dış hasır çelik eksen uzunluğu hesabı</t>
  </si>
  <si>
    <t>dış hasır çelik eksen R (m)</t>
  </si>
  <si>
    <r>
      <t xml:space="preserve">dış hasır çelik eksen uzunluk  (m)
( 2 * </t>
    </r>
    <r>
      <rPr>
        <sz val="8"/>
        <color theme="1"/>
        <rFont val="Symbol"/>
        <family val="1"/>
        <charset val="2"/>
      </rPr>
      <t>p</t>
    </r>
    <r>
      <rPr>
        <sz val="8"/>
        <color theme="1"/>
        <rFont val="Arial"/>
        <family val="2"/>
        <charset val="162"/>
      </rPr>
      <t xml:space="preserve"> * R * açı / 360 )</t>
    </r>
  </si>
  <si>
    <t>dış hasır çelik eksen uzunluğu (m)</t>
  </si>
  <si>
    <t>iksa aralık =</t>
  </si>
  <si>
    <t>(tünel kesitinde bindirme boyu)</t>
  </si>
  <si>
    <t>(tünel boyunca bindirme boyu)</t>
  </si>
  <si>
    <t>R (tünel kaplama iç yarıçapı)</t>
  </si>
  <si>
    <t>(her iksada bir tünel boyunca hasır çelik bindirmesi var.)</t>
  </si>
  <si>
    <t>tünel geometrisi</t>
  </si>
  <si>
    <t>keçe+membran ekseni =</t>
  </si>
  <si>
    <t>keçe+membran eksen R (m)</t>
  </si>
  <si>
    <r>
      <t xml:space="preserve">keçe+membran eksen uzunluk  (m)
( 2 * </t>
    </r>
    <r>
      <rPr>
        <sz val="8"/>
        <color theme="1"/>
        <rFont val="Symbol"/>
        <family val="1"/>
        <charset val="2"/>
      </rPr>
      <t>p</t>
    </r>
    <r>
      <rPr>
        <sz val="8"/>
        <color theme="1"/>
        <rFont val="Arial"/>
        <family val="2"/>
        <charset val="162"/>
      </rPr>
      <t xml:space="preserve"> * R * açı / 360 )</t>
    </r>
  </si>
  <si>
    <t>keçe+membran eksen uzunluğu (m)</t>
  </si>
  <si>
    <t>keçe+membran eksen uzunluğu hesabı</t>
  </si>
  <si>
    <t>keçe+membran eksen ~ kaplama =</t>
  </si>
  <si>
    <t>dış hasır çelik eksen ~ kaplama =</t>
  </si>
  <si>
    <t>iç hasır çelik eksen ~ kaplama =</t>
  </si>
  <si>
    <t>püskürtme eksen ~ kaplama =</t>
  </si>
  <si>
    <t>kaplama beton eksen uzunluğu hesabı</t>
  </si>
  <si>
    <t>kaplama beton eksen R (m)</t>
  </si>
  <si>
    <r>
      <t xml:space="preserve">kaplama bet.eksen uzunluk  (m)
( 2 * </t>
    </r>
    <r>
      <rPr>
        <sz val="8"/>
        <color theme="1"/>
        <rFont val="Symbol"/>
        <family val="1"/>
        <charset val="2"/>
      </rPr>
      <t>p</t>
    </r>
    <r>
      <rPr>
        <sz val="8"/>
        <color theme="1"/>
        <rFont val="Arial"/>
        <family val="2"/>
        <charset val="162"/>
      </rPr>
      <t xml:space="preserve"> * R * açı / 360 )</t>
    </r>
  </si>
  <si>
    <t>kaplama beton eksen uzunluğu (m)</t>
  </si>
  <si>
    <t>deformasyonun yarısı kaplama betonuna dahil edilsin mi ?</t>
  </si>
  <si>
    <t>evet</t>
  </si>
  <si>
    <t>dikkat sadece sarı hücrelere rakam giriniz.</t>
  </si>
  <si>
    <t>kullanılacak hasır çelik tabaka</t>
  </si>
  <si>
    <t>TÜNEL KESİTİ</t>
  </si>
  <si>
    <t>püskürtme beton kalınlığı</t>
  </si>
  <si>
    <t>keçe+membran kalınlığı</t>
  </si>
  <si>
    <t>kaplama (betonarme) betonu kalınlığı</t>
  </si>
  <si>
    <t>kazı kesiti kalınlıklar (m)</t>
  </si>
  <si>
    <t>deformasyon yarısı ekseni ilave</t>
  </si>
  <si>
    <t>(tünel aynası 3 yarı parçada açıldığından)</t>
  </si>
  <si>
    <t>m3</t>
  </si>
  <si>
    <t>(1 metre tünel için)</t>
  </si>
  <si>
    <t>fazla kazı kalınlığı</t>
  </si>
  <si>
    <t>deformasyon kalınlığı</t>
  </si>
  <si>
    <t>kaplama ekseni =</t>
  </si>
  <si>
    <t xml:space="preserve">   toplam hasır çelik miktarı =</t>
  </si>
  <si>
    <t>(1 m² ağırlığı)</t>
  </si>
  <si>
    <t>(bombelenme dikkate alınmamıştır.takribi % ilave edilebilir.)</t>
  </si>
  <si>
    <t>KAZI KESİTİ</t>
  </si>
  <si>
    <t>R tünel kaplama (betonarme) iç yüzeyi yarıçapıdır.</t>
  </si>
  <si>
    <t>iksa</t>
  </si>
  <si>
    <t>püskürtme beton en kesiti</t>
  </si>
  <si>
    <t xml:space="preserve"> toplam kaplama (betonarme betonu) hacmi =</t>
  </si>
  <si>
    <t>toplam keçe+membran alanı =</t>
  </si>
  <si>
    <t>toplam püskürtme beton hacmi =</t>
  </si>
  <si>
    <t>toplam kazı hacmi =</t>
  </si>
  <si>
    <t>PÜSKÜRTME BETON HACMİ HESABI</t>
  </si>
  <si>
    <t>KAZI HACMİ HESABI</t>
  </si>
  <si>
    <t>MEMBRAN ALAN HESABI</t>
  </si>
  <si>
    <t>KAPLAMA (BETONARME BETONU) HACMİ HESABI</t>
  </si>
  <si>
    <r>
      <rPr>
        <b/>
        <sz val="12"/>
        <color theme="9" tint="-0.499984740745262"/>
        <rFont val="Arial"/>
        <family val="2"/>
        <charset val="162"/>
      </rPr>
      <t>6 MERKEZLİ MAKAS TÜNELİ METRAJ HESABI</t>
    </r>
    <r>
      <rPr>
        <b/>
        <sz val="8"/>
        <color theme="9" tint="-0.499984740745262"/>
        <rFont val="Arial"/>
        <family val="2"/>
        <charset val="162"/>
      </rPr>
      <t xml:space="preserve">
(inş.müh. Gürcan BERBEROĞLU tel: 0532 366 02 04   www.betoncelik.com )</t>
    </r>
  </si>
  <si>
    <r>
      <rPr>
        <b/>
        <sz val="12"/>
        <color theme="9" tint="-0.499984740745262"/>
        <rFont val="Arial"/>
        <family val="2"/>
        <charset val="162"/>
      </rPr>
      <t>4 MERKEZLİ PERON TÜNELİ METRAJ HESABI</t>
    </r>
    <r>
      <rPr>
        <b/>
        <sz val="8"/>
        <color theme="9" tint="-0.499984740745262"/>
        <rFont val="Arial"/>
        <family val="2"/>
        <charset val="162"/>
      </rPr>
      <t xml:space="preserve">
(inş.müh. Gürcan BERBEROĞLU tel: 0532 366 02 04   www.betoncelik.com )</t>
    </r>
  </si>
  <si>
    <r>
      <rPr>
        <b/>
        <sz val="12"/>
        <color theme="9" tint="-0.499984740745262"/>
        <rFont val="Arial"/>
        <family val="2"/>
        <charset val="162"/>
      </rPr>
      <t>6 MERKEZLİ BAĞLANTI TÜNELİ METRAJ HESABI</t>
    </r>
    <r>
      <rPr>
        <b/>
        <sz val="8"/>
        <color theme="9" tint="-0.499984740745262"/>
        <rFont val="Arial"/>
        <family val="2"/>
        <charset val="162"/>
      </rPr>
      <t xml:space="preserve">
(inş.müh. Gürcan BERBEROĞLU tel: 0532 366 02 04   www.betoncelik.com )</t>
    </r>
  </si>
  <si>
    <t xml:space="preserve"> +[(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</si>
</sst>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000"/>
  </numFmts>
  <fonts count="12" x14ac:knownFonts="1">
    <font>
      <sz val="11"/>
      <color theme="1"/>
      <name val="Calibri"/>
      <family val="2"/>
      <charset val="162"/>
      <scheme val="minor"/>
    </font>
    <font>
      <sz val="8"/>
      <color theme="1"/>
      <name val="Arial"/>
      <family val="2"/>
      <charset val="162"/>
    </font>
    <font>
      <sz val="8"/>
      <color theme="1"/>
      <name val="Arial"/>
      <family val="2"/>
      <charset val="162"/>
    </font>
    <font>
      <sz val="8"/>
      <color theme="1"/>
      <name val="Symbol"/>
      <family val="1"/>
      <charset val="2"/>
    </font>
    <font>
      <b/>
      <u/>
      <sz val="8"/>
      <color rgb="FF0070C0"/>
      <name val="Arial"/>
      <family val="2"/>
      <charset val="162"/>
    </font>
    <font>
      <b/>
      <sz val="8"/>
      <color theme="1"/>
      <name val="Arial"/>
      <family val="2"/>
      <charset val="162"/>
    </font>
    <font>
      <sz val="9"/>
      <color theme="1"/>
      <name val="Calibri"/>
      <family val="2"/>
      <charset val="162"/>
      <scheme val="minor"/>
    </font>
    <font>
      <b/>
      <sz val="8"/>
      <color theme="9" tint="-0.499984740745262"/>
      <name val="Arial"/>
      <family val="2"/>
      <charset val="162"/>
    </font>
    <font>
      <b/>
      <sz val="12"/>
      <color theme="9" tint="-0.499984740745262"/>
      <name val="Arial"/>
      <family val="2"/>
      <charset val="162"/>
    </font>
    <font>
      <b/>
      <sz val="8"/>
      <color indexed="10"/>
      <name val="Arial"/>
      <family val="2"/>
      <charset val="162"/>
    </font>
    <font>
      <b/>
      <u/>
      <sz val="8"/>
      <color theme="1"/>
      <name val="Arial"/>
      <family val="2"/>
      <charset val="162"/>
    </font>
    <font>
      <u/>
      <sz val="8"/>
      <color theme="1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9" fillId="0" borderId="0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4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2" fillId="0" borderId="5" xfId="0" applyFont="1" applyBorder="1" applyAlignment="1" applyProtection="1">
      <alignment vertical="center"/>
      <protection hidden="1"/>
    </xf>
    <xf numFmtId="0" fontId="10" fillId="0" borderId="0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 textRotation="90"/>
      <protection hidden="1"/>
    </xf>
    <xf numFmtId="0" fontId="2" fillId="0" borderId="0" xfId="0" applyFont="1" applyBorder="1" applyAlignment="1" applyProtection="1">
      <alignment vertical="center" wrapText="1"/>
      <protection hidden="1"/>
    </xf>
    <xf numFmtId="0" fontId="2" fillId="0" borderId="23" xfId="0" applyFont="1" applyBorder="1" applyAlignment="1" applyProtection="1">
      <alignment vertical="center"/>
      <protection hidden="1"/>
    </xf>
    <xf numFmtId="0" fontId="2" fillId="0" borderId="22" xfId="0" applyFont="1" applyBorder="1" applyAlignment="1" applyProtection="1">
      <alignment vertical="center"/>
      <protection hidden="1"/>
    </xf>
    <xf numFmtId="0" fontId="2" fillId="0" borderId="18" xfId="0" applyFont="1" applyBorder="1" applyAlignment="1" applyProtection="1">
      <alignment vertical="center"/>
      <protection hidden="1"/>
    </xf>
    <xf numFmtId="0" fontId="2" fillId="0" borderId="21" xfId="0" applyFont="1" applyBorder="1" applyAlignment="1" applyProtection="1">
      <alignment vertical="center"/>
      <protection hidden="1"/>
    </xf>
    <xf numFmtId="0" fontId="2" fillId="0" borderId="19" xfId="0" applyFont="1" applyBorder="1" applyAlignment="1" applyProtection="1">
      <alignment vertical="center"/>
      <protection hidden="1"/>
    </xf>
    <xf numFmtId="0" fontId="2" fillId="0" borderId="20" xfId="0" applyFont="1" applyBorder="1" applyAlignment="1" applyProtection="1">
      <alignment vertical="center"/>
      <protection hidden="1"/>
    </xf>
    <xf numFmtId="0" fontId="4" fillId="0" borderId="0" xfId="0" applyFont="1" applyBorder="1" applyAlignment="1" applyProtection="1">
      <alignment vertical="center"/>
      <protection hidden="1"/>
    </xf>
    <xf numFmtId="2" fontId="2" fillId="0" borderId="0" xfId="0" applyNumberFormat="1" applyFont="1" applyBorder="1" applyAlignment="1" applyProtection="1">
      <alignment vertical="center"/>
      <protection hidden="1"/>
    </xf>
    <xf numFmtId="0" fontId="2" fillId="0" borderId="0" xfId="0" applyNumberFormat="1" applyFont="1" applyBorder="1" applyAlignment="1" applyProtection="1">
      <alignment vertical="center"/>
      <protection hidden="1"/>
    </xf>
    <xf numFmtId="164" fontId="2" fillId="0" borderId="0" xfId="0" applyNumberFormat="1" applyFont="1" applyBorder="1" applyAlignment="1" applyProtection="1">
      <alignment vertical="center"/>
      <protection hidden="1"/>
    </xf>
    <xf numFmtId="2" fontId="2" fillId="0" borderId="5" xfId="0" applyNumberFormat="1" applyFont="1" applyBorder="1" applyAlignment="1" applyProtection="1">
      <alignment vertical="center"/>
      <protection hidden="1"/>
    </xf>
    <xf numFmtId="2" fontId="5" fillId="0" borderId="0" xfId="0" applyNumberFormat="1" applyFont="1" applyBorder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2" fillId="0" borderId="0" xfId="0" applyFont="1" applyBorder="1" applyProtection="1">
      <protection hidden="1"/>
    </xf>
    <xf numFmtId="0" fontId="2" fillId="0" borderId="5" xfId="0" applyFont="1" applyBorder="1" applyProtection="1">
      <protection hidden="1"/>
    </xf>
    <xf numFmtId="0" fontId="5" fillId="0" borderId="0" xfId="0" applyFont="1" applyAlignment="1" applyProtection="1">
      <alignment vertical="center"/>
      <protection hidden="1"/>
    </xf>
    <xf numFmtId="0" fontId="6" fillId="0" borderId="0" xfId="0" applyFont="1" applyBorder="1" applyProtection="1">
      <protection hidden="1"/>
    </xf>
    <xf numFmtId="0" fontId="6" fillId="0" borderId="0" xfId="0" applyFont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protection hidden="1"/>
    </xf>
    <xf numFmtId="0" fontId="5" fillId="0" borderId="0" xfId="0" applyFont="1" applyBorder="1" applyAlignment="1" applyProtection="1">
      <alignment vertical="center"/>
      <protection hidden="1"/>
    </xf>
    <xf numFmtId="0" fontId="2" fillId="0" borderId="6" xfId="0" applyFont="1" applyBorder="1" applyAlignment="1" applyProtection="1">
      <alignment vertical="center"/>
      <protection hidden="1"/>
    </xf>
    <xf numFmtId="0" fontId="2" fillId="0" borderId="7" xfId="0" applyFont="1" applyBorder="1" applyAlignment="1" applyProtection="1">
      <alignment vertical="center"/>
      <protection hidden="1"/>
    </xf>
    <xf numFmtId="0" fontId="2" fillId="0" borderId="8" xfId="0" applyFont="1" applyBorder="1" applyAlignment="1" applyProtection="1">
      <alignment vertical="center"/>
      <protection hidden="1"/>
    </xf>
    <xf numFmtId="0" fontId="11" fillId="0" borderId="0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164" fontId="2" fillId="0" borderId="0" xfId="0" applyNumberFormat="1" applyFont="1" applyBorder="1" applyAlignment="1" applyProtection="1">
      <alignment horizontal="center" vertical="center"/>
      <protection hidden="1"/>
    </xf>
    <xf numFmtId="2" fontId="2" fillId="0" borderId="4" xfId="0" applyNumberFormat="1" applyFont="1" applyBorder="1" applyAlignment="1" applyProtection="1">
      <alignment horizontal="center" vertical="center"/>
      <protection hidden="1"/>
    </xf>
    <xf numFmtId="2" fontId="2" fillId="0" borderId="0" xfId="0" applyNumberFormat="1" applyFont="1" applyBorder="1" applyAlignment="1" applyProtection="1">
      <alignment horizontal="center" vertical="center"/>
      <protection hidden="1"/>
    </xf>
    <xf numFmtId="0" fontId="2" fillId="0" borderId="0" xfId="0" applyNumberFormat="1" applyFont="1" applyBorder="1" applyAlignment="1" applyProtection="1">
      <alignment horizontal="center" vertical="center"/>
      <protection hidden="1"/>
    </xf>
    <xf numFmtId="164" fontId="5" fillId="0" borderId="0" xfId="0" applyNumberFormat="1" applyFont="1" applyBorder="1" applyAlignment="1" applyProtection="1">
      <alignment horizontal="center" vertical="center"/>
      <protection hidden="1"/>
    </xf>
    <xf numFmtId="2" fontId="2" fillId="0" borderId="24" xfId="0" applyNumberFormat="1" applyFont="1" applyBorder="1" applyAlignment="1" applyProtection="1">
      <alignment vertical="center"/>
      <protection hidden="1"/>
    </xf>
    <xf numFmtId="0" fontId="2" fillId="0" borderId="24" xfId="0" applyNumberFormat="1" applyFont="1" applyBorder="1" applyAlignment="1" applyProtection="1">
      <alignment vertical="center"/>
      <protection hidden="1"/>
    </xf>
    <xf numFmtId="164" fontId="2" fillId="0" borderId="24" xfId="0" applyNumberFormat="1" applyFont="1" applyBorder="1" applyAlignment="1" applyProtection="1">
      <alignment vertical="center"/>
      <protection hidden="1"/>
    </xf>
    <xf numFmtId="0" fontId="2" fillId="0" borderId="4" xfId="0" applyFont="1" applyBorder="1" applyAlignment="1" applyProtection="1">
      <alignment vertical="center" textRotation="90"/>
      <protection hidden="1"/>
    </xf>
    <xf numFmtId="165" fontId="2" fillId="0" borderId="0" xfId="0" applyNumberFormat="1" applyFont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locked="0"/>
    </xf>
    <xf numFmtId="164" fontId="2" fillId="0" borderId="19" xfId="0" applyNumberFormat="1" applyFont="1" applyBorder="1" applyAlignment="1" applyProtection="1">
      <alignment horizontal="center" vertical="center"/>
      <protection hidden="1"/>
    </xf>
    <xf numFmtId="164" fontId="2" fillId="0" borderId="20" xfId="0" applyNumberFormat="1" applyFont="1" applyBorder="1" applyAlignment="1" applyProtection="1">
      <alignment horizontal="center" vertical="center"/>
      <protection hidden="1"/>
    </xf>
    <xf numFmtId="164" fontId="2" fillId="0" borderId="21" xfId="0" applyNumberFormat="1" applyFont="1" applyBorder="1" applyAlignment="1" applyProtection="1">
      <alignment horizontal="center" vertical="center"/>
      <protection hidden="1"/>
    </xf>
    <xf numFmtId="164" fontId="2" fillId="0" borderId="0" xfId="0" applyNumberFormat="1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center" wrapText="1"/>
      <protection hidden="1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0" borderId="9" xfId="0" applyNumberFormat="1" applyFont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horizontal="center" vertical="center" wrapText="1"/>
      <protection hidden="1"/>
    </xf>
    <xf numFmtId="0" fontId="2" fillId="0" borderId="16" xfId="0" applyFont="1" applyBorder="1" applyAlignment="1" applyProtection="1">
      <alignment horizontal="center" vertical="center" wrapText="1"/>
      <protection hidden="1"/>
    </xf>
    <xf numFmtId="0" fontId="2" fillId="0" borderId="13" xfId="0" applyFont="1" applyBorder="1" applyAlignment="1" applyProtection="1">
      <alignment horizontal="center" vertical="center" wrapText="1"/>
      <protection hidden="1"/>
    </xf>
    <xf numFmtId="0" fontId="2" fillId="0" borderId="22" xfId="0" applyFont="1" applyBorder="1" applyAlignment="1" applyProtection="1">
      <alignment horizontal="center" vertical="center" wrapText="1"/>
      <protection hidden="1"/>
    </xf>
    <xf numFmtId="0" fontId="2" fillId="0" borderId="18" xfId="0" applyFont="1" applyBorder="1" applyAlignment="1" applyProtection="1">
      <alignment horizontal="center" vertical="center" wrapText="1"/>
      <protection hidden="1"/>
    </xf>
    <xf numFmtId="0" fontId="2" fillId="0" borderId="23" xfId="0" applyFont="1" applyBorder="1" applyAlignment="1" applyProtection="1">
      <alignment horizontal="center" vertical="center" wrapText="1"/>
      <protection hidden="1"/>
    </xf>
    <xf numFmtId="164" fontId="2" fillId="0" borderId="9" xfId="0" applyNumberFormat="1" applyFont="1" applyBorder="1" applyAlignment="1" applyProtection="1">
      <alignment horizontal="center" vertical="center"/>
      <protection hidden="1"/>
    </xf>
    <xf numFmtId="0" fontId="2" fillId="0" borderId="11" xfId="0" applyNumberFormat="1" applyFont="1" applyBorder="1" applyAlignment="1" applyProtection="1">
      <alignment horizontal="center" vertical="center"/>
      <protection hidden="1"/>
    </xf>
    <xf numFmtId="0" fontId="2" fillId="0" borderId="18" xfId="0" applyFont="1" applyBorder="1" applyAlignment="1" applyProtection="1">
      <alignment horizontal="center" vertical="center"/>
      <protection hidden="1"/>
    </xf>
    <xf numFmtId="164" fontId="5" fillId="0" borderId="0" xfId="0" applyNumberFormat="1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2" fillId="0" borderId="14" xfId="0" applyFont="1" applyBorder="1" applyAlignment="1" applyProtection="1">
      <alignment horizontal="center" vertical="center" wrapText="1"/>
      <protection hidden="1"/>
    </xf>
    <xf numFmtId="0" fontId="2" fillId="0" borderId="17" xfId="0" applyFont="1" applyBorder="1" applyAlignment="1" applyProtection="1">
      <alignment horizontal="center" vertical="center" wrapText="1"/>
      <protection hidden="1"/>
    </xf>
    <xf numFmtId="0" fontId="2" fillId="0" borderId="15" xfId="0" applyFont="1" applyBorder="1" applyAlignment="1" applyProtection="1">
      <alignment horizontal="center" vertical="center" wrapText="1"/>
      <protection hidden="1"/>
    </xf>
    <xf numFmtId="2" fontId="2" fillId="0" borderId="12" xfId="0" applyNumberFormat="1" applyFont="1" applyBorder="1" applyAlignment="1" applyProtection="1">
      <alignment horizontal="center" vertical="center"/>
      <protection hidden="1"/>
    </xf>
    <xf numFmtId="2" fontId="2" fillId="0" borderId="16" xfId="0" applyNumberFormat="1" applyFont="1" applyBorder="1" applyAlignment="1" applyProtection="1">
      <alignment horizontal="center" vertical="center"/>
      <protection hidden="1"/>
    </xf>
    <xf numFmtId="2" fontId="2" fillId="0" borderId="13" xfId="0" applyNumberFormat="1" applyFont="1" applyBorder="1" applyAlignment="1" applyProtection="1">
      <alignment horizontal="center" vertical="center"/>
      <protection hidden="1"/>
    </xf>
    <xf numFmtId="2" fontId="2" fillId="0" borderId="14" xfId="0" applyNumberFormat="1" applyFont="1" applyBorder="1" applyAlignment="1" applyProtection="1">
      <alignment horizontal="center" vertical="center"/>
      <protection hidden="1"/>
    </xf>
    <xf numFmtId="2" fontId="2" fillId="0" borderId="17" xfId="0" applyNumberFormat="1" applyFont="1" applyBorder="1" applyAlignment="1" applyProtection="1">
      <alignment horizontal="center" vertical="center"/>
      <protection hidden="1"/>
    </xf>
    <xf numFmtId="2" fontId="2" fillId="0" borderId="15" xfId="0" applyNumberFormat="1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2" fontId="6" fillId="2" borderId="0" xfId="0" applyNumberFormat="1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 vertical="center" textRotation="90"/>
      <protection hidden="1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hidden="1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hidden="1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horizontal="center" vertical="center"/>
      <protection hidden="1"/>
    </xf>
    <xf numFmtId="0" fontId="2" fillId="0" borderId="9" xfId="0" applyFont="1" applyBorder="1" applyAlignment="1" applyProtection="1">
      <alignment horizontal="center" vertical="center" wrapText="1"/>
      <protection hidden="1"/>
    </xf>
    <xf numFmtId="0" fontId="2" fillId="0" borderId="10" xfId="0" applyFont="1" applyBorder="1" applyAlignment="1" applyProtection="1">
      <alignment horizontal="center" vertical="center" wrapText="1"/>
      <protection hidden="1"/>
    </xf>
    <xf numFmtId="0" fontId="2" fillId="0" borderId="11" xfId="0" applyFont="1" applyFill="1" applyBorder="1" applyAlignment="1" applyProtection="1">
      <alignment horizontal="center" vertical="center"/>
      <protection hidden="1"/>
    </xf>
    <xf numFmtId="0" fontId="7" fillId="3" borderId="1" xfId="0" applyFont="1" applyFill="1" applyBorder="1" applyAlignment="1" applyProtection="1">
      <alignment horizontal="center" vertical="center" wrapText="1"/>
      <protection hidden="1"/>
    </xf>
    <xf numFmtId="0" fontId="7" fillId="3" borderId="2" xfId="0" applyFont="1" applyFill="1" applyBorder="1" applyAlignment="1" applyProtection="1">
      <alignment horizontal="center" vertical="center"/>
      <protection hidden="1"/>
    </xf>
    <xf numFmtId="0" fontId="7" fillId="3" borderId="3" xfId="0" applyFont="1" applyFill="1" applyBorder="1" applyAlignment="1" applyProtection="1">
      <alignment horizontal="center" vertical="center"/>
      <protection hidden="1"/>
    </xf>
    <xf numFmtId="0" fontId="2" fillId="0" borderId="11" xfId="0" applyFont="1" applyBorder="1" applyAlignment="1" applyProtection="1">
      <alignment horizontal="center" vertical="center"/>
      <protection hidden="1"/>
    </xf>
    <xf numFmtId="0" fontId="2" fillId="0" borderId="22" xfId="0" applyFont="1" applyBorder="1" applyAlignment="1" applyProtection="1">
      <alignment horizontal="center" vertical="center"/>
      <protection hidden="1"/>
    </xf>
    <xf numFmtId="0" fontId="2" fillId="0" borderId="19" xfId="0" applyFont="1" applyBorder="1" applyAlignment="1" applyProtection="1">
      <alignment horizontal="center" vertical="center"/>
      <protection hidden="1"/>
    </xf>
    <xf numFmtId="0" fontId="2" fillId="0" borderId="20" xfId="0" applyFont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0" fontId="2" fillId="0" borderId="16" xfId="0" applyFont="1" applyBorder="1" applyAlignment="1" applyProtection="1">
      <alignment horizontal="center" vertical="center"/>
      <protection hidden="1"/>
    </xf>
    <xf numFmtId="0" fontId="2" fillId="0" borderId="13" xfId="0" applyFont="1" applyBorder="1" applyAlignment="1" applyProtection="1">
      <alignment horizontal="center" vertical="center"/>
      <protection hidden="1"/>
    </xf>
    <xf numFmtId="0" fontId="2" fillId="0" borderId="14" xfId="0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2" fontId="2" fillId="0" borderId="4" xfId="0" applyNumberFormat="1" applyFont="1" applyBorder="1" applyAlignment="1" applyProtection="1">
      <alignment horizontal="center" vertical="center"/>
      <protection hidden="1"/>
    </xf>
    <xf numFmtId="2" fontId="2" fillId="0" borderId="0" xfId="0" applyNumberFormat="1" applyFont="1" applyBorder="1" applyAlignment="1" applyProtection="1">
      <alignment horizontal="center" vertical="center"/>
      <protection hidden="1"/>
    </xf>
    <xf numFmtId="0" fontId="2" fillId="0" borderId="0" xfId="0" applyNumberFormat="1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 vertical="center" textRotation="90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</xdr:colOff>
      <xdr:row>74</xdr:row>
      <xdr:rowOff>7620</xdr:rowOff>
    </xdr:from>
    <xdr:to>
      <xdr:col>16</xdr:col>
      <xdr:colOff>182880</xdr:colOff>
      <xdr:row>83</xdr:row>
      <xdr:rowOff>15240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356360" y="10256520"/>
          <a:ext cx="1874520" cy="1181100"/>
        </a:xfrm>
        <a:prstGeom prst="rect">
          <a:avLst/>
        </a:prstGeom>
        <a:solidFill>
          <a:schemeClr val="bg1">
            <a:lumMod val="85000"/>
          </a:schemeClr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7</xdr:col>
      <xdr:colOff>106680</xdr:colOff>
      <xdr:row>75</xdr:row>
      <xdr:rowOff>125730</xdr:rowOff>
    </xdr:from>
    <xdr:to>
      <xdr:col>16</xdr:col>
      <xdr:colOff>60960</xdr:colOff>
      <xdr:row>75</xdr:row>
      <xdr:rowOff>125730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1440180" y="10504170"/>
          <a:ext cx="1668780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22860</xdr:colOff>
      <xdr:row>75</xdr:row>
      <xdr:rowOff>49530</xdr:rowOff>
    </xdr:from>
    <xdr:to>
      <xdr:col>8</xdr:col>
      <xdr:colOff>80010</xdr:colOff>
      <xdr:row>75</xdr:row>
      <xdr:rowOff>106680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546860" y="10427970"/>
          <a:ext cx="57150" cy="57150"/>
        </a:xfrm>
        <a:prstGeom prst="ellipse">
          <a:avLst/>
        </a:prstGeom>
        <a:solidFill>
          <a:schemeClr val="tx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9</xdr:col>
      <xdr:colOff>182880</xdr:colOff>
      <xdr:row>75</xdr:row>
      <xdr:rowOff>49530</xdr:rowOff>
    </xdr:from>
    <xdr:to>
      <xdr:col>10</xdr:col>
      <xdr:colOff>49530</xdr:colOff>
      <xdr:row>75</xdr:row>
      <xdr:rowOff>106680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897380" y="10427970"/>
          <a:ext cx="57150" cy="57150"/>
        </a:xfrm>
        <a:prstGeom prst="ellipse">
          <a:avLst/>
        </a:prstGeom>
        <a:solidFill>
          <a:schemeClr val="tx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11</xdr:col>
      <xdr:colOff>140970</xdr:colOff>
      <xdr:row>75</xdr:row>
      <xdr:rowOff>49530</xdr:rowOff>
    </xdr:from>
    <xdr:to>
      <xdr:col>12</xdr:col>
      <xdr:colOff>7620</xdr:colOff>
      <xdr:row>75</xdr:row>
      <xdr:rowOff>106680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2236470" y="10427970"/>
          <a:ext cx="57150" cy="57150"/>
        </a:xfrm>
        <a:prstGeom prst="ellipse">
          <a:avLst/>
        </a:prstGeom>
        <a:solidFill>
          <a:schemeClr val="tx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13</xdr:col>
      <xdr:colOff>125730</xdr:colOff>
      <xdr:row>75</xdr:row>
      <xdr:rowOff>49530</xdr:rowOff>
    </xdr:from>
    <xdr:to>
      <xdr:col>13</xdr:col>
      <xdr:colOff>182880</xdr:colOff>
      <xdr:row>75</xdr:row>
      <xdr:rowOff>106680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2602230" y="10427970"/>
          <a:ext cx="57150" cy="57150"/>
        </a:xfrm>
        <a:prstGeom prst="ellipse">
          <a:avLst/>
        </a:prstGeom>
        <a:solidFill>
          <a:schemeClr val="tx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15</xdr:col>
      <xdr:colOff>83820</xdr:colOff>
      <xdr:row>75</xdr:row>
      <xdr:rowOff>49530</xdr:rowOff>
    </xdr:from>
    <xdr:to>
      <xdr:col>15</xdr:col>
      <xdr:colOff>140970</xdr:colOff>
      <xdr:row>75</xdr:row>
      <xdr:rowOff>106680</xdr:rowOff>
    </xdr:to>
    <xdr:sp macro="" textlink="">
      <xdr:nvSpPr>
        <xdr:cNvPr id="13" name="Oval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2941320" y="10427970"/>
          <a:ext cx="57150" cy="57150"/>
        </a:xfrm>
        <a:prstGeom prst="ellipse">
          <a:avLst/>
        </a:prstGeom>
        <a:solidFill>
          <a:schemeClr val="tx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7</xdr:col>
      <xdr:colOff>95250</xdr:colOff>
      <xdr:row>81</xdr:row>
      <xdr:rowOff>0</xdr:rowOff>
    </xdr:from>
    <xdr:to>
      <xdr:col>16</xdr:col>
      <xdr:colOff>49530</xdr:colOff>
      <xdr:row>81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1428750" y="11163300"/>
          <a:ext cx="1668780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15240</xdr:colOff>
      <xdr:row>81</xdr:row>
      <xdr:rowOff>15240</xdr:rowOff>
    </xdr:from>
    <xdr:to>
      <xdr:col>8</xdr:col>
      <xdr:colOff>72390</xdr:colOff>
      <xdr:row>81</xdr:row>
      <xdr:rowOff>72390</xdr:rowOff>
    </xdr:to>
    <xdr:sp macro="" textlink="">
      <xdr:nvSpPr>
        <xdr:cNvPr id="15" name="Oval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539240" y="11178540"/>
          <a:ext cx="57150" cy="57150"/>
        </a:xfrm>
        <a:prstGeom prst="ellipse">
          <a:avLst/>
        </a:prstGeom>
        <a:solidFill>
          <a:schemeClr val="tx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9</xdr:col>
      <xdr:colOff>175260</xdr:colOff>
      <xdr:row>81</xdr:row>
      <xdr:rowOff>15240</xdr:rowOff>
    </xdr:from>
    <xdr:to>
      <xdr:col>10</xdr:col>
      <xdr:colOff>41910</xdr:colOff>
      <xdr:row>81</xdr:row>
      <xdr:rowOff>72390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889760" y="11178540"/>
          <a:ext cx="57150" cy="57150"/>
        </a:xfrm>
        <a:prstGeom prst="ellipse">
          <a:avLst/>
        </a:prstGeom>
        <a:solidFill>
          <a:schemeClr val="tx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11</xdr:col>
      <xdr:colOff>133350</xdr:colOff>
      <xdr:row>81</xdr:row>
      <xdr:rowOff>15240</xdr:rowOff>
    </xdr:from>
    <xdr:to>
      <xdr:col>12</xdr:col>
      <xdr:colOff>0</xdr:colOff>
      <xdr:row>81</xdr:row>
      <xdr:rowOff>72390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2228850" y="11178540"/>
          <a:ext cx="57150" cy="57150"/>
        </a:xfrm>
        <a:prstGeom prst="ellipse">
          <a:avLst/>
        </a:prstGeom>
        <a:solidFill>
          <a:schemeClr val="tx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13</xdr:col>
      <xdr:colOff>118110</xdr:colOff>
      <xdr:row>81</xdr:row>
      <xdr:rowOff>15240</xdr:rowOff>
    </xdr:from>
    <xdr:to>
      <xdr:col>13</xdr:col>
      <xdr:colOff>175260</xdr:colOff>
      <xdr:row>81</xdr:row>
      <xdr:rowOff>72390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2594610" y="11178540"/>
          <a:ext cx="57150" cy="57150"/>
        </a:xfrm>
        <a:prstGeom prst="ellipse">
          <a:avLst/>
        </a:prstGeom>
        <a:solidFill>
          <a:schemeClr val="tx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15</xdr:col>
      <xdr:colOff>76200</xdr:colOff>
      <xdr:row>81</xdr:row>
      <xdr:rowOff>15240</xdr:rowOff>
    </xdr:from>
    <xdr:to>
      <xdr:col>15</xdr:col>
      <xdr:colOff>133350</xdr:colOff>
      <xdr:row>81</xdr:row>
      <xdr:rowOff>72390</xdr:rowOff>
    </xdr:to>
    <xdr:sp macro="" textlink="">
      <xdr:nvSpPr>
        <xdr:cNvPr id="19" name="Oval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2933700" y="11178540"/>
          <a:ext cx="57150" cy="57150"/>
        </a:xfrm>
        <a:prstGeom prst="ellipse">
          <a:avLst/>
        </a:prstGeom>
        <a:solidFill>
          <a:schemeClr val="tx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17</xdr:col>
      <xdr:colOff>53340</xdr:colOff>
      <xdr:row>76</xdr:row>
      <xdr:rowOff>3810</xdr:rowOff>
    </xdr:from>
    <xdr:to>
      <xdr:col>19</xdr:col>
      <xdr:colOff>57150</xdr:colOff>
      <xdr:row>76</xdr:row>
      <xdr:rowOff>3810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3291840" y="10511790"/>
          <a:ext cx="38481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53340</xdr:colOff>
      <xdr:row>74</xdr:row>
      <xdr:rowOff>0</xdr:rowOff>
    </xdr:from>
    <xdr:to>
      <xdr:col>21</xdr:col>
      <xdr:colOff>53340</xdr:colOff>
      <xdr:row>74</xdr:row>
      <xdr:rowOff>0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3291840" y="10248900"/>
          <a:ext cx="762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74</xdr:row>
      <xdr:rowOff>3810</xdr:rowOff>
    </xdr:from>
    <xdr:to>
      <xdr:col>19</xdr:col>
      <xdr:colOff>0</xdr:colOff>
      <xdr:row>76</xdr:row>
      <xdr:rowOff>0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>
          <a:off x="3619500" y="10252710"/>
          <a:ext cx="0" cy="255270"/>
        </a:xfrm>
        <a:prstGeom prst="line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60960</xdr:colOff>
      <xdr:row>83</xdr:row>
      <xdr:rowOff>0</xdr:rowOff>
    </xdr:from>
    <xdr:to>
      <xdr:col>21</xdr:col>
      <xdr:colOff>76200</xdr:colOff>
      <xdr:row>83</xdr:row>
      <xdr:rowOff>0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>
          <a:off x="3299460" y="11422380"/>
          <a:ext cx="77724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80</xdr:row>
      <xdr:rowOff>137160</xdr:rowOff>
    </xdr:from>
    <xdr:to>
      <xdr:col>19</xdr:col>
      <xdr:colOff>0</xdr:colOff>
      <xdr:row>83</xdr:row>
      <xdr:rowOff>3810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/>
      </xdr:nvCxnSpPr>
      <xdr:spPr>
        <a:xfrm>
          <a:off x="3619500" y="10927080"/>
          <a:ext cx="0" cy="278130"/>
        </a:xfrm>
        <a:prstGeom prst="line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76</xdr:row>
      <xdr:rowOff>3810</xdr:rowOff>
    </xdr:from>
    <xdr:to>
      <xdr:col>19</xdr:col>
      <xdr:colOff>0</xdr:colOff>
      <xdr:row>80</xdr:row>
      <xdr:rowOff>125730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/>
      </xdr:nvCxnSpPr>
      <xdr:spPr>
        <a:xfrm>
          <a:off x="3619500" y="10511790"/>
          <a:ext cx="0" cy="647700"/>
        </a:xfrm>
        <a:prstGeom prst="line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53340</xdr:colOff>
      <xdr:row>81</xdr:row>
      <xdr:rowOff>0</xdr:rowOff>
    </xdr:from>
    <xdr:to>
      <xdr:col>19</xdr:col>
      <xdr:colOff>57150</xdr:colOff>
      <xdr:row>81</xdr:row>
      <xdr:rowOff>0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CxnSpPr/>
      </xdr:nvCxnSpPr>
      <xdr:spPr>
        <a:xfrm>
          <a:off x="3291840" y="11163300"/>
          <a:ext cx="38481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186690</xdr:colOff>
      <xdr:row>73</xdr:row>
      <xdr:rowOff>125730</xdr:rowOff>
    </xdr:from>
    <xdr:to>
      <xdr:col>20</xdr:col>
      <xdr:colOff>186690</xdr:colOff>
      <xdr:row>83</xdr:row>
      <xdr:rowOff>0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>
          <a:off x="3996690" y="10245090"/>
          <a:ext cx="0" cy="1177290"/>
        </a:xfrm>
        <a:prstGeom prst="line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68580</xdr:colOff>
      <xdr:row>83</xdr:row>
      <xdr:rowOff>11430</xdr:rowOff>
    </xdr:from>
    <xdr:to>
      <xdr:col>11</xdr:col>
      <xdr:colOff>68580</xdr:colOff>
      <xdr:row>84</xdr:row>
      <xdr:rowOff>125730</xdr:rowOff>
    </xdr:to>
    <xdr:cxnSp macro="">
      <xdr:nvCxnSpPr>
        <xdr:cNvPr id="40" name="Straight Arrow Connector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CxnSpPr/>
      </xdr:nvCxnSpPr>
      <xdr:spPr>
        <a:xfrm flipV="1">
          <a:off x="2164080" y="11433810"/>
          <a:ext cx="0" cy="24384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160020</xdr:colOff>
      <xdr:row>81</xdr:row>
      <xdr:rowOff>3810</xdr:rowOff>
    </xdr:from>
    <xdr:to>
      <xdr:col>9</xdr:col>
      <xdr:colOff>22860</xdr:colOff>
      <xdr:row>84</xdr:row>
      <xdr:rowOff>19050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CxnSpPr/>
      </xdr:nvCxnSpPr>
      <xdr:spPr>
        <a:xfrm flipV="1">
          <a:off x="1303020" y="11167110"/>
          <a:ext cx="434340" cy="4038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38100</xdr:colOff>
      <xdr:row>74</xdr:row>
      <xdr:rowOff>0</xdr:rowOff>
    </xdr:from>
    <xdr:to>
      <xdr:col>9</xdr:col>
      <xdr:colOff>60960</xdr:colOff>
      <xdr:row>75</xdr:row>
      <xdr:rowOff>118110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CxnSpPr/>
      </xdr:nvCxnSpPr>
      <xdr:spPr>
        <a:xfrm flipH="1" flipV="1">
          <a:off x="1181100" y="10005060"/>
          <a:ext cx="594360" cy="2476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53340</xdr:colOff>
      <xdr:row>77</xdr:row>
      <xdr:rowOff>19050</xdr:rowOff>
    </xdr:from>
    <xdr:to>
      <xdr:col>8</xdr:col>
      <xdr:colOff>30480</xdr:colOff>
      <xdr:row>78</xdr:row>
      <xdr:rowOff>30480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CxnSpPr/>
      </xdr:nvCxnSpPr>
      <xdr:spPr>
        <a:xfrm flipH="1" flipV="1">
          <a:off x="1005840" y="10420350"/>
          <a:ext cx="548640" cy="14097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27</xdr:col>
      <xdr:colOff>91979</xdr:colOff>
      <xdr:row>10</xdr:row>
      <xdr:rowOff>76200</xdr:rowOff>
    </xdr:from>
    <xdr:to>
      <xdr:col>44</xdr:col>
      <xdr:colOff>151861</xdr:colOff>
      <xdr:row>36</xdr:row>
      <xdr:rowOff>38100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514" t="5926" r="38730" b="13827"/>
        <a:stretch/>
      </xdr:blipFill>
      <xdr:spPr bwMode="auto">
        <a:xfrm>
          <a:off x="5235479" y="1973580"/>
          <a:ext cx="3298382" cy="3360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129540</xdr:colOff>
      <xdr:row>76</xdr:row>
      <xdr:rowOff>3742</xdr:rowOff>
    </xdr:from>
    <xdr:to>
      <xdr:col>14</xdr:col>
      <xdr:colOff>19050</xdr:colOff>
      <xdr:row>80</xdr:row>
      <xdr:rowOff>133418</xdr:rowOff>
    </xdr:to>
    <xdr:sp macro="" textlink="">
      <xdr:nvSpPr>
        <xdr:cNvPr id="4" name="Isosceles Tri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844040" y="10267882"/>
          <a:ext cx="842010" cy="655456"/>
        </a:xfrm>
        <a:prstGeom prst="triangle">
          <a:avLst/>
        </a:prstGeom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160020</xdr:colOff>
      <xdr:row>78</xdr:row>
      <xdr:rowOff>64770</xdr:rowOff>
    </xdr:from>
    <xdr:to>
      <xdr:col>10</xdr:col>
      <xdr:colOff>149543</xdr:colOff>
      <xdr:row>80</xdr:row>
      <xdr:rowOff>83820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>
          <a:stCxn id="4" idx="1"/>
        </xdr:cNvCxnSpPr>
      </xdr:nvCxnSpPr>
      <xdr:spPr>
        <a:xfrm flipH="1">
          <a:off x="922020" y="10595610"/>
          <a:ext cx="1132523" cy="27813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100791</xdr:colOff>
      <xdr:row>5</xdr:row>
      <xdr:rowOff>68580</xdr:rowOff>
    </xdr:from>
    <xdr:to>
      <xdr:col>27</xdr:col>
      <xdr:colOff>135429</xdr:colOff>
      <xdr:row>37</xdr:row>
      <xdr:rowOff>114300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772" t="25925" r="46772" b="19753"/>
        <a:stretch/>
      </xdr:blipFill>
      <xdr:spPr bwMode="auto">
        <a:xfrm>
          <a:off x="481791" y="1059180"/>
          <a:ext cx="4797138" cy="422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121920</xdr:colOff>
      <xdr:row>146</xdr:row>
      <xdr:rowOff>53340</xdr:rowOff>
    </xdr:from>
    <xdr:to>
      <xdr:col>45</xdr:col>
      <xdr:colOff>827</xdr:colOff>
      <xdr:row>172</xdr:row>
      <xdr:rowOff>22860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514" t="5926" r="38730" b="13827"/>
        <a:stretch/>
      </xdr:blipFill>
      <xdr:spPr bwMode="auto">
        <a:xfrm>
          <a:off x="5265420" y="19354800"/>
          <a:ext cx="3298382" cy="3360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22860</xdr:colOff>
      <xdr:row>206</xdr:row>
      <xdr:rowOff>7620</xdr:rowOff>
    </xdr:from>
    <xdr:to>
      <xdr:col>16</xdr:col>
      <xdr:colOff>182880</xdr:colOff>
      <xdr:row>215</xdr:row>
      <xdr:rowOff>15240</xdr:rowOff>
    </xdr:to>
    <xdr:sp macro="" textlink="">
      <xdr:nvSpPr>
        <xdr:cNvPr id="41" name="Rectangl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1356360" y="10012680"/>
          <a:ext cx="1874520" cy="1203960"/>
        </a:xfrm>
        <a:prstGeom prst="rect">
          <a:avLst/>
        </a:prstGeom>
        <a:solidFill>
          <a:schemeClr val="bg1">
            <a:lumMod val="85000"/>
          </a:schemeClr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7</xdr:col>
      <xdr:colOff>106680</xdr:colOff>
      <xdr:row>207</xdr:row>
      <xdr:rowOff>125730</xdr:rowOff>
    </xdr:from>
    <xdr:to>
      <xdr:col>16</xdr:col>
      <xdr:colOff>60960</xdr:colOff>
      <xdr:row>207</xdr:row>
      <xdr:rowOff>125730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CxnSpPr/>
      </xdr:nvCxnSpPr>
      <xdr:spPr>
        <a:xfrm>
          <a:off x="1440180" y="10260330"/>
          <a:ext cx="1668780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22860</xdr:colOff>
      <xdr:row>207</xdr:row>
      <xdr:rowOff>49530</xdr:rowOff>
    </xdr:from>
    <xdr:to>
      <xdr:col>8</xdr:col>
      <xdr:colOff>80010</xdr:colOff>
      <xdr:row>207</xdr:row>
      <xdr:rowOff>106680</xdr:rowOff>
    </xdr:to>
    <xdr:sp macro="" textlink="">
      <xdr:nvSpPr>
        <xdr:cNvPr id="45" name="Oval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1546860" y="10184130"/>
          <a:ext cx="57150" cy="57150"/>
        </a:xfrm>
        <a:prstGeom prst="ellipse">
          <a:avLst/>
        </a:prstGeom>
        <a:solidFill>
          <a:schemeClr val="tx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9</xdr:col>
      <xdr:colOff>182880</xdr:colOff>
      <xdr:row>207</xdr:row>
      <xdr:rowOff>49530</xdr:rowOff>
    </xdr:from>
    <xdr:to>
      <xdr:col>10</xdr:col>
      <xdr:colOff>49530</xdr:colOff>
      <xdr:row>207</xdr:row>
      <xdr:rowOff>106680</xdr:rowOff>
    </xdr:to>
    <xdr:sp macro="" textlink="">
      <xdr:nvSpPr>
        <xdr:cNvPr id="47" name="Oval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1897380" y="10184130"/>
          <a:ext cx="57150" cy="57150"/>
        </a:xfrm>
        <a:prstGeom prst="ellipse">
          <a:avLst/>
        </a:prstGeom>
        <a:solidFill>
          <a:schemeClr val="tx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11</xdr:col>
      <xdr:colOff>140970</xdr:colOff>
      <xdr:row>207</xdr:row>
      <xdr:rowOff>49530</xdr:rowOff>
    </xdr:from>
    <xdr:to>
      <xdr:col>12</xdr:col>
      <xdr:colOff>7620</xdr:colOff>
      <xdr:row>207</xdr:row>
      <xdr:rowOff>106680</xdr:rowOff>
    </xdr:to>
    <xdr:sp macro="" textlink="">
      <xdr:nvSpPr>
        <xdr:cNvPr id="48" name="Oval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2236470" y="10184130"/>
          <a:ext cx="57150" cy="57150"/>
        </a:xfrm>
        <a:prstGeom prst="ellipse">
          <a:avLst/>
        </a:prstGeom>
        <a:solidFill>
          <a:schemeClr val="tx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13</xdr:col>
      <xdr:colOff>125730</xdr:colOff>
      <xdr:row>207</xdr:row>
      <xdr:rowOff>49530</xdr:rowOff>
    </xdr:from>
    <xdr:to>
      <xdr:col>13</xdr:col>
      <xdr:colOff>182880</xdr:colOff>
      <xdr:row>207</xdr:row>
      <xdr:rowOff>106680</xdr:rowOff>
    </xdr:to>
    <xdr:sp macro="" textlink="">
      <xdr:nvSpPr>
        <xdr:cNvPr id="49" name="Oval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2602230" y="10184130"/>
          <a:ext cx="57150" cy="57150"/>
        </a:xfrm>
        <a:prstGeom prst="ellipse">
          <a:avLst/>
        </a:prstGeom>
        <a:solidFill>
          <a:schemeClr val="tx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15</xdr:col>
      <xdr:colOff>83820</xdr:colOff>
      <xdr:row>207</xdr:row>
      <xdr:rowOff>49530</xdr:rowOff>
    </xdr:from>
    <xdr:to>
      <xdr:col>15</xdr:col>
      <xdr:colOff>140970</xdr:colOff>
      <xdr:row>207</xdr:row>
      <xdr:rowOff>106680</xdr:rowOff>
    </xdr:to>
    <xdr:sp macro="" textlink="">
      <xdr:nvSpPr>
        <xdr:cNvPr id="50" name="Oval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2941320" y="10184130"/>
          <a:ext cx="57150" cy="57150"/>
        </a:xfrm>
        <a:prstGeom prst="ellipse">
          <a:avLst/>
        </a:prstGeom>
        <a:solidFill>
          <a:schemeClr val="tx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7</xdr:col>
      <xdr:colOff>95250</xdr:colOff>
      <xdr:row>213</xdr:row>
      <xdr:rowOff>0</xdr:rowOff>
    </xdr:from>
    <xdr:to>
      <xdr:col>16</xdr:col>
      <xdr:colOff>49530</xdr:colOff>
      <xdr:row>213</xdr:row>
      <xdr:rowOff>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CxnSpPr/>
      </xdr:nvCxnSpPr>
      <xdr:spPr>
        <a:xfrm>
          <a:off x="1428750" y="10942320"/>
          <a:ext cx="1668780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15240</xdr:colOff>
      <xdr:row>213</xdr:row>
      <xdr:rowOff>15240</xdr:rowOff>
    </xdr:from>
    <xdr:to>
      <xdr:col>8</xdr:col>
      <xdr:colOff>72390</xdr:colOff>
      <xdr:row>213</xdr:row>
      <xdr:rowOff>72390</xdr:rowOff>
    </xdr:to>
    <xdr:sp macro="" textlink="">
      <xdr:nvSpPr>
        <xdr:cNvPr id="52" name="Oval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1539240" y="10957560"/>
          <a:ext cx="57150" cy="57150"/>
        </a:xfrm>
        <a:prstGeom prst="ellipse">
          <a:avLst/>
        </a:prstGeom>
        <a:solidFill>
          <a:schemeClr val="tx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9</xdr:col>
      <xdr:colOff>175260</xdr:colOff>
      <xdr:row>213</xdr:row>
      <xdr:rowOff>15240</xdr:rowOff>
    </xdr:from>
    <xdr:to>
      <xdr:col>10</xdr:col>
      <xdr:colOff>41910</xdr:colOff>
      <xdr:row>213</xdr:row>
      <xdr:rowOff>72390</xdr:rowOff>
    </xdr:to>
    <xdr:sp macro="" textlink="">
      <xdr:nvSpPr>
        <xdr:cNvPr id="53" name="Oval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1889760" y="10957560"/>
          <a:ext cx="57150" cy="57150"/>
        </a:xfrm>
        <a:prstGeom prst="ellipse">
          <a:avLst/>
        </a:prstGeom>
        <a:solidFill>
          <a:schemeClr val="tx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11</xdr:col>
      <xdr:colOff>133350</xdr:colOff>
      <xdr:row>213</xdr:row>
      <xdr:rowOff>15240</xdr:rowOff>
    </xdr:from>
    <xdr:to>
      <xdr:col>12</xdr:col>
      <xdr:colOff>0</xdr:colOff>
      <xdr:row>213</xdr:row>
      <xdr:rowOff>72390</xdr:rowOff>
    </xdr:to>
    <xdr:sp macro="" textlink="">
      <xdr:nvSpPr>
        <xdr:cNvPr id="54" name="Oval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2228850" y="10957560"/>
          <a:ext cx="57150" cy="57150"/>
        </a:xfrm>
        <a:prstGeom prst="ellipse">
          <a:avLst/>
        </a:prstGeom>
        <a:solidFill>
          <a:schemeClr val="tx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13</xdr:col>
      <xdr:colOff>118110</xdr:colOff>
      <xdr:row>213</xdr:row>
      <xdr:rowOff>15240</xdr:rowOff>
    </xdr:from>
    <xdr:to>
      <xdr:col>13</xdr:col>
      <xdr:colOff>175260</xdr:colOff>
      <xdr:row>213</xdr:row>
      <xdr:rowOff>72390</xdr:rowOff>
    </xdr:to>
    <xdr:sp macro="" textlink="">
      <xdr:nvSpPr>
        <xdr:cNvPr id="55" name="Oval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2594610" y="10957560"/>
          <a:ext cx="57150" cy="57150"/>
        </a:xfrm>
        <a:prstGeom prst="ellipse">
          <a:avLst/>
        </a:prstGeom>
        <a:solidFill>
          <a:schemeClr val="tx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15</xdr:col>
      <xdr:colOff>76200</xdr:colOff>
      <xdr:row>213</xdr:row>
      <xdr:rowOff>15240</xdr:rowOff>
    </xdr:from>
    <xdr:to>
      <xdr:col>15</xdr:col>
      <xdr:colOff>133350</xdr:colOff>
      <xdr:row>213</xdr:row>
      <xdr:rowOff>72390</xdr:rowOff>
    </xdr:to>
    <xdr:sp macro="" textlink="">
      <xdr:nvSpPr>
        <xdr:cNvPr id="56" name="Oval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2933700" y="10957560"/>
          <a:ext cx="57150" cy="57150"/>
        </a:xfrm>
        <a:prstGeom prst="ellipse">
          <a:avLst/>
        </a:prstGeom>
        <a:solidFill>
          <a:schemeClr val="tx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17</xdr:col>
      <xdr:colOff>53340</xdr:colOff>
      <xdr:row>208</xdr:row>
      <xdr:rowOff>3810</xdr:rowOff>
    </xdr:from>
    <xdr:to>
      <xdr:col>19</xdr:col>
      <xdr:colOff>57150</xdr:colOff>
      <xdr:row>208</xdr:row>
      <xdr:rowOff>3810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CxnSpPr/>
      </xdr:nvCxnSpPr>
      <xdr:spPr>
        <a:xfrm>
          <a:off x="3291840" y="10267950"/>
          <a:ext cx="38481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53340</xdr:colOff>
      <xdr:row>206</xdr:row>
      <xdr:rowOff>0</xdr:rowOff>
    </xdr:from>
    <xdr:to>
      <xdr:col>21</xdr:col>
      <xdr:colOff>53340</xdr:colOff>
      <xdr:row>206</xdr:row>
      <xdr:rowOff>0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CxnSpPr/>
      </xdr:nvCxnSpPr>
      <xdr:spPr>
        <a:xfrm>
          <a:off x="3291840" y="10005060"/>
          <a:ext cx="762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206</xdr:row>
      <xdr:rowOff>3810</xdr:rowOff>
    </xdr:from>
    <xdr:to>
      <xdr:col>19</xdr:col>
      <xdr:colOff>0</xdr:colOff>
      <xdr:row>208</xdr:row>
      <xdr:rowOff>0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CxnSpPr/>
      </xdr:nvCxnSpPr>
      <xdr:spPr>
        <a:xfrm>
          <a:off x="3619500" y="10008870"/>
          <a:ext cx="0" cy="255270"/>
        </a:xfrm>
        <a:prstGeom prst="line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60960</xdr:colOff>
      <xdr:row>215</xdr:row>
      <xdr:rowOff>0</xdr:rowOff>
    </xdr:from>
    <xdr:to>
      <xdr:col>21</xdr:col>
      <xdr:colOff>76200</xdr:colOff>
      <xdr:row>215</xdr:row>
      <xdr:rowOff>0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CxnSpPr/>
      </xdr:nvCxnSpPr>
      <xdr:spPr>
        <a:xfrm>
          <a:off x="3299460" y="11201400"/>
          <a:ext cx="77724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212</xdr:row>
      <xdr:rowOff>137160</xdr:rowOff>
    </xdr:from>
    <xdr:to>
      <xdr:col>19</xdr:col>
      <xdr:colOff>0</xdr:colOff>
      <xdr:row>215</xdr:row>
      <xdr:rowOff>3810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CxnSpPr/>
      </xdr:nvCxnSpPr>
      <xdr:spPr>
        <a:xfrm>
          <a:off x="3619500" y="10927080"/>
          <a:ext cx="0" cy="278130"/>
        </a:xfrm>
        <a:prstGeom prst="line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208</xdr:row>
      <xdr:rowOff>3810</xdr:rowOff>
    </xdr:from>
    <xdr:to>
      <xdr:col>19</xdr:col>
      <xdr:colOff>0</xdr:colOff>
      <xdr:row>212</xdr:row>
      <xdr:rowOff>125730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CxnSpPr/>
      </xdr:nvCxnSpPr>
      <xdr:spPr>
        <a:xfrm>
          <a:off x="3619500" y="10267950"/>
          <a:ext cx="0" cy="647700"/>
        </a:xfrm>
        <a:prstGeom prst="line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53340</xdr:colOff>
      <xdr:row>213</xdr:row>
      <xdr:rowOff>0</xdr:rowOff>
    </xdr:from>
    <xdr:to>
      <xdr:col>19</xdr:col>
      <xdr:colOff>57150</xdr:colOff>
      <xdr:row>213</xdr:row>
      <xdr:rowOff>0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CxnSpPr/>
      </xdr:nvCxnSpPr>
      <xdr:spPr>
        <a:xfrm>
          <a:off x="3291840" y="10942320"/>
          <a:ext cx="38481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186690</xdr:colOff>
      <xdr:row>205</xdr:row>
      <xdr:rowOff>125730</xdr:rowOff>
    </xdr:from>
    <xdr:to>
      <xdr:col>20</xdr:col>
      <xdr:colOff>186690</xdr:colOff>
      <xdr:row>215</xdr:row>
      <xdr:rowOff>0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CxnSpPr/>
      </xdr:nvCxnSpPr>
      <xdr:spPr>
        <a:xfrm>
          <a:off x="3996690" y="10001250"/>
          <a:ext cx="0" cy="1200150"/>
        </a:xfrm>
        <a:prstGeom prst="line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68580</xdr:colOff>
      <xdr:row>215</xdr:row>
      <xdr:rowOff>11430</xdr:rowOff>
    </xdr:from>
    <xdr:to>
      <xdr:col>11</xdr:col>
      <xdr:colOff>68580</xdr:colOff>
      <xdr:row>216</xdr:row>
      <xdr:rowOff>125730</xdr:rowOff>
    </xdr:to>
    <xdr:cxnSp macro="">
      <xdr:nvCxnSpPr>
        <xdr:cNvPr id="65" name="Straight Arrow Connector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CxnSpPr/>
      </xdr:nvCxnSpPr>
      <xdr:spPr>
        <a:xfrm flipV="1">
          <a:off x="2164080" y="11212830"/>
          <a:ext cx="0" cy="24384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160020</xdr:colOff>
      <xdr:row>213</xdr:row>
      <xdr:rowOff>3810</xdr:rowOff>
    </xdr:from>
    <xdr:to>
      <xdr:col>9</xdr:col>
      <xdr:colOff>22860</xdr:colOff>
      <xdr:row>216</xdr:row>
      <xdr:rowOff>19050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CxnSpPr/>
      </xdr:nvCxnSpPr>
      <xdr:spPr>
        <a:xfrm flipV="1">
          <a:off x="1303020" y="10946130"/>
          <a:ext cx="434340" cy="4038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38100</xdr:colOff>
      <xdr:row>206</xdr:row>
      <xdr:rowOff>0</xdr:rowOff>
    </xdr:from>
    <xdr:to>
      <xdr:col>9</xdr:col>
      <xdr:colOff>60960</xdr:colOff>
      <xdr:row>207</xdr:row>
      <xdr:rowOff>118110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CxnSpPr/>
      </xdr:nvCxnSpPr>
      <xdr:spPr>
        <a:xfrm flipH="1" flipV="1">
          <a:off x="1181100" y="10005060"/>
          <a:ext cx="594360" cy="2476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53340</xdr:colOff>
      <xdr:row>209</xdr:row>
      <xdr:rowOff>19050</xdr:rowOff>
    </xdr:from>
    <xdr:to>
      <xdr:col>8</xdr:col>
      <xdr:colOff>30480</xdr:colOff>
      <xdr:row>210</xdr:row>
      <xdr:rowOff>30480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CxnSpPr/>
      </xdr:nvCxnSpPr>
      <xdr:spPr>
        <a:xfrm flipH="1" flipV="1">
          <a:off x="1005840" y="10420350"/>
          <a:ext cx="548640" cy="14097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129540</xdr:colOff>
      <xdr:row>208</xdr:row>
      <xdr:rowOff>3742</xdr:rowOff>
    </xdr:from>
    <xdr:to>
      <xdr:col>14</xdr:col>
      <xdr:colOff>19050</xdr:colOff>
      <xdr:row>212</xdr:row>
      <xdr:rowOff>133418</xdr:rowOff>
    </xdr:to>
    <xdr:sp macro="" textlink="">
      <xdr:nvSpPr>
        <xdr:cNvPr id="69" name="Isosceles Triangl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1844040" y="10267882"/>
          <a:ext cx="842010" cy="655456"/>
        </a:xfrm>
        <a:prstGeom prst="triangle">
          <a:avLst/>
        </a:prstGeom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160020</xdr:colOff>
      <xdr:row>210</xdr:row>
      <xdr:rowOff>64770</xdr:rowOff>
    </xdr:from>
    <xdr:to>
      <xdr:col>10</xdr:col>
      <xdr:colOff>149543</xdr:colOff>
      <xdr:row>212</xdr:row>
      <xdr:rowOff>83820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CxnSpPr>
          <a:stCxn id="69" idx="1"/>
        </xdr:cNvCxnSpPr>
      </xdr:nvCxnSpPr>
      <xdr:spPr>
        <a:xfrm flipH="1">
          <a:off x="922020" y="10595610"/>
          <a:ext cx="1132523" cy="27813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99060</xdr:colOff>
      <xdr:row>140</xdr:row>
      <xdr:rowOff>101801</xdr:rowOff>
    </xdr:from>
    <xdr:to>
      <xdr:col>27</xdr:col>
      <xdr:colOff>129540</xdr:colOff>
      <xdr:row>171</xdr:row>
      <xdr:rowOff>81079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767" t="16297" r="52169" b="20987"/>
        <a:stretch/>
      </xdr:blipFill>
      <xdr:spPr bwMode="auto">
        <a:xfrm>
          <a:off x="480060" y="19060361"/>
          <a:ext cx="4792980" cy="40178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54697</xdr:colOff>
      <xdr:row>270</xdr:row>
      <xdr:rowOff>15240</xdr:rowOff>
    </xdr:from>
    <xdr:to>
      <xdr:col>30</xdr:col>
      <xdr:colOff>59603</xdr:colOff>
      <xdr:row>310</xdr:row>
      <xdr:rowOff>121920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989" t="20247" r="37884" b="25679"/>
        <a:stretch/>
      </xdr:blipFill>
      <xdr:spPr bwMode="auto">
        <a:xfrm>
          <a:off x="245197" y="36355020"/>
          <a:ext cx="5529406" cy="5311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175260</xdr:colOff>
      <xdr:row>277</xdr:row>
      <xdr:rowOff>53340</xdr:rowOff>
    </xdr:from>
    <xdr:to>
      <xdr:col>45</xdr:col>
      <xdr:colOff>44642</xdr:colOff>
      <xdr:row>303</xdr:row>
      <xdr:rowOff>22860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514" t="5926" r="38730" b="13827"/>
        <a:stretch/>
      </xdr:blipFill>
      <xdr:spPr bwMode="auto">
        <a:xfrm>
          <a:off x="5318760" y="37299900"/>
          <a:ext cx="3298382" cy="3360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22860</xdr:colOff>
      <xdr:row>348</xdr:row>
      <xdr:rowOff>7620</xdr:rowOff>
    </xdr:from>
    <xdr:to>
      <xdr:col>16</xdr:col>
      <xdr:colOff>182880</xdr:colOff>
      <xdr:row>357</xdr:row>
      <xdr:rowOff>15240</xdr:rowOff>
    </xdr:to>
    <xdr:sp macro="" textlink="">
      <xdr:nvSpPr>
        <xdr:cNvPr id="101" name="Rectangle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1356360" y="10012680"/>
          <a:ext cx="1874520" cy="1203960"/>
        </a:xfrm>
        <a:prstGeom prst="rect">
          <a:avLst/>
        </a:prstGeom>
        <a:solidFill>
          <a:schemeClr val="bg1">
            <a:lumMod val="85000"/>
          </a:schemeClr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7</xdr:col>
      <xdr:colOff>106680</xdr:colOff>
      <xdr:row>349</xdr:row>
      <xdr:rowOff>125730</xdr:rowOff>
    </xdr:from>
    <xdr:to>
      <xdr:col>16</xdr:col>
      <xdr:colOff>60960</xdr:colOff>
      <xdr:row>349</xdr:row>
      <xdr:rowOff>125730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CxnSpPr/>
      </xdr:nvCxnSpPr>
      <xdr:spPr>
        <a:xfrm>
          <a:off x="1440180" y="10260330"/>
          <a:ext cx="1668780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22860</xdr:colOff>
      <xdr:row>349</xdr:row>
      <xdr:rowOff>49530</xdr:rowOff>
    </xdr:from>
    <xdr:to>
      <xdr:col>8</xdr:col>
      <xdr:colOff>80010</xdr:colOff>
      <xdr:row>349</xdr:row>
      <xdr:rowOff>106680</xdr:rowOff>
    </xdr:to>
    <xdr:sp macro="" textlink="">
      <xdr:nvSpPr>
        <xdr:cNvPr id="103" name="Oval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1546860" y="10184130"/>
          <a:ext cx="57150" cy="57150"/>
        </a:xfrm>
        <a:prstGeom prst="ellipse">
          <a:avLst/>
        </a:prstGeom>
        <a:solidFill>
          <a:schemeClr val="tx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9</xdr:col>
      <xdr:colOff>182880</xdr:colOff>
      <xdr:row>349</xdr:row>
      <xdr:rowOff>49530</xdr:rowOff>
    </xdr:from>
    <xdr:to>
      <xdr:col>10</xdr:col>
      <xdr:colOff>49530</xdr:colOff>
      <xdr:row>349</xdr:row>
      <xdr:rowOff>106680</xdr:rowOff>
    </xdr:to>
    <xdr:sp macro="" textlink="">
      <xdr:nvSpPr>
        <xdr:cNvPr id="104" name="Oval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1897380" y="10184130"/>
          <a:ext cx="57150" cy="57150"/>
        </a:xfrm>
        <a:prstGeom prst="ellipse">
          <a:avLst/>
        </a:prstGeom>
        <a:solidFill>
          <a:schemeClr val="tx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11</xdr:col>
      <xdr:colOff>140970</xdr:colOff>
      <xdr:row>349</xdr:row>
      <xdr:rowOff>49530</xdr:rowOff>
    </xdr:from>
    <xdr:to>
      <xdr:col>12</xdr:col>
      <xdr:colOff>7620</xdr:colOff>
      <xdr:row>349</xdr:row>
      <xdr:rowOff>106680</xdr:rowOff>
    </xdr:to>
    <xdr:sp macro="" textlink="">
      <xdr:nvSpPr>
        <xdr:cNvPr id="105" name="Oval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2236470" y="10184130"/>
          <a:ext cx="57150" cy="57150"/>
        </a:xfrm>
        <a:prstGeom prst="ellipse">
          <a:avLst/>
        </a:prstGeom>
        <a:solidFill>
          <a:schemeClr val="tx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13</xdr:col>
      <xdr:colOff>125730</xdr:colOff>
      <xdr:row>349</xdr:row>
      <xdr:rowOff>49530</xdr:rowOff>
    </xdr:from>
    <xdr:to>
      <xdr:col>13</xdr:col>
      <xdr:colOff>182880</xdr:colOff>
      <xdr:row>349</xdr:row>
      <xdr:rowOff>106680</xdr:rowOff>
    </xdr:to>
    <xdr:sp macro="" textlink="">
      <xdr:nvSpPr>
        <xdr:cNvPr id="106" name="Oval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2602230" y="10184130"/>
          <a:ext cx="57150" cy="57150"/>
        </a:xfrm>
        <a:prstGeom prst="ellipse">
          <a:avLst/>
        </a:prstGeom>
        <a:solidFill>
          <a:schemeClr val="tx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15</xdr:col>
      <xdr:colOff>83820</xdr:colOff>
      <xdr:row>349</xdr:row>
      <xdr:rowOff>49530</xdr:rowOff>
    </xdr:from>
    <xdr:to>
      <xdr:col>15</xdr:col>
      <xdr:colOff>140970</xdr:colOff>
      <xdr:row>349</xdr:row>
      <xdr:rowOff>106680</xdr:rowOff>
    </xdr:to>
    <xdr:sp macro="" textlink="">
      <xdr:nvSpPr>
        <xdr:cNvPr id="107" name="Oval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2941320" y="10184130"/>
          <a:ext cx="57150" cy="57150"/>
        </a:xfrm>
        <a:prstGeom prst="ellipse">
          <a:avLst/>
        </a:prstGeom>
        <a:solidFill>
          <a:schemeClr val="tx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7</xdr:col>
      <xdr:colOff>95250</xdr:colOff>
      <xdr:row>355</xdr:row>
      <xdr:rowOff>0</xdr:rowOff>
    </xdr:from>
    <xdr:to>
      <xdr:col>16</xdr:col>
      <xdr:colOff>49530</xdr:colOff>
      <xdr:row>355</xdr:row>
      <xdr:rowOff>0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CxnSpPr/>
      </xdr:nvCxnSpPr>
      <xdr:spPr>
        <a:xfrm>
          <a:off x="1428750" y="10942320"/>
          <a:ext cx="1668780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15240</xdr:colOff>
      <xdr:row>355</xdr:row>
      <xdr:rowOff>15240</xdr:rowOff>
    </xdr:from>
    <xdr:to>
      <xdr:col>8</xdr:col>
      <xdr:colOff>72390</xdr:colOff>
      <xdr:row>355</xdr:row>
      <xdr:rowOff>72390</xdr:rowOff>
    </xdr:to>
    <xdr:sp macro="" textlink="">
      <xdr:nvSpPr>
        <xdr:cNvPr id="109" name="Oval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>
          <a:off x="1539240" y="10957560"/>
          <a:ext cx="57150" cy="57150"/>
        </a:xfrm>
        <a:prstGeom prst="ellipse">
          <a:avLst/>
        </a:prstGeom>
        <a:solidFill>
          <a:schemeClr val="tx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9</xdr:col>
      <xdr:colOff>175260</xdr:colOff>
      <xdr:row>355</xdr:row>
      <xdr:rowOff>15240</xdr:rowOff>
    </xdr:from>
    <xdr:to>
      <xdr:col>10</xdr:col>
      <xdr:colOff>41910</xdr:colOff>
      <xdr:row>355</xdr:row>
      <xdr:rowOff>72390</xdr:rowOff>
    </xdr:to>
    <xdr:sp macro="" textlink="">
      <xdr:nvSpPr>
        <xdr:cNvPr id="110" name="Oval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1889760" y="10957560"/>
          <a:ext cx="57150" cy="57150"/>
        </a:xfrm>
        <a:prstGeom prst="ellipse">
          <a:avLst/>
        </a:prstGeom>
        <a:solidFill>
          <a:schemeClr val="tx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11</xdr:col>
      <xdr:colOff>133350</xdr:colOff>
      <xdr:row>355</xdr:row>
      <xdr:rowOff>15240</xdr:rowOff>
    </xdr:from>
    <xdr:to>
      <xdr:col>12</xdr:col>
      <xdr:colOff>0</xdr:colOff>
      <xdr:row>355</xdr:row>
      <xdr:rowOff>72390</xdr:rowOff>
    </xdr:to>
    <xdr:sp macro="" textlink="">
      <xdr:nvSpPr>
        <xdr:cNvPr id="111" name="Oval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>
        <a:xfrm>
          <a:off x="2228850" y="10957560"/>
          <a:ext cx="57150" cy="57150"/>
        </a:xfrm>
        <a:prstGeom prst="ellipse">
          <a:avLst/>
        </a:prstGeom>
        <a:solidFill>
          <a:schemeClr val="tx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13</xdr:col>
      <xdr:colOff>118110</xdr:colOff>
      <xdr:row>355</xdr:row>
      <xdr:rowOff>15240</xdr:rowOff>
    </xdr:from>
    <xdr:to>
      <xdr:col>13</xdr:col>
      <xdr:colOff>175260</xdr:colOff>
      <xdr:row>355</xdr:row>
      <xdr:rowOff>72390</xdr:rowOff>
    </xdr:to>
    <xdr:sp macro="" textlink="">
      <xdr:nvSpPr>
        <xdr:cNvPr id="112" name="Oval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2594610" y="10957560"/>
          <a:ext cx="57150" cy="57150"/>
        </a:xfrm>
        <a:prstGeom prst="ellipse">
          <a:avLst/>
        </a:prstGeom>
        <a:solidFill>
          <a:schemeClr val="tx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15</xdr:col>
      <xdr:colOff>76200</xdr:colOff>
      <xdr:row>355</xdr:row>
      <xdr:rowOff>15240</xdr:rowOff>
    </xdr:from>
    <xdr:to>
      <xdr:col>15</xdr:col>
      <xdr:colOff>133350</xdr:colOff>
      <xdr:row>355</xdr:row>
      <xdr:rowOff>72390</xdr:rowOff>
    </xdr:to>
    <xdr:sp macro="" textlink="">
      <xdr:nvSpPr>
        <xdr:cNvPr id="113" name="Oval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>
        <a:xfrm>
          <a:off x="2933700" y="10957560"/>
          <a:ext cx="57150" cy="57150"/>
        </a:xfrm>
        <a:prstGeom prst="ellipse">
          <a:avLst/>
        </a:prstGeom>
        <a:solidFill>
          <a:schemeClr val="tx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17</xdr:col>
      <xdr:colOff>53340</xdr:colOff>
      <xdr:row>350</xdr:row>
      <xdr:rowOff>3810</xdr:rowOff>
    </xdr:from>
    <xdr:to>
      <xdr:col>19</xdr:col>
      <xdr:colOff>57150</xdr:colOff>
      <xdr:row>350</xdr:row>
      <xdr:rowOff>3810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CxnSpPr/>
      </xdr:nvCxnSpPr>
      <xdr:spPr>
        <a:xfrm>
          <a:off x="3291840" y="10267950"/>
          <a:ext cx="38481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53340</xdr:colOff>
      <xdr:row>348</xdr:row>
      <xdr:rowOff>0</xdr:rowOff>
    </xdr:from>
    <xdr:to>
      <xdr:col>21</xdr:col>
      <xdr:colOff>53340</xdr:colOff>
      <xdr:row>348</xdr:row>
      <xdr:rowOff>0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CxnSpPr/>
      </xdr:nvCxnSpPr>
      <xdr:spPr>
        <a:xfrm>
          <a:off x="3291840" y="10005060"/>
          <a:ext cx="762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348</xdr:row>
      <xdr:rowOff>3810</xdr:rowOff>
    </xdr:from>
    <xdr:to>
      <xdr:col>19</xdr:col>
      <xdr:colOff>0</xdr:colOff>
      <xdr:row>350</xdr:row>
      <xdr:rowOff>0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CxnSpPr/>
      </xdr:nvCxnSpPr>
      <xdr:spPr>
        <a:xfrm>
          <a:off x="3619500" y="10008870"/>
          <a:ext cx="0" cy="255270"/>
        </a:xfrm>
        <a:prstGeom prst="line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60960</xdr:colOff>
      <xdr:row>357</xdr:row>
      <xdr:rowOff>0</xdr:rowOff>
    </xdr:from>
    <xdr:to>
      <xdr:col>21</xdr:col>
      <xdr:colOff>76200</xdr:colOff>
      <xdr:row>357</xdr:row>
      <xdr:rowOff>0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CxnSpPr/>
      </xdr:nvCxnSpPr>
      <xdr:spPr>
        <a:xfrm>
          <a:off x="3299460" y="11201400"/>
          <a:ext cx="77724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354</xdr:row>
      <xdr:rowOff>137160</xdr:rowOff>
    </xdr:from>
    <xdr:to>
      <xdr:col>19</xdr:col>
      <xdr:colOff>0</xdr:colOff>
      <xdr:row>357</xdr:row>
      <xdr:rowOff>3810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CxnSpPr/>
      </xdr:nvCxnSpPr>
      <xdr:spPr>
        <a:xfrm>
          <a:off x="3619500" y="10927080"/>
          <a:ext cx="0" cy="278130"/>
        </a:xfrm>
        <a:prstGeom prst="line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350</xdr:row>
      <xdr:rowOff>3810</xdr:rowOff>
    </xdr:from>
    <xdr:to>
      <xdr:col>19</xdr:col>
      <xdr:colOff>0</xdr:colOff>
      <xdr:row>354</xdr:row>
      <xdr:rowOff>125730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CxnSpPr/>
      </xdr:nvCxnSpPr>
      <xdr:spPr>
        <a:xfrm>
          <a:off x="3619500" y="10267950"/>
          <a:ext cx="0" cy="647700"/>
        </a:xfrm>
        <a:prstGeom prst="line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53340</xdr:colOff>
      <xdr:row>355</xdr:row>
      <xdr:rowOff>0</xdr:rowOff>
    </xdr:from>
    <xdr:to>
      <xdr:col>19</xdr:col>
      <xdr:colOff>57150</xdr:colOff>
      <xdr:row>355</xdr:row>
      <xdr:rowOff>0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CxnSpPr/>
      </xdr:nvCxnSpPr>
      <xdr:spPr>
        <a:xfrm>
          <a:off x="3291840" y="10942320"/>
          <a:ext cx="38481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186690</xdr:colOff>
      <xdr:row>347</xdr:row>
      <xdr:rowOff>125730</xdr:rowOff>
    </xdr:from>
    <xdr:to>
      <xdr:col>20</xdr:col>
      <xdr:colOff>186690</xdr:colOff>
      <xdr:row>357</xdr:row>
      <xdr:rowOff>0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CxnSpPr/>
      </xdr:nvCxnSpPr>
      <xdr:spPr>
        <a:xfrm>
          <a:off x="3996690" y="10001250"/>
          <a:ext cx="0" cy="1200150"/>
        </a:xfrm>
        <a:prstGeom prst="line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68580</xdr:colOff>
      <xdr:row>357</xdr:row>
      <xdr:rowOff>11430</xdr:rowOff>
    </xdr:from>
    <xdr:to>
      <xdr:col>11</xdr:col>
      <xdr:colOff>68580</xdr:colOff>
      <xdr:row>358</xdr:row>
      <xdr:rowOff>125730</xdr:rowOff>
    </xdr:to>
    <xdr:cxnSp macro="">
      <xdr:nvCxnSpPr>
        <xdr:cNvPr id="122" name="Straight Arrow Connector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CxnSpPr/>
      </xdr:nvCxnSpPr>
      <xdr:spPr>
        <a:xfrm flipV="1">
          <a:off x="2164080" y="11212830"/>
          <a:ext cx="0" cy="24384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160020</xdr:colOff>
      <xdr:row>355</xdr:row>
      <xdr:rowOff>3810</xdr:rowOff>
    </xdr:from>
    <xdr:to>
      <xdr:col>9</xdr:col>
      <xdr:colOff>22860</xdr:colOff>
      <xdr:row>358</xdr:row>
      <xdr:rowOff>19050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CxnSpPr/>
      </xdr:nvCxnSpPr>
      <xdr:spPr>
        <a:xfrm flipV="1">
          <a:off x="1303020" y="10946130"/>
          <a:ext cx="434340" cy="4038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38100</xdr:colOff>
      <xdr:row>348</xdr:row>
      <xdr:rowOff>0</xdr:rowOff>
    </xdr:from>
    <xdr:to>
      <xdr:col>9</xdr:col>
      <xdr:colOff>60960</xdr:colOff>
      <xdr:row>349</xdr:row>
      <xdr:rowOff>118110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CxnSpPr/>
      </xdr:nvCxnSpPr>
      <xdr:spPr>
        <a:xfrm flipH="1" flipV="1">
          <a:off x="1181100" y="10005060"/>
          <a:ext cx="594360" cy="2476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53340</xdr:colOff>
      <xdr:row>351</xdr:row>
      <xdr:rowOff>19050</xdr:rowOff>
    </xdr:from>
    <xdr:to>
      <xdr:col>8</xdr:col>
      <xdr:colOff>30480</xdr:colOff>
      <xdr:row>352</xdr:row>
      <xdr:rowOff>30480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CxnSpPr/>
      </xdr:nvCxnSpPr>
      <xdr:spPr>
        <a:xfrm flipH="1" flipV="1">
          <a:off x="1005840" y="10420350"/>
          <a:ext cx="548640" cy="14097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129540</xdr:colOff>
      <xdr:row>350</xdr:row>
      <xdr:rowOff>3742</xdr:rowOff>
    </xdr:from>
    <xdr:to>
      <xdr:col>14</xdr:col>
      <xdr:colOff>19050</xdr:colOff>
      <xdr:row>354</xdr:row>
      <xdr:rowOff>133418</xdr:rowOff>
    </xdr:to>
    <xdr:sp macro="" textlink="">
      <xdr:nvSpPr>
        <xdr:cNvPr id="126" name="Isosceles Triangle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1844040" y="10267882"/>
          <a:ext cx="842010" cy="655456"/>
        </a:xfrm>
        <a:prstGeom prst="triangle">
          <a:avLst/>
        </a:prstGeom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160020</xdr:colOff>
      <xdr:row>352</xdr:row>
      <xdr:rowOff>64770</xdr:rowOff>
    </xdr:from>
    <xdr:to>
      <xdr:col>10</xdr:col>
      <xdr:colOff>149543</xdr:colOff>
      <xdr:row>354</xdr:row>
      <xdr:rowOff>83820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CxnSpPr>
          <a:stCxn id="126" idx="1"/>
        </xdr:cNvCxnSpPr>
      </xdr:nvCxnSpPr>
      <xdr:spPr>
        <a:xfrm flipH="1">
          <a:off x="922020" y="10595610"/>
          <a:ext cx="1132523" cy="27813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U411"/>
  <sheetViews>
    <sheetView showGridLines="0" tabSelected="1" zoomScaleNormal="100" workbookViewId="0">
      <selection activeCell="BB398" sqref="BB398"/>
    </sheetView>
  </sheetViews>
  <sheetFormatPr defaultColWidth="8.85546875" defaultRowHeight="11.25" x14ac:dyDescent="0.25"/>
  <cols>
    <col min="1" max="832" width="2.7109375" style="2" customWidth="1"/>
    <col min="833" max="16384" width="8.85546875" style="2"/>
  </cols>
  <sheetData>
    <row r="1" spans="2:45" ht="12" thickBot="1" x14ac:dyDescent="0.3"/>
    <row r="2" spans="2:45" ht="36.6" customHeight="1" x14ac:dyDescent="0.25">
      <c r="B2" s="93" t="s">
        <v>122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5"/>
    </row>
    <row r="3" spans="2:45" x14ac:dyDescent="0.25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1" t="s">
        <v>93</v>
      </c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5"/>
    </row>
    <row r="4" spans="2:45" x14ac:dyDescent="0.25">
      <c r="B4" s="3"/>
      <c r="C4" s="4"/>
      <c r="D4" s="4"/>
      <c r="E4" s="4"/>
      <c r="F4" s="4"/>
      <c r="G4" s="4"/>
      <c r="I4" s="4"/>
      <c r="J4" s="4"/>
      <c r="K4" s="4"/>
      <c r="M4" s="4"/>
      <c r="N4" s="6" t="s">
        <v>95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5"/>
    </row>
    <row r="5" spans="2:45" x14ac:dyDescent="0.25">
      <c r="B5" s="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5"/>
    </row>
    <row r="6" spans="2:45" x14ac:dyDescent="0.25">
      <c r="B6" s="3"/>
      <c r="C6" s="4"/>
      <c r="D6" s="4"/>
      <c r="E6" s="4"/>
      <c r="F6" s="45"/>
      <c r="G6" s="4"/>
      <c r="H6" s="4"/>
      <c r="I6" s="4"/>
      <c r="J6" s="4"/>
      <c r="K6" s="4"/>
      <c r="L6" s="4"/>
      <c r="M6" s="4"/>
      <c r="N6" s="4"/>
      <c r="O6" s="50">
        <f>2*(F45/(H47-H45))*(H47-H42)*(F43/(H43-H42))/((F45/(H47-H45))+(F43/(H43-H42)))</f>
        <v>4.7681526009750383</v>
      </c>
      <c r="P6" s="50"/>
      <c r="Q6" s="4" t="s">
        <v>21</v>
      </c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5"/>
    </row>
    <row r="7" spans="2:45" x14ac:dyDescent="0.25">
      <c r="B7" s="3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5"/>
    </row>
    <row r="8" spans="2:45" x14ac:dyDescent="0.25">
      <c r="B8" s="3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5"/>
    </row>
    <row r="9" spans="2:45" x14ac:dyDescent="0.25">
      <c r="B9" s="3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5"/>
    </row>
    <row r="10" spans="2:45" x14ac:dyDescent="0.25">
      <c r="B10" s="3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G10" s="6" t="s">
        <v>110</v>
      </c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5"/>
    </row>
    <row r="11" spans="2:45" x14ac:dyDescent="0.25">
      <c r="B11" s="3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5"/>
    </row>
    <row r="12" spans="2:45" x14ac:dyDescent="0.25">
      <c r="B12" s="3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5"/>
    </row>
    <row r="13" spans="2:45" x14ac:dyDescent="0.25">
      <c r="B13" s="3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5"/>
    </row>
    <row r="14" spans="2:45" x14ac:dyDescent="0.25">
      <c r="B14" s="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5"/>
    </row>
    <row r="15" spans="2:45" x14ac:dyDescent="0.25">
      <c r="B15" s="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5"/>
    </row>
    <row r="16" spans="2:45" x14ac:dyDescent="0.25">
      <c r="B16" s="3"/>
      <c r="C16" s="4"/>
      <c r="D16" s="7" t="s">
        <v>21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5"/>
    </row>
    <row r="17" spans="2:45" x14ac:dyDescent="0.25">
      <c r="B17" s="3"/>
      <c r="C17" s="4"/>
      <c r="D17" s="78">
        <f>(O6/2)*(H47-H45)/F45</f>
        <v>6.36708004704436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33" t="s">
        <v>15</v>
      </c>
      <c r="AQ17" s="4"/>
      <c r="AR17" s="4"/>
      <c r="AS17" s="5"/>
    </row>
    <row r="18" spans="2:45" x14ac:dyDescent="0.25">
      <c r="B18" s="3"/>
      <c r="C18" s="7" t="s">
        <v>21</v>
      </c>
      <c r="D18" s="78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33"/>
      <c r="AO18" s="4"/>
      <c r="AP18" s="4"/>
      <c r="AQ18" s="4"/>
      <c r="AR18" s="4"/>
      <c r="AS18" s="5"/>
    </row>
    <row r="19" spans="2:45" x14ac:dyDescent="0.25">
      <c r="B19" s="3"/>
      <c r="C19" s="78">
        <f>+H47-H42</f>
        <v>7.5130000000000008</v>
      </c>
      <c r="D19" s="78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33" t="s">
        <v>14</v>
      </c>
      <c r="AQ19" s="4"/>
      <c r="AR19" s="4"/>
      <c r="AS19" s="5"/>
    </row>
    <row r="20" spans="2:45" x14ac:dyDescent="0.25">
      <c r="B20" s="3"/>
      <c r="C20" s="78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33"/>
      <c r="AO20" s="4"/>
      <c r="AP20" s="4"/>
      <c r="AQ20" s="4"/>
      <c r="AR20" s="4"/>
      <c r="AS20" s="5"/>
    </row>
    <row r="21" spans="2:45" x14ac:dyDescent="0.25">
      <c r="B21" s="3"/>
      <c r="C21" s="78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33" t="s">
        <v>13</v>
      </c>
      <c r="AQ21" s="4"/>
      <c r="AR21" s="4"/>
      <c r="AS21" s="5"/>
    </row>
    <row r="22" spans="2:45" x14ac:dyDescent="0.25">
      <c r="B22" s="3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7" t="s">
        <v>21</v>
      </c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33" t="s">
        <v>12</v>
      </c>
      <c r="AQ22" s="4"/>
      <c r="AR22" s="4"/>
      <c r="AS22" s="5"/>
    </row>
    <row r="23" spans="2:45" x14ac:dyDescent="0.25">
      <c r="B23" s="3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78">
        <f>AO54-((H47-H42)-Z54)</f>
        <v>9.2210000000000001</v>
      </c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33"/>
      <c r="AO23" s="4"/>
      <c r="AP23" s="4"/>
      <c r="AQ23" s="4"/>
      <c r="AR23" s="4"/>
      <c r="AS23" s="5"/>
    </row>
    <row r="24" spans="2:45" x14ac:dyDescent="0.25">
      <c r="B24" s="3"/>
      <c r="C24" s="4"/>
      <c r="D24" s="7" t="s">
        <v>21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78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33"/>
      <c r="AO24" s="4"/>
      <c r="AP24" s="4"/>
      <c r="AQ24" s="4"/>
      <c r="AR24" s="4"/>
      <c r="AS24" s="5"/>
    </row>
    <row r="25" spans="2:45" x14ac:dyDescent="0.25">
      <c r="B25" s="3"/>
      <c r="D25" s="78">
        <f>+H47-H45-D17</f>
        <v>0.97191995295564038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78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33" t="s">
        <v>11</v>
      </c>
      <c r="AQ25" s="4"/>
      <c r="AR25" s="4"/>
      <c r="AS25" s="5"/>
    </row>
    <row r="26" spans="2:45" x14ac:dyDescent="0.25">
      <c r="B26" s="3"/>
      <c r="D26" s="78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5"/>
    </row>
    <row r="27" spans="2:45" x14ac:dyDescent="0.25">
      <c r="B27" s="3"/>
      <c r="D27" s="78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5"/>
    </row>
    <row r="28" spans="2:45" x14ac:dyDescent="0.25">
      <c r="B28" s="3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5"/>
    </row>
    <row r="29" spans="2:45" x14ac:dyDescent="0.25">
      <c r="B29" s="3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5"/>
    </row>
    <row r="30" spans="2:45" x14ac:dyDescent="0.25">
      <c r="B30" s="3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5"/>
    </row>
    <row r="31" spans="2:45" x14ac:dyDescent="0.25">
      <c r="B31" s="3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5"/>
    </row>
    <row r="32" spans="2:45" x14ac:dyDescent="0.25">
      <c r="B32" s="3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5"/>
    </row>
    <row r="33" spans="2:45" x14ac:dyDescent="0.25">
      <c r="B33" s="3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5"/>
    </row>
    <row r="34" spans="2:45" x14ac:dyDescent="0.25">
      <c r="B34" s="3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5"/>
    </row>
    <row r="35" spans="2:45" x14ac:dyDescent="0.25">
      <c r="B35" s="3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5"/>
    </row>
    <row r="36" spans="2:45" x14ac:dyDescent="0.25">
      <c r="B36" s="3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5"/>
    </row>
    <row r="37" spans="2:45" x14ac:dyDescent="0.25">
      <c r="B37" s="3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50">
        <f>(AC54+F43)*2</f>
        <v>11.600000000000001</v>
      </c>
      <c r="O37" s="50"/>
      <c r="P37" s="4" t="s">
        <v>21</v>
      </c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5"/>
    </row>
    <row r="38" spans="2:45" ht="11.25" customHeight="1" x14ac:dyDescent="0.25">
      <c r="B38" s="3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5"/>
    </row>
    <row r="39" spans="2:45" ht="11.25" customHeight="1" x14ac:dyDescent="0.25">
      <c r="B39" s="3"/>
      <c r="C39" s="4"/>
      <c r="D39" s="4" t="s">
        <v>77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AD39" s="100" t="s">
        <v>99</v>
      </c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2"/>
      <c r="AS39" s="5"/>
    </row>
    <row r="40" spans="2:45" ht="11.25" customHeight="1" thickBot="1" x14ac:dyDescent="0.3">
      <c r="B40" s="3"/>
      <c r="C40" s="4"/>
      <c r="D40" s="90" t="s">
        <v>0</v>
      </c>
      <c r="E40" s="90"/>
      <c r="F40" s="85" t="s">
        <v>8</v>
      </c>
      <c r="G40" s="85"/>
      <c r="H40" s="85" t="s">
        <v>9</v>
      </c>
      <c r="I40" s="85"/>
      <c r="J40" s="85" t="s">
        <v>10</v>
      </c>
      <c r="K40" s="85"/>
      <c r="L40" s="4"/>
      <c r="M40" s="4"/>
      <c r="N40" s="4"/>
      <c r="O40" s="8"/>
      <c r="P40" s="8"/>
      <c r="Q40" s="8"/>
      <c r="R40" s="8"/>
      <c r="S40" s="4"/>
      <c r="T40" s="4"/>
      <c r="AD40" s="103"/>
      <c r="AE40" s="104"/>
      <c r="AF40" s="104"/>
      <c r="AG40" s="104"/>
      <c r="AH40" s="104"/>
      <c r="AI40" s="104"/>
      <c r="AJ40" s="104"/>
      <c r="AK40" s="104"/>
      <c r="AL40" s="104"/>
      <c r="AM40" s="104"/>
      <c r="AN40" s="104"/>
      <c r="AO40" s="104"/>
      <c r="AP40" s="104"/>
      <c r="AQ40" s="104"/>
      <c r="AR40" s="105"/>
      <c r="AS40" s="5"/>
    </row>
    <row r="41" spans="2:45" ht="11.25" customHeight="1" thickTop="1" thickBot="1" x14ac:dyDescent="0.3">
      <c r="B41" s="3"/>
      <c r="C41" s="4"/>
      <c r="D41" s="91"/>
      <c r="E41" s="91"/>
      <c r="F41" s="87" t="s">
        <v>7</v>
      </c>
      <c r="G41" s="87"/>
      <c r="H41" s="87" t="s">
        <v>7</v>
      </c>
      <c r="I41" s="87"/>
      <c r="J41" s="87" t="s">
        <v>7</v>
      </c>
      <c r="K41" s="87"/>
      <c r="L41" s="4"/>
      <c r="M41" s="4"/>
      <c r="N41" s="4" t="s">
        <v>111</v>
      </c>
      <c r="O41" s="8"/>
      <c r="P41" s="8"/>
      <c r="Q41" s="8"/>
      <c r="R41" s="8"/>
      <c r="S41" s="4"/>
      <c r="T41" s="4"/>
      <c r="AD41" s="97" t="s">
        <v>15</v>
      </c>
      <c r="AE41" s="63"/>
      <c r="AF41" s="81">
        <v>0.1</v>
      </c>
      <c r="AG41" s="82"/>
      <c r="AH41" s="9" t="s">
        <v>21</v>
      </c>
      <c r="AI41" s="10" t="s">
        <v>104</v>
      </c>
      <c r="AJ41" s="11"/>
      <c r="AK41" s="11"/>
      <c r="AL41" s="11"/>
      <c r="AM41" s="11"/>
      <c r="AN41" s="11"/>
      <c r="AO41" s="11"/>
      <c r="AP41" s="11"/>
      <c r="AQ41" s="11"/>
      <c r="AR41" s="9"/>
      <c r="AS41" s="5"/>
    </row>
    <row r="42" spans="2:45" ht="11.25" customHeight="1" thickTop="1" x14ac:dyDescent="0.25">
      <c r="B42" s="3"/>
      <c r="C42" s="4"/>
      <c r="D42" s="96" t="s">
        <v>1</v>
      </c>
      <c r="E42" s="96"/>
      <c r="F42" s="92">
        <v>0</v>
      </c>
      <c r="G42" s="92"/>
      <c r="H42" s="88">
        <v>0.65600000000000003</v>
      </c>
      <c r="I42" s="88"/>
      <c r="J42" s="88">
        <v>5.0869999999999997</v>
      </c>
      <c r="K42" s="88"/>
      <c r="L42" s="4"/>
      <c r="M42" s="4"/>
      <c r="N42" s="4"/>
      <c r="O42" s="4"/>
      <c r="P42" s="4"/>
      <c r="Q42" s="4"/>
      <c r="R42" s="4"/>
      <c r="S42" s="4"/>
      <c r="T42" s="4"/>
      <c r="AD42" s="98" t="s">
        <v>14</v>
      </c>
      <c r="AE42" s="99"/>
      <c r="AF42" s="83">
        <v>0.3</v>
      </c>
      <c r="AG42" s="84"/>
      <c r="AH42" s="12" t="s">
        <v>21</v>
      </c>
      <c r="AI42" s="13" t="s">
        <v>96</v>
      </c>
      <c r="AJ42" s="14"/>
      <c r="AK42" s="14"/>
      <c r="AL42" s="14"/>
      <c r="AM42" s="14"/>
      <c r="AN42" s="14"/>
      <c r="AO42" s="14"/>
      <c r="AP42" s="14"/>
      <c r="AQ42" s="14"/>
      <c r="AR42" s="12"/>
      <c r="AS42" s="5"/>
    </row>
    <row r="43" spans="2:45" ht="11.25" customHeight="1" x14ac:dyDescent="0.25">
      <c r="B43" s="3"/>
      <c r="C43" s="4"/>
      <c r="D43" s="85" t="s">
        <v>4</v>
      </c>
      <c r="E43" s="85"/>
      <c r="F43" s="86">
        <v>1.5249999999999999</v>
      </c>
      <c r="G43" s="86"/>
      <c r="H43" s="86">
        <v>1.389</v>
      </c>
      <c r="I43" s="86"/>
      <c r="J43" s="86">
        <v>3.395</v>
      </c>
      <c r="K43" s="86"/>
      <c r="L43" s="4"/>
      <c r="M43" s="4"/>
      <c r="N43" s="4"/>
      <c r="O43" s="4"/>
      <c r="P43" s="4"/>
      <c r="Q43" s="4"/>
      <c r="R43" s="4"/>
      <c r="S43" s="4"/>
      <c r="T43" s="4"/>
      <c r="AD43" s="98" t="s">
        <v>13</v>
      </c>
      <c r="AE43" s="99"/>
      <c r="AF43" s="83">
        <v>0.03</v>
      </c>
      <c r="AG43" s="84"/>
      <c r="AH43" s="12" t="s">
        <v>21</v>
      </c>
      <c r="AI43" s="13" t="s">
        <v>97</v>
      </c>
      <c r="AJ43" s="14"/>
      <c r="AK43" s="14"/>
      <c r="AL43" s="14"/>
      <c r="AM43" s="14"/>
      <c r="AN43" s="14"/>
      <c r="AO43" s="14"/>
      <c r="AP43" s="14"/>
      <c r="AQ43" s="14"/>
      <c r="AR43" s="12"/>
      <c r="AS43" s="5"/>
    </row>
    <row r="44" spans="2:45" ht="11.25" customHeight="1" x14ac:dyDescent="0.25">
      <c r="B44" s="3"/>
      <c r="C44" s="4"/>
      <c r="D44" s="85" t="s">
        <v>5</v>
      </c>
      <c r="E44" s="85"/>
      <c r="F44" s="85">
        <f>-F43</f>
        <v>-1.5249999999999999</v>
      </c>
      <c r="G44" s="85"/>
      <c r="H44" s="85">
        <f>+H43</f>
        <v>1.389</v>
      </c>
      <c r="I44" s="85"/>
      <c r="J44" s="89">
        <f>+J43</f>
        <v>3.395</v>
      </c>
      <c r="K44" s="89"/>
      <c r="L44" s="4"/>
      <c r="M44" s="4"/>
      <c r="N44" s="4"/>
      <c r="O44" s="4"/>
      <c r="P44" s="4"/>
      <c r="Q44" s="4"/>
      <c r="R44" s="4"/>
      <c r="S44" s="4"/>
      <c r="T44" s="4"/>
      <c r="AD44" s="98" t="s">
        <v>12</v>
      </c>
      <c r="AE44" s="99"/>
      <c r="AF44" s="83">
        <v>0.05</v>
      </c>
      <c r="AG44" s="84"/>
      <c r="AH44" s="12" t="s">
        <v>21</v>
      </c>
      <c r="AI44" s="13" t="s">
        <v>105</v>
      </c>
      <c r="AJ44" s="14"/>
      <c r="AK44" s="14"/>
      <c r="AL44" s="14"/>
      <c r="AM44" s="14"/>
      <c r="AN44" s="14"/>
      <c r="AO44" s="14"/>
      <c r="AP44" s="14"/>
      <c r="AQ44" s="14"/>
      <c r="AR44" s="12"/>
      <c r="AS44" s="5"/>
    </row>
    <row r="45" spans="2:45" ht="11.25" customHeight="1" x14ac:dyDescent="0.25">
      <c r="B45" s="3"/>
      <c r="C45" s="4"/>
      <c r="D45" s="85" t="s">
        <v>3</v>
      </c>
      <c r="E45" s="85"/>
      <c r="F45" s="86">
        <v>2.7480000000000002</v>
      </c>
      <c r="G45" s="86"/>
      <c r="H45" s="86">
        <v>0.83</v>
      </c>
      <c r="I45" s="86"/>
      <c r="J45" s="86">
        <v>2.0499999999999998</v>
      </c>
      <c r="K45" s="86"/>
      <c r="L45" s="4"/>
      <c r="M45" s="4"/>
      <c r="N45" s="4"/>
      <c r="O45" s="4"/>
      <c r="P45" s="4"/>
      <c r="Q45" s="4"/>
      <c r="R45" s="4"/>
      <c r="S45" s="4"/>
      <c r="T45" s="4"/>
      <c r="AD45" s="98" t="s">
        <v>11</v>
      </c>
      <c r="AE45" s="99"/>
      <c r="AF45" s="83">
        <v>0.4</v>
      </c>
      <c r="AG45" s="84"/>
      <c r="AH45" s="12" t="s">
        <v>21</v>
      </c>
      <c r="AI45" s="13" t="s">
        <v>98</v>
      </c>
      <c r="AJ45" s="14"/>
      <c r="AK45" s="14"/>
      <c r="AL45" s="14"/>
      <c r="AM45" s="14"/>
      <c r="AN45" s="14"/>
      <c r="AO45" s="14"/>
      <c r="AP45" s="14"/>
      <c r="AQ45" s="14"/>
      <c r="AR45" s="12"/>
      <c r="AS45" s="5"/>
    </row>
    <row r="46" spans="2:45" ht="11.25" customHeight="1" x14ac:dyDescent="0.25">
      <c r="B46" s="3"/>
      <c r="C46" s="4"/>
      <c r="D46" s="85" t="s">
        <v>2</v>
      </c>
      <c r="E46" s="85"/>
      <c r="F46" s="85">
        <f>-F45</f>
        <v>-2.7480000000000002</v>
      </c>
      <c r="G46" s="85"/>
      <c r="H46" s="85">
        <f>+H45</f>
        <v>0.83</v>
      </c>
      <c r="I46" s="85"/>
      <c r="J46" s="89">
        <f>+J45</f>
        <v>2.0499999999999998</v>
      </c>
      <c r="K46" s="89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P46" s="4"/>
      <c r="AQ46" s="4"/>
      <c r="AR46" s="4"/>
      <c r="AS46" s="5"/>
    </row>
    <row r="47" spans="2:45" ht="11.25" customHeight="1" x14ac:dyDescent="0.25">
      <c r="B47" s="3"/>
      <c r="C47" s="4"/>
      <c r="D47" s="85" t="s">
        <v>6</v>
      </c>
      <c r="E47" s="85"/>
      <c r="F47" s="89">
        <v>0</v>
      </c>
      <c r="G47" s="89"/>
      <c r="H47" s="86">
        <v>8.1690000000000005</v>
      </c>
      <c r="I47" s="86"/>
      <c r="J47" s="86">
        <v>9.8870000000000005</v>
      </c>
      <c r="K47" s="86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5"/>
    </row>
    <row r="48" spans="2:45" x14ac:dyDescent="0.25">
      <c r="B48" s="3"/>
      <c r="C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5"/>
    </row>
    <row r="49" spans="2:46" x14ac:dyDescent="0.25">
      <c r="B49" s="3"/>
      <c r="C49" s="4"/>
      <c r="D49" s="15" t="s">
        <v>119</v>
      </c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5"/>
    </row>
    <row r="50" spans="2:46" x14ac:dyDescent="0.25">
      <c r="B50" s="3"/>
      <c r="C50" s="4"/>
      <c r="D50" s="16" t="s">
        <v>16</v>
      </c>
      <c r="E50" s="4"/>
      <c r="F50" s="4"/>
      <c r="G50" s="4"/>
      <c r="H50" s="4"/>
      <c r="I50" s="4"/>
      <c r="J50" s="50">
        <f>+AF41</f>
        <v>0.1</v>
      </c>
      <c r="K50" s="50"/>
      <c r="L50" s="4" t="s">
        <v>21</v>
      </c>
      <c r="M50" s="4"/>
      <c r="N50" s="4"/>
      <c r="O50" s="100" t="s">
        <v>28</v>
      </c>
      <c r="P50" s="101"/>
      <c r="Q50" s="101"/>
      <c r="R50" s="101"/>
      <c r="S50" s="101"/>
      <c r="T50" s="101"/>
      <c r="U50" s="101"/>
      <c r="V50" s="101"/>
      <c r="W50" s="101"/>
      <c r="X50" s="101"/>
      <c r="Y50" s="102"/>
      <c r="Z50" s="69" t="s">
        <v>1</v>
      </c>
      <c r="AA50" s="70"/>
      <c r="AB50" s="71"/>
      <c r="AC50" s="69" t="s">
        <v>4</v>
      </c>
      <c r="AD50" s="70"/>
      <c r="AE50" s="71"/>
      <c r="AF50" s="69" t="s">
        <v>5</v>
      </c>
      <c r="AG50" s="70"/>
      <c r="AH50" s="71"/>
      <c r="AI50" s="69" t="s">
        <v>3</v>
      </c>
      <c r="AJ50" s="70"/>
      <c r="AK50" s="71"/>
      <c r="AL50" s="69" t="s">
        <v>2</v>
      </c>
      <c r="AM50" s="70"/>
      <c r="AN50" s="71"/>
      <c r="AO50" s="69" t="s">
        <v>6</v>
      </c>
      <c r="AP50" s="70"/>
      <c r="AQ50" s="71"/>
      <c r="AR50" s="4"/>
      <c r="AS50" s="5"/>
    </row>
    <row r="51" spans="2:46" ht="12" thickBot="1" x14ac:dyDescent="0.3">
      <c r="B51" s="3"/>
      <c r="C51" s="4"/>
      <c r="D51" s="16" t="s">
        <v>17</v>
      </c>
      <c r="E51" s="4"/>
      <c r="F51" s="4"/>
      <c r="G51" s="4"/>
      <c r="H51" s="4"/>
      <c r="I51" s="4"/>
      <c r="J51" s="50">
        <f>+AF42</f>
        <v>0.3</v>
      </c>
      <c r="K51" s="50"/>
      <c r="L51" s="4" t="s">
        <v>21</v>
      </c>
      <c r="M51" s="4"/>
      <c r="N51" s="4"/>
      <c r="O51" s="103"/>
      <c r="P51" s="104"/>
      <c r="Q51" s="104"/>
      <c r="R51" s="104"/>
      <c r="S51" s="104"/>
      <c r="T51" s="104"/>
      <c r="U51" s="104"/>
      <c r="V51" s="104"/>
      <c r="W51" s="104"/>
      <c r="X51" s="104"/>
      <c r="Y51" s="105"/>
      <c r="Z51" s="72"/>
      <c r="AA51" s="73"/>
      <c r="AB51" s="74"/>
      <c r="AC51" s="72"/>
      <c r="AD51" s="73"/>
      <c r="AE51" s="74"/>
      <c r="AF51" s="72"/>
      <c r="AG51" s="73"/>
      <c r="AH51" s="74"/>
      <c r="AI51" s="72"/>
      <c r="AJ51" s="73"/>
      <c r="AK51" s="74"/>
      <c r="AL51" s="72"/>
      <c r="AM51" s="73"/>
      <c r="AN51" s="74"/>
      <c r="AO51" s="72"/>
      <c r="AP51" s="73"/>
      <c r="AQ51" s="74"/>
      <c r="AR51" s="4"/>
      <c r="AS51" s="5"/>
    </row>
    <row r="52" spans="2:46" ht="12" thickTop="1" x14ac:dyDescent="0.25">
      <c r="B52" s="3"/>
      <c r="C52" s="4"/>
      <c r="D52" s="16" t="s">
        <v>22</v>
      </c>
      <c r="E52" s="4"/>
      <c r="F52" s="4"/>
      <c r="G52" s="4"/>
      <c r="H52" s="4"/>
      <c r="I52" s="4"/>
      <c r="J52" s="50">
        <f>+AF43</f>
        <v>0.03</v>
      </c>
      <c r="K52" s="50"/>
      <c r="L52" s="4" t="s">
        <v>21</v>
      </c>
      <c r="M52" s="4"/>
      <c r="N52" s="4"/>
      <c r="O52" s="10" t="s">
        <v>23</v>
      </c>
      <c r="P52" s="11"/>
      <c r="Q52" s="11"/>
      <c r="R52" s="11"/>
      <c r="S52" s="11"/>
      <c r="T52" s="11"/>
      <c r="U52" s="11"/>
      <c r="V52" s="11"/>
      <c r="W52" s="11"/>
      <c r="X52" s="11"/>
      <c r="Y52" s="9"/>
      <c r="Z52" s="62">
        <f>2*(ATAN(F43/(H43-H42))*180/PI())</f>
        <v>128.65693277489785</v>
      </c>
      <c r="AA52" s="62"/>
      <c r="AB52" s="62"/>
      <c r="AC52" s="62">
        <f>(90-ATAN(F43/(H43-H42))*180/PI())+(ATAN((H43-H45)/(F45-F43))*180/PI())</f>
        <v>50.235383374506867</v>
      </c>
      <c r="AD52" s="62"/>
      <c r="AE52" s="62"/>
      <c r="AF52" s="62">
        <f>+AC52</f>
        <v>50.235383374506867</v>
      </c>
      <c r="AG52" s="62"/>
      <c r="AH52" s="62"/>
      <c r="AI52" s="62">
        <f>90-(ATAN(F45/(H47-H45))*180/PI())-(ATAN((H43-H45)/(F45-F43))*180/PI())</f>
        <v>44.90834387040583</v>
      </c>
      <c r="AJ52" s="62"/>
      <c r="AK52" s="62"/>
      <c r="AL52" s="62">
        <f>+AI52</f>
        <v>44.90834387040583</v>
      </c>
      <c r="AM52" s="62"/>
      <c r="AN52" s="62"/>
      <c r="AO52" s="62">
        <f>2*ATAN(F45/(H47-H45))*180/PI()</f>
        <v>41.055612735276746</v>
      </c>
      <c r="AP52" s="62"/>
      <c r="AQ52" s="62"/>
      <c r="AR52" s="4"/>
      <c r="AS52" s="5"/>
    </row>
    <row r="53" spans="2:46" x14ac:dyDescent="0.25">
      <c r="B53" s="3"/>
      <c r="C53" s="4"/>
      <c r="D53" s="16" t="s">
        <v>18</v>
      </c>
      <c r="E53" s="4"/>
      <c r="F53" s="4"/>
      <c r="G53" s="4"/>
      <c r="H53" s="4"/>
      <c r="I53" s="4"/>
      <c r="J53" s="50">
        <f>+AF44</f>
        <v>0.05</v>
      </c>
      <c r="K53" s="50"/>
      <c r="L53" s="4" t="s">
        <v>21</v>
      </c>
      <c r="M53" s="4"/>
      <c r="N53" s="4"/>
      <c r="O53" s="13" t="s">
        <v>24</v>
      </c>
      <c r="P53" s="14"/>
      <c r="Q53" s="14"/>
      <c r="R53" s="14"/>
      <c r="S53" s="14"/>
      <c r="T53" s="14"/>
      <c r="U53" s="14"/>
      <c r="V53" s="14"/>
      <c r="W53" s="14"/>
      <c r="X53" s="14"/>
      <c r="Y53" s="12"/>
      <c r="Z53" s="54">
        <f>+J42</f>
        <v>5.0869999999999997</v>
      </c>
      <c r="AA53" s="54"/>
      <c r="AB53" s="54"/>
      <c r="AC53" s="54">
        <f>+J43</f>
        <v>3.395</v>
      </c>
      <c r="AD53" s="54"/>
      <c r="AE53" s="54"/>
      <c r="AF53" s="54">
        <f>+J44</f>
        <v>3.395</v>
      </c>
      <c r="AG53" s="54"/>
      <c r="AH53" s="54"/>
      <c r="AI53" s="54">
        <f>+J45</f>
        <v>2.0499999999999998</v>
      </c>
      <c r="AJ53" s="54"/>
      <c r="AK53" s="54"/>
      <c r="AL53" s="54">
        <f>+J46</f>
        <v>2.0499999999999998</v>
      </c>
      <c r="AM53" s="54"/>
      <c r="AN53" s="54"/>
      <c r="AO53" s="54">
        <f>+J47</f>
        <v>9.8870000000000005</v>
      </c>
      <c r="AP53" s="54"/>
      <c r="AQ53" s="54"/>
      <c r="AR53" s="4"/>
      <c r="AS53" s="5"/>
    </row>
    <row r="54" spans="2:46" x14ac:dyDescent="0.25">
      <c r="B54" s="3"/>
      <c r="C54" s="4"/>
      <c r="D54" s="16" t="s">
        <v>19</v>
      </c>
      <c r="E54" s="4"/>
      <c r="F54" s="4"/>
      <c r="G54" s="4"/>
      <c r="H54" s="4"/>
      <c r="I54" s="4"/>
      <c r="J54" s="63">
        <f>+AF45</f>
        <v>0.4</v>
      </c>
      <c r="K54" s="63"/>
      <c r="L54" s="11" t="s">
        <v>21</v>
      </c>
      <c r="M54" s="4"/>
      <c r="N54" s="4"/>
      <c r="O54" s="13" t="s">
        <v>25</v>
      </c>
      <c r="P54" s="14"/>
      <c r="Q54" s="14"/>
      <c r="R54" s="14"/>
      <c r="S54" s="14"/>
      <c r="T54" s="14"/>
      <c r="U54" s="14"/>
      <c r="V54" s="14"/>
      <c r="W54" s="14"/>
      <c r="X54" s="14"/>
      <c r="Y54" s="12"/>
      <c r="Z54" s="54">
        <f>+Z53+J55</f>
        <v>5.9669999999999996</v>
      </c>
      <c r="AA54" s="54"/>
      <c r="AB54" s="54"/>
      <c r="AC54" s="54">
        <f>+AC53+J55</f>
        <v>4.2750000000000004</v>
      </c>
      <c r="AD54" s="54"/>
      <c r="AE54" s="54"/>
      <c r="AF54" s="54">
        <f>+AF53+J55</f>
        <v>4.2750000000000004</v>
      </c>
      <c r="AG54" s="54"/>
      <c r="AH54" s="54"/>
      <c r="AI54" s="54">
        <f>+AI53+J55</f>
        <v>2.9299999999999997</v>
      </c>
      <c r="AJ54" s="54"/>
      <c r="AK54" s="54"/>
      <c r="AL54" s="54">
        <f>+J55+AL53</f>
        <v>2.9299999999999997</v>
      </c>
      <c r="AM54" s="54"/>
      <c r="AN54" s="54"/>
      <c r="AO54" s="54">
        <f>+J55+AO53</f>
        <v>10.767000000000001</v>
      </c>
      <c r="AP54" s="54"/>
      <c r="AQ54" s="54"/>
      <c r="AR54" s="4"/>
      <c r="AS54" s="5"/>
    </row>
    <row r="55" spans="2:46" x14ac:dyDescent="0.25">
      <c r="B55" s="3"/>
      <c r="C55" s="4"/>
      <c r="D55" s="16" t="s">
        <v>20</v>
      </c>
      <c r="E55" s="4"/>
      <c r="F55" s="4"/>
      <c r="G55" s="4"/>
      <c r="H55" s="4"/>
      <c r="I55" s="4"/>
      <c r="J55" s="50">
        <f>SUM(J50:K54)</f>
        <v>0.88000000000000012</v>
      </c>
      <c r="K55" s="50"/>
      <c r="L55" s="4" t="s">
        <v>21</v>
      </c>
      <c r="M55" s="4"/>
      <c r="N55" s="4"/>
      <c r="O55" s="13" t="s">
        <v>26</v>
      </c>
      <c r="P55" s="14"/>
      <c r="Q55" s="14"/>
      <c r="R55" s="14"/>
      <c r="S55" s="14"/>
      <c r="T55" s="14"/>
      <c r="U55" s="14"/>
      <c r="V55" s="14"/>
      <c r="W55" s="14"/>
      <c r="X55" s="14"/>
      <c r="Y55" s="12"/>
      <c r="Z55" s="54">
        <f>PI()*Z54^2*Z52/360</f>
        <v>39.97538370929496</v>
      </c>
      <c r="AA55" s="54"/>
      <c r="AB55" s="54"/>
      <c r="AC55" s="54">
        <f t="shared" ref="AC55" si="0">PI()*AC54^2*AC52/360</f>
        <v>8.011785825115588</v>
      </c>
      <c r="AD55" s="54"/>
      <c r="AE55" s="54"/>
      <c r="AF55" s="54">
        <f t="shared" ref="AF55" si="1">PI()*AF54^2*AF52/360</f>
        <v>8.011785825115588</v>
      </c>
      <c r="AG55" s="54"/>
      <c r="AH55" s="54"/>
      <c r="AI55" s="54">
        <f t="shared" ref="AI55" si="2">PI()*AI54^2*AI52/360</f>
        <v>3.3644157088832185</v>
      </c>
      <c r="AJ55" s="54"/>
      <c r="AK55" s="54"/>
      <c r="AL55" s="54">
        <f t="shared" ref="AL55" si="3">PI()*AL54^2*AL52/360</f>
        <v>3.3644157088832185</v>
      </c>
      <c r="AM55" s="54"/>
      <c r="AN55" s="54"/>
      <c r="AO55" s="54">
        <f t="shared" ref="AO55" si="4">PI()*AO54^2*AO52/360</f>
        <v>41.534533421964419</v>
      </c>
      <c r="AP55" s="54"/>
      <c r="AQ55" s="54"/>
      <c r="AR55" s="4"/>
      <c r="AS55" s="5"/>
    </row>
    <row r="56" spans="2:46" x14ac:dyDescent="0.25">
      <c r="B56" s="3"/>
      <c r="C56" s="4"/>
      <c r="M56" s="4"/>
      <c r="N56" s="4"/>
      <c r="O56" s="13" t="s">
        <v>27</v>
      </c>
      <c r="P56" s="14"/>
      <c r="Q56" s="14"/>
      <c r="R56" s="14"/>
      <c r="S56" s="14"/>
      <c r="T56" s="14"/>
      <c r="U56" s="14"/>
      <c r="V56" s="14"/>
      <c r="W56" s="14"/>
      <c r="X56" s="14"/>
      <c r="Y56" s="12"/>
      <c r="Z56" s="46">
        <f>SUM(Z55:AQ55)</f>
        <v>104.262320199257</v>
      </c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8"/>
      <c r="AR56" s="4"/>
      <c r="AS56" s="5"/>
    </row>
    <row r="57" spans="2:46" x14ac:dyDescent="0.25">
      <c r="B57" s="3" t="s">
        <v>29</v>
      </c>
      <c r="C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5"/>
    </row>
    <row r="58" spans="2:46" x14ac:dyDescent="0.25">
      <c r="B58" s="106">
        <f>-O6</f>
        <v>-4.7681526009750383</v>
      </c>
      <c r="C58" s="107"/>
      <c r="D58" s="37" t="s">
        <v>30</v>
      </c>
      <c r="E58" s="107">
        <f>+C19</f>
        <v>7.5130000000000008</v>
      </c>
      <c r="F58" s="107"/>
      <c r="G58" s="37" t="s">
        <v>31</v>
      </c>
      <c r="H58" s="17">
        <v>2</v>
      </c>
      <c r="I58" s="18" t="s">
        <v>32</v>
      </c>
      <c r="J58" s="108">
        <f>+O6</f>
        <v>4.7681526009750383</v>
      </c>
      <c r="K58" s="108"/>
      <c r="L58" s="38" t="s">
        <v>33</v>
      </c>
      <c r="M58" s="108">
        <f>2*F45</f>
        <v>5.4960000000000004</v>
      </c>
      <c r="N58" s="108"/>
      <c r="O58" s="17" t="s">
        <v>34</v>
      </c>
      <c r="P58" s="38">
        <v>2</v>
      </c>
      <c r="Q58" s="18" t="s">
        <v>30</v>
      </c>
      <c r="R58" s="49">
        <f>+D25</f>
        <v>0.97191995295564038</v>
      </c>
      <c r="S58" s="108"/>
      <c r="T58" s="17" t="s">
        <v>35</v>
      </c>
      <c r="U58" s="108">
        <f>+F43*2</f>
        <v>3.05</v>
      </c>
      <c r="V58" s="108"/>
      <c r="W58" s="38" t="s">
        <v>33</v>
      </c>
      <c r="X58" s="108">
        <f>+F45*2</f>
        <v>5.4960000000000004</v>
      </c>
      <c r="Y58" s="108"/>
      <c r="Z58" s="17" t="s">
        <v>34</v>
      </c>
      <c r="AA58" s="38">
        <v>2</v>
      </c>
      <c r="AB58" s="35" t="s">
        <v>30</v>
      </c>
      <c r="AC58" s="49">
        <f>+H43-H45</f>
        <v>0.55900000000000005</v>
      </c>
      <c r="AD58" s="108"/>
      <c r="AE58" s="17" t="s">
        <v>35</v>
      </c>
      <c r="AF58" s="108">
        <f>+O6</f>
        <v>4.7681526009750383</v>
      </c>
      <c r="AG58" s="108"/>
      <c r="AH58" s="38" t="s">
        <v>33</v>
      </c>
      <c r="AI58" s="108">
        <f>2*F43</f>
        <v>3.05</v>
      </c>
      <c r="AJ58" s="108"/>
      <c r="AK58" s="17" t="s">
        <v>34</v>
      </c>
      <c r="AL58" s="38">
        <v>2</v>
      </c>
      <c r="AM58" s="35" t="s">
        <v>30</v>
      </c>
      <c r="AN58" s="49">
        <f>+D25-(H43-H45)</f>
        <v>0.41291995295564032</v>
      </c>
      <c r="AO58" s="108"/>
      <c r="AP58" s="16" t="s">
        <v>36</v>
      </c>
      <c r="AQ58" s="107">
        <f>B58*E58/H58-((J58+M58)/P58*R58-(U58+X58)/AA58*AC58-(AF58+AI58)/AL58*AN58)</f>
        <v>-18.896790000000006</v>
      </c>
      <c r="AR58" s="107"/>
      <c r="AS58" s="19" t="s">
        <v>37</v>
      </c>
    </row>
    <row r="59" spans="2:46" x14ac:dyDescent="0.2">
      <c r="B59" s="3"/>
      <c r="C59" s="20" t="s">
        <v>117</v>
      </c>
      <c r="D59" s="16"/>
      <c r="E59" s="16"/>
      <c r="F59" s="16"/>
      <c r="G59" s="16"/>
      <c r="I59" s="49">
        <f>+Z56</f>
        <v>104.262320199257</v>
      </c>
      <c r="J59" s="49"/>
      <c r="K59" s="49"/>
      <c r="L59" s="37" t="s">
        <v>39</v>
      </c>
      <c r="M59" s="49">
        <f>-AQ58</f>
        <v>18.896790000000006</v>
      </c>
      <c r="N59" s="49"/>
      <c r="O59" s="37" t="s">
        <v>38</v>
      </c>
      <c r="P59" s="64">
        <f>+I59-M59</f>
        <v>85.365530199256995</v>
      </c>
      <c r="Q59" s="64"/>
      <c r="R59" s="20" t="s">
        <v>102</v>
      </c>
      <c r="T59" s="2" t="s">
        <v>103</v>
      </c>
      <c r="W59" s="21"/>
      <c r="X59" s="21"/>
      <c r="Y59" s="16"/>
      <c r="Z59" s="16"/>
      <c r="AA59" s="16"/>
      <c r="AB59" s="16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17"/>
      <c r="AN59" s="17"/>
      <c r="AO59" s="17"/>
      <c r="AP59" s="17"/>
      <c r="AQ59" s="22"/>
      <c r="AR59" s="22"/>
      <c r="AS59" s="23"/>
      <c r="AT59" s="22"/>
    </row>
    <row r="60" spans="2:46" x14ac:dyDescent="0.2">
      <c r="B60" s="3"/>
      <c r="C60" s="20"/>
      <c r="D60" s="16"/>
      <c r="E60" s="16"/>
      <c r="F60" s="16"/>
      <c r="G60" s="16"/>
      <c r="H60" s="35"/>
      <c r="W60" s="21"/>
      <c r="X60" s="21"/>
      <c r="Y60" s="16"/>
      <c r="Z60" s="16"/>
      <c r="AA60" s="16"/>
      <c r="AB60" s="16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17"/>
      <c r="AN60" s="17"/>
      <c r="AO60" s="17"/>
      <c r="AP60" s="17"/>
      <c r="AQ60" s="22"/>
      <c r="AR60" s="22"/>
      <c r="AS60" s="23"/>
      <c r="AT60" s="22"/>
    </row>
    <row r="61" spans="2:46" x14ac:dyDescent="0.25">
      <c r="B61" s="3"/>
      <c r="C61" s="4"/>
      <c r="D61" s="15" t="s">
        <v>118</v>
      </c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5"/>
    </row>
    <row r="62" spans="2:46" x14ac:dyDescent="0.25">
      <c r="B62" s="3"/>
      <c r="C62" s="4"/>
      <c r="D62" s="16" t="s">
        <v>41</v>
      </c>
      <c r="L62" s="50">
        <f>+AF42/2</f>
        <v>0.15</v>
      </c>
      <c r="M62" s="50"/>
      <c r="N62" s="4" t="s">
        <v>21</v>
      </c>
      <c r="P62" s="55" t="s">
        <v>42</v>
      </c>
      <c r="Q62" s="56"/>
      <c r="R62" s="56"/>
      <c r="S62" s="56"/>
      <c r="T62" s="56"/>
      <c r="U62" s="56"/>
      <c r="V62" s="56"/>
      <c r="W62" s="56"/>
      <c r="X62" s="56"/>
      <c r="Y62" s="57"/>
      <c r="Z62" s="69" t="s">
        <v>1</v>
      </c>
      <c r="AA62" s="70"/>
      <c r="AB62" s="71"/>
      <c r="AC62" s="69" t="s">
        <v>4</v>
      </c>
      <c r="AD62" s="70"/>
      <c r="AE62" s="71"/>
      <c r="AF62" s="69" t="s">
        <v>5</v>
      </c>
      <c r="AG62" s="70"/>
      <c r="AH62" s="71"/>
      <c r="AI62" s="69" t="s">
        <v>3</v>
      </c>
      <c r="AJ62" s="70"/>
      <c r="AK62" s="71"/>
      <c r="AL62" s="69" t="s">
        <v>2</v>
      </c>
      <c r="AM62" s="70"/>
      <c r="AN62" s="71"/>
      <c r="AO62" s="69" t="s">
        <v>6</v>
      </c>
      <c r="AP62" s="70"/>
      <c r="AQ62" s="71"/>
      <c r="AS62" s="5"/>
    </row>
    <row r="63" spans="2:46" ht="12" thickBot="1" x14ac:dyDescent="0.3">
      <c r="B63" s="3"/>
      <c r="C63" s="4"/>
      <c r="D63" s="16" t="s">
        <v>22</v>
      </c>
      <c r="L63" s="50">
        <f>+AF43</f>
        <v>0.03</v>
      </c>
      <c r="M63" s="50"/>
      <c r="N63" s="4" t="s">
        <v>21</v>
      </c>
      <c r="P63" s="66"/>
      <c r="Q63" s="67"/>
      <c r="R63" s="67"/>
      <c r="S63" s="67"/>
      <c r="T63" s="67"/>
      <c r="U63" s="67"/>
      <c r="V63" s="67"/>
      <c r="W63" s="67"/>
      <c r="X63" s="67"/>
      <c r="Y63" s="68"/>
      <c r="Z63" s="72"/>
      <c r="AA63" s="73"/>
      <c r="AB63" s="74"/>
      <c r="AC63" s="72"/>
      <c r="AD63" s="73"/>
      <c r="AE63" s="74"/>
      <c r="AF63" s="72"/>
      <c r="AG63" s="73"/>
      <c r="AH63" s="74"/>
      <c r="AI63" s="72"/>
      <c r="AJ63" s="73"/>
      <c r="AK63" s="74"/>
      <c r="AL63" s="72"/>
      <c r="AM63" s="73"/>
      <c r="AN63" s="74"/>
      <c r="AO63" s="72"/>
      <c r="AP63" s="73"/>
      <c r="AQ63" s="74"/>
      <c r="AS63" s="5"/>
    </row>
    <row r="64" spans="2:46" ht="12" thickTop="1" x14ac:dyDescent="0.25">
      <c r="B64" s="3"/>
      <c r="C64" s="4"/>
      <c r="D64" s="16" t="s">
        <v>18</v>
      </c>
      <c r="E64" s="4"/>
      <c r="F64" s="4"/>
      <c r="G64" s="4"/>
      <c r="H64" s="4"/>
      <c r="I64" s="4"/>
      <c r="J64" s="4"/>
      <c r="L64" s="50">
        <f>+AF44</f>
        <v>0.05</v>
      </c>
      <c r="M64" s="50"/>
      <c r="N64" s="4" t="s">
        <v>21</v>
      </c>
      <c r="O64" s="4"/>
      <c r="P64" s="10" t="s">
        <v>23</v>
      </c>
      <c r="Q64" s="11"/>
      <c r="R64" s="11"/>
      <c r="S64" s="11"/>
      <c r="T64" s="11"/>
      <c r="U64" s="11"/>
      <c r="V64" s="11"/>
      <c r="W64" s="11"/>
      <c r="X64" s="11"/>
      <c r="Y64" s="9"/>
      <c r="Z64" s="62">
        <f>+Z52</f>
        <v>128.65693277489785</v>
      </c>
      <c r="AA64" s="62"/>
      <c r="AB64" s="62"/>
      <c r="AC64" s="62">
        <f>+AC52</f>
        <v>50.235383374506867</v>
      </c>
      <c r="AD64" s="62"/>
      <c r="AE64" s="62"/>
      <c r="AF64" s="62">
        <f>+AF52</f>
        <v>50.235383374506867</v>
      </c>
      <c r="AG64" s="62"/>
      <c r="AH64" s="62"/>
      <c r="AI64" s="62">
        <f>+AI52</f>
        <v>44.90834387040583</v>
      </c>
      <c r="AJ64" s="62"/>
      <c r="AK64" s="62"/>
      <c r="AL64" s="62">
        <f>+AL52</f>
        <v>44.90834387040583</v>
      </c>
      <c r="AM64" s="62"/>
      <c r="AN64" s="62"/>
      <c r="AO64" s="62">
        <f>+AO52</f>
        <v>41.055612735276746</v>
      </c>
      <c r="AP64" s="62"/>
      <c r="AQ64" s="62"/>
      <c r="AR64" s="4"/>
      <c r="AS64" s="5"/>
    </row>
    <row r="65" spans="2:45" x14ac:dyDescent="0.25">
      <c r="B65" s="3"/>
      <c r="C65" s="4"/>
      <c r="D65" s="16" t="s">
        <v>40</v>
      </c>
      <c r="E65" s="4"/>
      <c r="F65" s="4"/>
      <c r="G65" s="4"/>
      <c r="H65" s="4"/>
      <c r="I65" s="4"/>
      <c r="J65" s="4"/>
      <c r="L65" s="63">
        <f>+AF45</f>
        <v>0.4</v>
      </c>
      <c r="M65" s="63"/>
      <c r="N65" s="11" t="s">
        <v>21</v>
      </c>
      <c r="O65" s="4"/>
      <c r="P65" s="13" t="s">
        <v>24</v>
      </c>
      <c r="Q65" s="14"/>
      <c r="R65" s="14"/>
      <c r="S65" s="14"/>
      <c r="T65" s="14"/>
      <c r="U65" s="14"/>
      <c r="V65" s="14"/>
      <c r="W65" s="14"/>
      <c r="X65" s="14"/>
      <c r="Y65" s="12"/>
      <c r="Z65" s="54">
        <f>+Z53</f>
        <v>5.0869999999999997</v>
      </c>
      <c r="AA65" s="54"/>
      <c r="AB65" s="54"/>
      <c r="AC65" s="54">
        <f>+AC53</f>
        <v>3.395</v>
      </c>
      <c r="AD65" s="54"/>
      <c r="AE65" s="54"/>
      <c r="AF65" s="54">
        <f>+AF53</f>
        <v>3.395</v>
      </c>
      <c r="AG65" s="54"/>
      <c r="AH65" s="54"/>
      <c r="AI65" s="54">
        <f>+AI53</f>
        <v>2.0499999999999998</v>
      </c>
      <c r="AJ65" s="54"/>
      <c r="AK65" s="54"/>
      <c r="AL65" s="54">
        <f>+AL53</f>
        <v>2.0499999999999998</v>
      </c>
      <c r="AM65" s="54"/>
      <c r="AN65" s="54"/>
      <c r="AO65" s="54">
        <f>+AO53</f>
        <v>9.8870000000000005</v>
      </c>
      <c r="AP65" s="54"/>
      <c r="AQ65" s="54"/>
      <c r="AR65" s="4"/>
      <c r="AS65" s="5"/>
    </row>
    <row r="66" spans="2:45" x14ac:dyDescent="0.25">
      <c r="B66" s="3"/>
      <c r="C66" s="4"/>
      <c r="D66" s="16" t="s">
        <v>86</v>
      </c>
      <c r="E66" s="4"/>
      <c r="F66" s="4"/>
      <c r="G66" s="4"/>
      <c r="H66" s="4"/>
      <c r="I66" s="4"/>
      <c r="J66" s="4"/>
      <c r="L66" s="50">
        <f>SUM(L62:M65)</f>
        <v>0.63</v>
      </c>
      <c r="M66" s="50"/>
      <c r="N66" s="4" t="s">
        <v>21</v>
      </c>
      <c r="O66" s="4"/>
      <c r="P66" s="13" t="s">
        <v>43</v>
      </c>
      <c r="Q66" s="14"/>
      <c r="R66" s="14"/>
      <c r="S66" s="14"/>
      <c r="T66" s="14"/>
      <c r="U66" s="14"/>
      <c r="V66" s="14"/>
      <c r="W66" s="14"/>
      <c r="X66" s="14"/>
      <c r="Y66" s="12"/>
      <c r="Z66" s="54">
        <f>+Z65+L66</f>
        <v>5.7169999999999996</v>
      </c>
      <c r="AA66" s="54"/>
      <c r="AB66" s="54"/>
      <c r="AC66" s="54">
        <f>+AC65+L66</f>
        <v>4.0250000000000004</v>
      </c>
      <c r="AD66" s="54"/>
      <c r="AE66" s="54"/>
      <c r="AF66" s="54">
        <f>+AF65+L66</f>
        <v>4.0250000000000004</v>
      </c>
      <c r="AG66" s="54"/>
      <c r="AH66" s="54"/>
      <c r="AI66" s="54">
        <f>+AI65+L66</f>
        <v>2.6799999999999997</v>
      </c>
      <c r="AJ66" s="54"/>
      <c r="AK66" s="54"/>
      <c r="AL66" s="54">
        <f>+L66+AL65</f>
        <v>2.6799999999999997</v>
      </c>
      <c r="AM66" s="54"/>
      <c r="AN66" s="54"/>
      <c r="AO66" s="54">
        <f>+L66+AO65</f>
        <v>10.517000000000001</v>
      </c>
      <c r="AP66" s="54"/>
      <c r="AQ66" s="54"/>
      <c r="AR66" s="4"/>
      <c r="AS66" s="5"/>
    </row>
    <row r="67" spans="2:45" x14ac:dyDescent="0.25">
      <c r="B67" s="3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55" t="s">
        <v>44</v>
      </c>
      <c r="Q67" s="56"/>
      <c r="R67" s="56"/>
      <c r="S67" s="56"/>
      <c r="T67" s="56"/>
      <c r="U67" s="56"/>
      <c r="V67" s="56"/>
      <c r="W67" s="56"/>
      <c r="X67" s="56"/>
      <c r="Y67" s="57"/>
      <c r="Z67" s="61">
        <f>2*PI()*Z66*Z64/360</f>
        <v>12.837449650303604</v>
      </c>
      <c r="AA67" s="61"/>
      <c r="AB67" s="61"/>
      <c r="AC67" s="61">
        <f t="shared" ref="AC67" si="5">2*PI()*AC66*AC64/360</f>
        <v>3.5290106845692271</v>
      </c>
      <c r="AD67" s="61"/>
      <c r="AE67" s="61"/>
      <c r="AF67" s="61">
        <f t="shared" ref="AF67" si="6">2*PI()*AF66*AF64/360</f>
        <v>3.5290106845692271</v>
      </c>
      <c r="AG67" s="61"/>
      <c r="AH67" s="61"/>
      <c r="AI67" s="61">
        <f t="shared" ref="AI67" si="7">2*PI()*AI66*AI64/360</f>
        <v>2.1005798785791394</v>
      </c>
      <c r="AJ67" s="61"/>
      <c r="AK67" s="61"/>
      <c r="AL67" s="61">
        <f t="shared" ref="AL67" si="8">2*PI()*AL66*AL64/360</f>
        <v>2.1005798785791394</v>
      </c>
      <c r="AM67" s="61"/>
      <c r="AN67" s="61"/>
      <c r="AO67" s="61">
        <f t="shared" ref="AO67" si="9">2*PI()*AO66*AO64/360</f>
        <v>7.5360154413872147</v>
      </c>
      <c r="AP67" s="61"/>
      <c r="AQ67" s="61"/>
      <c r="AR67" s="4"/>
      <c r="AS67" s="5"/>
    </row>
    <row r="68" spans="2:45" x14ac:dyDescent="0.25">
      <c r="B68" s="3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58"/>
      <c r="Q68" s="59"/>
      <c r="R68" s="59"/>
      <c r="S68" s="59"/>
      <c r="T68" s="59"/>
      <c r="U68" s="59"/>
      <c r="V68" s="59"/>
      <c r="W68" s="59"/>
      <c r="X68" s="59"/>
      <c r="Y68" s="60"/>
      <c r="Z68" s="61"/>
      <c r="AA68" s="61"/>
      <c r="AB68" s="61"/>
      <c r="AC68" s="61"/>
      <c r="AD68" s="61"/>
      <c r="AE68" s="61"/>
      <c r="AF68" s="61"/>
      <c r="AG68" s="61"/>
      <c r="AH68" s="61"/>
      <c r="AI68" s="61"/>
      <c r="AJ68" s="61"/>
      <c r="AK68" s="61"/>
      <c r="AL68" s="61"/>
      <c r="AM68" s="61"/>
      <c r="AN68" s="61"/>
      <c r="AO68" s="61"/>
      <c r="AP68" s="61"/>
      <c r="AQ68" s="61"/>
      <c r="AR68" s="4"/>
      <c r="AS68" s="5"/>
    </row>
    <row r="69" spans="2:45" x14ac:dyDescent="0.25">
      <c r="B69" s="3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13" t="s">
        <v>45</v>
      </c>
      <c r="Q69" s="14"/>
      <c r="R69" s="14"/>
      <c r="S69" s="14"/>
      <c r="T69" s="14"/>
      <c r="U69" s="14"/>
      <c r="V69" s="14"/>
      <c r="W69" s="14"/>
      <c r="X69" s="14"/>
      <c r="Y69" s="12"/>
      <c r="Z69" s="46">
        <f>SUM(Z67:AQ68)</f>
        <v>31.632646217987549</v>
      </c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47"/>
      <c r="AN69" s="47"/>
      <c r="AO69" s="47"/>
      <c r="AP69" s="47"/>
      <c r="AQ69" s="48"/>
      <c r="AR69" s="4"/>
      <c r="AS69" s="5"/>
    </row>
    <row r="70" spans="2:45" x14ac:dyDescent="0.25">
      <c r="B70" s="3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AR70" s="4"/>
      <c r="AS70" s="5"/>
    </row>
    <row r="71" spans="2:45" x14ac:dyDescent="0.25">
      <c r="B71" s="3"/>
      <c r="C71" s="20" t="s">
        <v>116</v>
      </c>
      <c r="D71" s="4"/>
      <c r="E71" s="4"/>
      <c r="F71" s="4"/>
      <c r="G71" s="4"/>
      <c r="H71" s="4"/>
      <c r="I71" s="4"/>
      <c r="J71" s="4"/>
      <c r="K71" s="4"/>
      <c r="M71" s="49">
        <f>+Z69</f>
        <v>31.632646217987549</v>
      </c>
      <c r="N71" s="50"/>
      <c r="O71" s="33" t="s">
        <v>30</v>
      </c>
      <c r="P71" s="50">
        <f>+AF42</f>
        <v>0.3</v>
      </c>
      <c r="Q71" s="50"/>
      <c r="R71" s="34" t="s">
        <v>38</v>
      </c>
      <c r="S71" s="51">
        <f>+M71*P71</f>
        <v>9.4897938653962637</v>
      </c>
      <c r="T71" s="51"/>
      <c r="U71" s="24" t="s">
        <v>102</v>
      </c>
      <c r="W71" s="2" t="s">
        <v>103</v>
      </c>
      <c r="AR71" s="4"/>
      <c r="AS71" s="5"/>
    </row>
    <row r="72" spans="2:45" x14ac:dyDescent="0.25">
      <c r="B72" s="3"/>
      <c r="C72" s="4"/>
      <c r="D72" s="4"/>
      <c r="E72" s="4"/>
      <c r="F72" s="4"/>
      <c r="G72" s="4"/>
      <c r="H72" s="4"/>
      <c r="I72" s="4"/>
      <c r="J72" s="4"/>
      <c r="K72" s="4"/>
      <c r="L72" s="4"/>
      <c r="AR72" s="4"/>
      <c r="AS72" s="5"/>
    </row>
    <row r="73" spans="2:45" x14ac:dyDescent="0.25">
      <c r="B73" s="3"/>
      <c r="C73" s="4"/>
      <c r="D73" s="15" t="s">
        <v>49</v>
      </c>
      <c r="E73" s="4"/>
      <c r="F73" s="4"/>
      <c r="G73" s="4"/>
      <c r="H73" s="4"/>
      <c r="I73" s="4"/>
      <c r="J73" s="4"/>
      <c r="K73" s="32" t="s">
        <v>113</v>
      </c>
      <c r="L73" s="4"/>
      <c r="M73" s="4"/>
      <c r="N73" s="4"/>
      <c r="O73" s="4"/>
      <c r="P73" s="4"/>
      <c r="AR73" s="4"/>
      <c r="AS73" s="5"/>
    </row>
    <row r="74" spans="2:45" x14ac:dyDescent="0.25">
      <c r="B74" s="3"/>
      <c r="C74" s="4"/>
      <c r="D74" s="4" t="s">
        <v>47</v>
      </c>
      <c r="E74" s="4"/>
      <c r="F74" s="4"/>
      <c r="G74" s="4"/>
      <c r="H74" s="4"/>
      <c r="I74" s="4"/>
      <c r="J74" s="4"/>
      <c r="L74" s="4"/>
      <c r="M74" s="4"/>
      <c r="N74" s="4"/>
      <c r="O74" s="4"/>
      <c r="P74" s="4"/>
      <c r="AR74" s="4"/>
      <c r="AS74" s="5"/>
    </row>
    <row r="75" spans="2:45" x14ac:dyDescent="0.25">
      <c r="B75" s="3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R75" s="79">
        <v>0.08</v>
      </c>
      <c r="S75" s="79"/>
      <c r="T75" s="80" t="s">
        <v>21</v>
      </c>
      <c r="U75" s="80"/>
      <c r="Y75" s="4" t="s">
        <v>56</v>
      </c>
      <c r="Z75" s="4"/>
      <c r="AA75" s="4"/>
      <c r="AB75" s="4"/>
      <c r="AC75" s="4"/>
      <c r="AD75" s="53">
        <v>3.48</v>
      </c>
      <c r="AE75" s="53"/>
      <c r="AF75" s="4" t="s">
        <v>57</v>
      </c>
      <c r="AH75" s="2" t="s">
        <v>108</v>
      </c>
      <c r="AR75" s="4"/>
      <c r="AS75" s="5"/>
    </row>
    <row r="76" spans="2:45" x14ac:dyDescent="0.25">
      <c r="B76" s="3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R76" s="79"/>
      <c r="S76" s="79"/>
      <c r="T76" s="80"/>
      <c r="U76" s="80"/>
      <c r="Y76" s="4" t="s">
        <v>54</v>
      </c>
      <c r="Z76" s="4"/>
      <c r="AA76" s="4"/>
      <c r="AB76" s="4"/>
      <c r="AC76" s="4"/>
      <c r="AD76" s="53">
        <v>0.3</v>
      </c>
      <c r="AE76" s="53"/>
      <c r="AF76" s="4" t="s">
        <v>21</v>
      </c>
      <c r="AG76" s="2" t="s">
        <v>73</v>
      </c>
      <c r="AR76" s="4"/>
      <c r="AS76" s="5"/>
    </row>
    <row r="77" spans="2:45" x14ac:dyDescent="0.25">
      <c r="B77" s="3"/>
      <c r="C77" s="4" t="s">
        <v>48</v>
      </c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S77" s="7" t="s">
        <v>21</v>
      </c>
      <c r="U77" s="7" t="s">
        <v>21</v>
      </c>
      <c r="Y77" s="4" t="s">
        <v>54</v>
      </c>
      <c r="Z77" s="4"/>
      <c r="AA77" s="4"/>
      <c r="AB77" s="4"/>
      <c r="AC77" s="4"/>
      <c r="AD77" s="53">
        <v>0.45</v>
      </c>
      <c r="AE77" s="53"/>
      <c r="AF77" s="4" t="s">
        <v>21</v>
      </c>
      <c r="AG77" s="2" t="s">
        <v>74</v>
      </c>
      <c r="AR77" s="4"/>
      <c r="AS77" s="5"/>
    </row>
    <row r="78" spans="2:45" x14ac:dyDescent="0.25">
      <c r="B78" s="3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S78" s="78">
        <f>+U78-R75-R82</f>
        <v>0.16999999999999998</v>
      </c>
      <c r="U78" s="78">
        <f>+AF42</f>
        <v>0.3</v>
      </c>
      <c r="Y78" s="2" t="s">
        <v>72</v>
      </c>
      <c r="AB78" s="79">
        <v>1.5</v>
      </c>
      <c r="AC78" s="79"/>
      <c r="AD78" s="2" t="s">
        <v>21</v>
      </c>
      <c r="AE78" s="2" t="s">
        <v>76</v>
      </c>
      <c r="AR78" s="4"/>
      <c r="AS78" s="5"/>
    </row>
    <row r="79" spans="2:45" x14ac:dyDescent="0.25">
      <c r="B79" s="3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S79" s="78"/>
      <c r="U79" s="78"/>
      <c r="AR79" s="4"/>
      <c r="AS79" s="5"/>
    </row>
    <row r="80" spans="2:45" x14ac:dyDescent="0.25">
      <c r="B80" s="3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S80" s="78"/>
      <c r="U80" s="78"/>
      <c r="AG80" s="2" t="s">
        <v>51</v>
      </c>
      <c r="AK80" s="2" t="s">
        <v>52</v>
      </c>
      <c r="AR80" s="4"/>
      <c r="AS80" s="5"/>
    </row>
    <row r="81" spans="2:45" ht="12" x14ac:dyDescent="0.2">
      <c r="B81" s="3"/>
      <c r="C81" s="4"/>
      <c r="D81" s="4" t="s">
        <v>112</v>
      </c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Y81" s="2" t="s">
        <v>94</v>
      </c>
      <c r="AG81" s="76">
        <v>5</v>
      </c>
      <c r="AH81" s="76"/>
      <c r="AI81" s="25" t="s">
        <v>21</v>
      </c>
      <c r="AJ81" s="26" t="s">
        <v>30</v>
      </c>
      <c r="AK81" s="77">
        <v>2.15</v>
      </c>
      <c r="AL81" s="77"/>
      <c r="AM81" s="27" t="s">
        <v>21</v>
      </c>
      <c r="AR81" s="4"/>
      <c r="AS81" s="5"/>
    </row>
    <row r="82" spans="2:45" x14ac:dyDescent="0.25">
      <c r="B82" s="3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R82" s="79">
        <v>0.05</v>
      </c>
      <c r="S82" s="79"/>
      <c r="T82" s="80" t="s">
        <v>21</v>
      </c>
      <c r="U82" s="80"/>
      <c r="AR82" s="4"/>
      <c r="AS82" s="5"/>
    </row>
    <row r="83" spans="2:45" x14ac:dyDescent="0.25">
      <c r="B83" s="3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R83" s="79"/>
      <c r="S83" s="79"/>
      <c r="T83" s="80"/>
      <c r="U83" s="80"/>
      <c r="AR83" s="4"/>
      <c r="AS83" s="5"/>
    </row>
    <row r="84" spans="2:45" x14ac:dyDescent="0.25">
      <c r="B84" s="3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AR84" s="4"/>
      <c r="AS84" s="5"/>
    </row>
    <row r="85" spans="2:45" x14ac:dyDescent="0.25">
      <c r="B85" s="3"/>
      <c r="C85" s="4"/>
      <c r="D85" s="4"/>
      <c r="E85" s="4"/>
      <c r="F85" s="4" t="s">
        <v>46</v>
      </c>
      <c r="G85" s="4"/>
      <c r="H85" s="4"/>
      <c r="I85" s="4"/>
      <c r="J85" s="4"/>
      <c r="K85" s="4"/>
      <c r="L85" s="4"/>
      <c r="M85" s="4"/>
      <c r="N85" s="4"/>
      <c r="O85" s="4"/>
      <c r="P85" s="4"/>
      <c r="AR85" s="4"/>
      <c r="AS85" s="5"/>
    </row>
    <row r="86" spans="2:45" x14ac:dyDescent="0.25">
      <c r="B86" s="3"/>
      <c r="C86" s="4"/>
      <c r="D86" s="4"/>
      <c r="E86" s="4"/>
      <c r="F86" s="4"/>
      <c r="G86" s="4"/>
      <c r="H86" s="4"/>
      <c r="I86" s="4"/>
      <c r="J86" s="4"/>
      <c r="K86" s="4"/>
      <c r="L86" s="4" t="s">
        <v>75</v>
      </c>
      <c r="M86" s="4"/>
      <c r="N86" s="4"/>
      <c r="O86" s="4"/>
      <c r="P86" s="4"/>
      <c r="AR86" s="4"/>
      <c r="AS86" s="5"/>
    </row>
    <row r="87" spans="2:45" x14ac:dyDescent="0.25">
      <c r="B87" s="3"/>
      <c r="C87" s="4"/>
      <c r="D87" s="4"/>
      <c r="E87" s="4"/>
      <c r="G87" s="4"/>
      <c r="H87" s="4"/>
      <c r="I87" s="4"/>
      <c r="J87" s="4"/>
      <c r="K87" s="4"/>
      <c r="L87" s="4"/>
      <c r="M87" s="4"/>
      <c r="N87" s="4"/>
      <c r="O87" s="4"/>
      <c r="P87" s="4"/>
      <c r="AR87" s="4"/>
      <c r="AS87" s="5"/>
    </row>
    <row r="88" spans="2:45" x14ac:dyDescent="0.25">
      <c r="B88" s="3"/>
      <c r="C88" s="4"/>
      <c r="D88" s="16" t="s">
        <v>50</v>
      </c>
      <c r="M88" s="50">
        <f>+R82</f>
        <v>0.05</v>
      </c>
      <c r="N88" s="50"/>
      <c r="O88" s="4" t="s">
        <v>21</v>
      </c>
      <c r="Q88" s="55" t="s">
        <v>61</v>
      </c>
      <c r="R88" s="56"/>
      <c r="S88" s="56"/>
      <c r="T88" s="56"/>
      <c r="U88" s="56"/>
      <c r="V88" s="56"/>
      <c r="W88" s="56"/>
      <c r="X88" s="56"/>
      <c r="Y88" s="56"/>
      <c r="Z88" s="57"/>
      <c r="AA88" s="69" t="s">
        <v>1</v>
      </c>
      <c r="AB88" s="70"/>
      <c r="AC88" s="71"/>
      <c r="AD88" s="69" t="s">
        <v>4</v>
      </c>
      <c r="AE88" s="70"/>
      <c r="AF88" s="71"/>
      <c r="AG88" s="69" t="s">
        <v>5</v>
      </c>
      <c r="AH88" s="70"/>
      <c r="AI88" s="71"/>
      <c r="AJ88" s="69" t="s">
        <v>3</v>
      </c>
      <c r="AK88" s="70"/>
      <c r="AL88" s="71"/>
      <c r="AM88" s="69" t="s">
        <v>2</v>
      </c>
      <c r="AN88" s="70"/>
      <c r="AO88" s="71"/>
      <c r="AP88" s="69" t="s">
        <v>6</v>
      </c>
      <c r="AQ88" s="70"/>
      <c r="AR88" s="71"/>
      <c r="AS88" s="5"/>
    </row>
    <row r="89" spans="2:45" ht="12" thickBot="1" x14ac:dyDescent="0.3">
      <c r="B89" s="3"/>
      <c r="C89" s="4"/>
      <c r="D89" s="16" t="s">
        <v>22</v>
      </c>
      <c r="M89" s="50">
        <f>+AF43</f>
        <v>0.03</v>
      </c>
      <c r="N89" s="50"/>
      <c r="O89" s="4" t="s">
        <v>21</v>
      </c>
      <c r="Q89" s="66"/>
      <c r="R89" s="67"/>
      <c r="S89" s="67"/>
      <c r="T89" s="67"/>
      <c r="U89" s="67"/>
      <c r="V89" s="67"/>
      <c r="W89" s="67"/>
      <c r="X89" s="67"/>
      <c r="Y89" s="67"/>
      <c r="Z89" s="68"/>
      <c r="AA89" s="72"/>
      <c r="AB89" s="73"/>
      <c r="AC89" s="74"/>
      <c r="AD89" s="72"/>
      <c r="AE89" s="73"/>
      <c r="AF89" s="74"/>
      <c r="AG89" s="72"/>
      <c r="AH89" s="73"/>
      <c r="AI89" s="74"/>
      <c r="AJ89" s="72"/>
      <c r="AK89" s="73"/>
      <c r="AL89" s="74"/>
      <c r="AM89" s="72"/>
      <c r="AN89" s="73"/>
      <c r="AO89" s="74"/>
      <c r="AP89" s="72"/>
      <c r="AQ89" s="73"/>
      <c r="AR89" s="74"/>
      <c r="AS89" s="5"/>
    </row>
    <row r="90" spans="2:45" ht="12" thickTop="1" x14ac:dyDescent="0.25">
      <c r="B90" s="3"/>
      <c r="C90" s="4"/>
      <c r="D90" s="16" t="s">
        <v>18</v>
      </c>
      <c r="E90" s="4"/>
      <c r="F90" s="4"/>
      <c r="G90" s="4"/>
      <c r="H90" s="4"/>
      <c r="I90" s="4"/>
      <c r="J90" s="4"/>
      <c r="M90" s="50">
        <f>+AF44</f>
        <v>0.05</v>
      </c>
      <c r="N90" s="50"/>
      <c r="O90" s="4" t="s">
        <v>21</v>
      </c>
      <c r="Q90" s="10" t="s">
        <v>23</v>
      </c>
      <c r="R90" s="11"/>
      <c r="S90" s="11"/>
      <c r="T90" s="11"/>
      <c r="U90" s="11"/>
      <c r="V90" s="11"/>
      <c r="W90" s="11"/>
      <c r="X90" s="11"/>
      <c r="Y90" s="11"/>
      <c r="Z90" s="9"/>
      <c r="AA90" s="62">
        <f>+Z52</f>
        <v>128.65693277489785</v>
      </c>
      <c r="AB90" s="62"/>
      <c r="AC90" s="62"/>
      <c r="AD90" s="62">
        <f>+AC52</f>
        <v>50.235383374506867</v>
      </c>
      <c r="AE90" s="62"/>
      <c r="AF90" s="62"/>
      <c r="AG90" s="62">
        <f>+AF52</f>
        <v>50.235383374506867</v>
      </c>
      <c r="AH90" s="62"/>
      <c r="AI90" s="62"/>
      <c r="AJ90" s="62">
        <f>+AI52</f>
        <v>44.90834387040583</v>
      </c>
      <c r="AK90" s="62"/>
      <c r="AL90" s="62"/>
      <c r="AM90" s="62">
        <f>+AL52</f>
        <v>44.90834387040583</v>
      </c>
      <c r="AN90" s="62"/>
      <c r="AO90" s="62"/>
      <c r="AP90" s="62">
        <f>+AO52</f>
        <v>41.055612735276746</v>
      </c>
      <c r="AQ90" s="62"/>
      <c r="AR90" s="62"/>
      <c r="AS90" s="5"/>
    </row>
    <row r="91" spans="2:45" x14ac:dyDescent="0.25">
      <c r="B91" s="3"/>
      <c r="C91" s="4"/>
      <c r="D91" s="16" t="s">
        <v>40</v>
      </c>
      <c r="E91" s="4"/>
      <c r="F91" s="4"/>
      <c r="G91" s="4"/>
      <c r="H91" s="4"/>
      <c r="I91" s="4"/>
      <c r="J91" s="4"/>
      <c r="M91" s="63">
        <f>+AF45</f>
        <v>0.4</v>
      </c>
      <c r="N91" s="63"/>
      <c r="O91" s="11" t="s">
        <v>21</v>
      </c>
      <c r="Q91" s="13" t="s">
        <v>24</v>
      </c>
      <c r="R91" s="14"/>
      <c r="S91" s="14"/>
      <c r="T91" s="14"/>
      <c r="U91" s="14"/>
      <c r="V91" s="14"/>
      <c r="W91" s="14"/>
      <c r="X91" s="14"/>
      <c r="Y91" s="14"/>
      <c r="Z91" s="12"/>
      <c r="AA91" s="54">
        <f>+Z53</f>
        <v>5.0869999999999997</v>
      </c>
      <c r="AB91" s="54"/>
      <c r="AC91" s="54"/>
      <c r="AD91" s="54">
        <f>+AC53</f>
        <v>3.395</v>
      </c>
      <c r="AE91" s="54"/>
      <c r="AF91" s="54"/>
      <c r="AG91" s="54">
        <f>+AF53</f>
        <v>3.395</v>
      </c>
      <c r="AH91" s="54"/>
      <c r="AI91" s="54"/>
      <c r="AJ91" s="54">
        <f>+AI53</f>
        <v>2.0499999999999998</v>
      </c>
      <c r="AK91" s="54"/>
      <c r="AL91" s="54"/>
      <c r="AM91" s="54">
        <f>+AL53</f>
        <v>2.0499999999999998</v>
      </c>
      <c r="AN91" s="54"/>
      <c r="AO91" s="54"/>
      <c r="AP91" s="54">
        <f>+AO53</f>
        <v>9.8870000000000005</v>
      </c>
      <c r="AQ91" s="54"/>
      <c r="AR91" s="54"/>
      <c r="AS91" s="5"/>
    </row>
    <row r="92" spans="2:45" x14ac:dyDescent="0.25">
      <c r="B92" s="3"/>
      <c r="C92" s="4"/>
      <c r="D92" s="16" t="s">
        <v>85</v>
      </c>
      <c r="E92" s="4"/>
      <c r="F92" s="4"/>
      <c r="G92" s="4"/>
      <c r="H92" s="4"/>
      <c r="I92" s="4"/>
      <c r="J92" s="4"/>
      <c r="M92" s="50">
        <f>SUM(M88:N91)</f>
        <v>0.53</v>
      </c>
      <c r="N92" s="50"/>
      <c r="O92" s="4" t="s">
        <v>21</v>
      </c>
      <c r="Q92" s="13" t="s">
        <v>63</v>
      </c>
      <c r="R92" s="14"/>
      <c r="S92" s="14"/>
      <c r="T92" s="14"/>
      <c r="U92" s="14"/>
      <c r="V92" s="14"/>
      <c r="W92" s="14"/>
      <c r="X92" s="14"/>
      <c r="Y92" s="14"/>
      <c r="Z92" s="12"/>
      <c r="AA92" s="54">
        <f>+AA91+M92</f>
        <v>5.617</v>
      </c>
      <c r="AB92" s="54"/>
      <c r="AC92" s="54"/>
      <c r="AD92" s="54">
        <f>+AD91+M92</f>
        <v>3.9249999999999998</v>
      </c>
      <c r="AE92" s="54"/>
      <c r="AF92" s="54"/>
      <c r="AG92" s="54">
        <f>+AG91+M92</f>
        <v>3.9249999999999998</v>
      </c>
      <c r="AH92" s="54"/>
      <c r="AI92" s="54"/>
      <c r="AJ92" s="54">
        <f>+AJ91+M92</f>
        <v>2.58</v>
      </c>
      <c r="AK92" s="54"/>
      <c r="AL92" s="54"/>
      <c r="AM92" s="54">
        <f>+M92+AM91</f>
        <v>2.58</v>
      </c>
      <c r="AN92" s="54"/>
      <c r="AO92" s="54"/>
      <c r="AP92" s="54">
        <f>+M92+AP91</f>
        <v>10.417</v>
      </c>
      <c r="AQ92" s="54"/>
      <c r="AR92" s="54"/>
      <c r="AS92" s="5"/>
    </row>
    <row r="93" spans="2:45" x14ac:dyDescent="0.25">
      <c r="B93" s="3"/>
      <c r="C93" s="4"/>
      <c r="L93" s="4"/>
      <c r="M93" s="4"/>
      <c r="N93" s="4"/>
      <c r="O93" s="4"/>
      <c r="Q93" s="55" t="s">
        <v>62</v>
      </c>
      <c r="R93" s="56"/>
      <c r="S93" s="56"/>
      <c r="T93" s="56"/>
      <c r="U93" s="56"/>
      <c r="V93" s="56"/>
      <c r="W93" s="56"/>
      <c r="X93" s="56"/>
      <c r="Y93" s="56"/>
      <c r="Z93" s="57"/>
      <c r="AA93" s="61">
        <f>2*PI()*AA92*AA90/360</f>
        <v>12.612900942059706</v>
      </c>
      <c r="AB93" s="61"/>
      <c r="AC93" s="61"/>
      <c r="AD93" s="61">
        <f t="shared" ref="AD93" si="10">2*PI()*AD92*AD90/360</f>
        <v>3.4413334004805498</v>
      </c>
      <c r="AE93" s="61"/>
      <c r="AF93" s="61"/>
      <c r="AG93" s="61">
        <f t="shared" ref="AG93" si="11">2*PI()*AG92*AG90/360</f>
        <v>3.4413334004805498</v>
      </c>
      <c r="AH93" s="61"/>
      <c r="AI93" s="61"/>
      <c r="AJ93" s="61">
        <f t="shared" ref="AJ93" si="12">2*PI()*AJ92*AJ90/360</f>
        <v>2.0222000323635001</v>
      </c>
      <c r="AK93" s="61"/>
      <c r="AL93" s="61"/>
      <c r="AM93" s="61">
        <f t="shared" ref="AM93" si="13">2*PI()*AM92*AM90/360</f>
        <v>2.0222000323635001</v>
      </c>
      <c r="AN93" s="61"/>
      <c r="AO93" s="61"/>
      <c r="AP93" s="61">
        <f t="shared" ref="AP93" si="14">2*PI()*AP92*AP90/360</f>
        <v>7.4643598795217843</v>
      </c>
      <c r="AQ93" s="61"/>
      <c r="AR93" s="61"/>
      <c r="AS93" s="5"/>
    </row>
    <row r="94" spans="2:45" x14ac:dyDescent="0.25">
      <c r="B94" s="3"/>
      <c r="C94" s="4"/>
      <c r="L94" s="4"/>
      <c r="M94" s="4"/>
      <c r="N94" s="4"/>
      <c r="O94" s="4"/>
      <c r="Q94" s="58"/>
      <c r="R94" s="59"/>
      <c r="S94" s="59"/>
      <c r="T94" s="59"/>
      <c r="U94" s="59"/>
      <c r="V94" s="59"/>
      <c r="W94" s="59"/>
      <c r="X94" s="59"/>
      <c r="Y94" s="59"/>
      <c r="Z94" s="60"/>
      <c r="AA94" s="61"/>
      <c r="AB94" s="61"/>
      <c r="AC94" s="61"/>
      <c r="AD94" s="61"/>
      <c r="AE94" s="61"/>
      <c r="AF94" s="61"/>
      <c r="AG94" s="61"/>
      <c r="AH94" s="61"/>
      <c r="AI94" s="61"/>
      <c r="AJ94" s="61"/>
      <c r="AK94" s="61"/>
      <c r="AL94" s="61"/>
      <c r="AM94" s="61"/>
      <c r="AN94" s="61"/>
      <c r="AO94" s="61"/>
      <c r="AP94" s="61"/>
      <c r="AQ94" s="61"/>
      <c r="AR94" s="61"/>
      <c r="AS94" s="5"/>
    </row>
    <row r="95" spans="2:45" x14ac:dyDescent="0.25">
      <c r="B95" s="3"/>
      <c r="C95" s="4"/>
      <c r="D95" s="4" t="s">
        <v>53</v>
      </c>
      <c r="E95" s="4"/>
      <c r="F95" s="4"/>
      <c r="G95" s="4"/>
      <c r="H95" s="4">
        <f>INT(AA95/AG81)-1</f>
        <v>5</v>
      </c>
      <c r="I95" s="4" t="s">
        <v>55</v>
      </c>
      <c r="K95" s="4"/>
      <c r="L95" s="4"/>
      <c r="M95" s="4"/>
      <c r="N95" s="4"/>
      <c r="O95" s="4"/>
      <c r="Q95" s="13" t="s">
        <v>64</v>
      </c>
      <c r="R95" s="14"/>
      <c r="S95" s="14"/>
      <c r="T95" s="14"/>
      <c r="U95" s="14"/>
      <c r="V95" s="14"/>
      <c r="W95" s="14"/>
      <c r="X95" s="14"/>
      <c r="Y95" s="14"/>
      <c r="Z95" s="12"/>
      <c r="AA95" s="46">
        <f>SUM(AA93:AR94)</f>
        <v>31.004327687269587</v>
      </c>
      <c r="AB95" s="47"/>
      <c r="AC95" s="47"/>
      <c r="AD95" s="47"/>
      <c r="AE95" s="47"/>
      <c r="AF95" s="47"/>
      <c r="AG95" s="47"/>
      <c r="AH95" s="47"/>
      <c r="AI95" s="47"/>
      <c r="AJ95" s="47"/>
      <c r="AK95" s="47"/>
      <c r="AL95" s="47"/>
      <c r="AM95" s="47"/>
      <c r="AN95" s="47"/>
      <c r="AO95" s="47"/>
      <c r="AP95" s="47"/>
      <c r="AQ95" s="47"/>
      <c r="AR95" s="48"/>
      <c r="AS95" s="5"/>
    </row>
    <row r="96" spans="2:45" x14ac:dyDescent="0.25">
      <c r="B96" s="3"/>
      <c r="C96" s="4"/>
      <c r="D96" s="4" t="s">
        <v>101</v>
      </c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AR96" s="4"/>
      <c r="AS96" s="5"/>
    </row>
    <row r="97" spans="2:45" x14ac:dyDescent="0.25">
      <c r="B97" s="3"/>
      <c r="C97" s="4"/>
      <c r="D97" s="4" t="s">
        <v>59</v>
      </c>
      <c r="E97" s="4"/>
      <c r="F97" s="4"/>
      <c r="G97" s="4"/>
      <c r="H97" s="4"/>
      <c r="I97" s="4"/>
      <c r="J97" s="4"/>
      <c r="L97" s="4">
        <f>+H95</f>
        <v>5</v>
      </c>
      <c r="M97" s="33" t="s">
        <v>30</v>
      </c>
      <c r="N97" s="50">
        <f>+AD76</f>
        <v>0.3</v>
      </c>
      <c r="O97" s="50"/>
      <c r="P97" s="33" t="s">
        <v>33</v>
      </c>
      <c r="Q97" s="49">
        <f>+AA95</f>
        <v>31.004327687269587</v>
      </c>
      <c r="R97" s="50"/>
      <c r="S97" s="34" t="s">
        <v>38</v>
      </c>
      <c r="T97" s="75">
        <f>+L97*N97+Q97</f>
        <v>32.504327687269587</v>
      </c>
      <c r="U97" s="75"/>
      <c r="V97" s="2" t="s">
        <v>21</v>
      </c>
      <c r="AR97" s="4"/>
      <c r="AS97" s="5"/>
    </row>
    <row r="98" spans="2:45" x14ac:dyDescent="0.25">
      <c r="B98" s="3"/>
      <c r="C98" s="4"/>
      <c r="D98" s="4" t="s">
        <v>60</v>
      </c>
      <c r="E98" s="4"/>
      <c r="F98" s="4"/>
      <c r="G98" s="4"/>
      <c r="H98" s="4"/>
      <c r="I98" s="4"/>
      <c r="J98" s="4"/>
      <c r="L98" s="50">
        <f>+T97</f>
        <v>32.504327687269587</v>
      </c>
      <c r="M98" s="50"/>
      <c r="N98" s="33" t="s">
        <v>30</v>
      </c>
      <c r="O98" s="50">
        <f>+AD75</f>
        <v>3.48</v>
      </c>
      <c r="P98" s="50"/>
      <c r="Q98" s="33" t="s">
        <v>33</v>
      </c>
      <c r="R98" s="50">
        <f>+L98</f>
        <v>32.504327687269587</v>
      </c>
      <c r="S98" s="50"/>
      <c r="T98" s="33" t="s">
        <v>30</v>
      </c>
      <c r="U98" s="75">
        <f>AD77/AB78</f>
        <v>0.3</v>
      </c>
      <c r="V98" s="75"/>
      <c r="W98" s="33" t="s">
        <v>30</v>
      </c>
      <c r="X98" s="50">
        <f>+O98</f>
        <v>3.48</v>
      </c>
      <c r="Y98" s="50"/>
      <c r="Z98" s="33" t="s">
        <v>38</v>
      </c>
      <c r="AA98" s="75">
        <f>+L98*O98+R98*U98*X98</f>
        <v>147.04957845720762</v>
      </c>
      <c r="AB98" s="75"/>
      <c r="AC98" s="2" t="s">
        <v>58</v>
      </c>
      <c r="AE98" s="2" t="s">
        <v>103</v>
      </c>
      <c r="AR98" s="4"/>
      <c r="AS98" s="5"/>
    </row>
    <row r="99" spans="2:45" x14ac:dyDescent="0.25">
      <c r="B99" s="3"/>
      <c r="C99" s="4"/>
      <c r="D99" s="4"/>
      <c r="E99" s="4"/>
      <c r="F99" s="4"/>
      <c r="G99" s="4"/>
      <c r="H99" s="4"/>
      <c r="I99" s="4"/>
      <c r="J99" s="4"/>
      <c r="K99" s="4"/>
      <c r="AR99" s="4"/>
      <c r="AS99" s="5"/>
    </row>
    <row r="100" spans="2:45" x14ac:dyDescent="0.25">
      <c r="B100" s="3"/>
      <c r="C100" s="4"/>
      <c r="D100" s="16" t="s">
        <v>65</v>
      </c>
      <c r="M100" s="50">
        <f>+R82+S78</f>
        <v>0.21999999999999997</v>
      </c>
      <c r="N100" s="50"/>
      <c r="O100" s="4" t="s">
        <v>21</v>
      </c>
      <c r="Q100" s="55" t="s">
        <v>68</v>
      </c>
      <c r="R100" s="56"/>
      <c r="S100" s="56"/>
      <c r="T100" s="56"/>
      <c r="U100" s="56"/>
      <c r="V100" s="56"/>
      <c r="W100" s="56"/>
      <c r="X100" s="56"/>
      <c r="Y100" s="56"/>
      <c r="Z100" s="57"/>
      <c r="AA100" s="69" t="s">
        <v>1</v>
      </c>
      <c r="AB100" s="70"/>
      <c r="AC100" s="71"/>
      <c r="AD100" s="69" t="s">
        <v>4</v>
      </c>
      <c r="AE100" s="70"/>
      <c r="AF100" s="71"/>
      <c r="AG100" s="69" t="s">
        <v>5</v>
      </c>
      <c r="AH100" s="70"/>
      <c r="AI100" s="71"/>
      <c r="AJ100" s="69" t="s">
        <v>3</v>
      </c>
      <c r="AK100" s="70"/>
      <c r="AL100" s="71"/>
      <c r="AM100" s="69" t="s">
        <v>2</v>
      </c>
      <c r="AN100" s="70"/>
      <c r="AO100" s="71"/>
      <c r="AP100" s="69" t="s">
        <v>6</v>
      </c>
      <c r="AQ100" s="70"/>
      <c r="AR100" s="71"/>
      <c r="AS100" s="5"/>
    </row>
    <row r="101" spans="2:45" ht="12" thickBot="1" x14ac:dyDescent="0.3">
      <c r="B101" s="3"/>
      <c r="C101" s="4"/>
      <c r="D101" s="16" t="s">
        <v>22</v>
      </c>
      <c r="M101" s="50">
        <f>+M89</f>
        <v>0.03</v>
      </c>
      <c r="N101" s="50"/>
      <c r="O101" s="4" t="s">
        <v>21</v>
      </c>
      <c r="Q101" s="66"/>
      <c r="R101" s="67"/>
      <c r="S101" s="67"/>
      <c r="T101" s="67"/>
      <c r="U101" s="67"/>
      <c r="V101" s="67"/>
      <c r="W101" s="67"/>
      <c r="X101" s="67"/>
      <c r="Y101" s="67"/>
      <c r="Z101" s="68"/>
      <c r="AA101" s="72"/>
      <c r="AB101" s="73"/>
      <c r="AC101" s="74"/>
      <c r="AD101" s="72"/>
      <c r="AE101" s="73"/>
      <c r="AF101" s="74"/>
      <c r="AG101" s="72"/>
      <c r="AH101" s="73"/>
      <c r="AI101" s="74"/>
      <c r="AJ101" s="72"/>
      <c r="AK101" s="73"/>
      <c r="AL101" s="74"/>
      <c r="AM101" s="72"/>
      <c r="AN101" s="73"/>
      <c r="AO101" s="74"/>
      <c r="AP101" s="72"/>
      <c r="AQ101" s="73"/>
      <c r="AR101" s="74"/>
      <c r="AS101" s="5"/>
    </row>
    <row r="102" spans="2:45" ht="12" thickTop="1" x14ac:dyDescent="0.25">
      <c r="B102" s="3"/>
      <c r="C102" s="4"/>
      <c r="D102" s="16" t="s">
        <v>18</v>
      </c>
      <c r="E102" s="4"/>
      <c r="F102" s="4"/>
      <c r="G102" s="4"/>
      <c r="H102" s="4"/>
      <c r="I102" s="4"/>
      <c r="J102" s="4"/>
      <c r="M102" s="50">
        <f>+M90</f>
        <v>0.05</v>
      </c>
      <c r="N102" s="50"/>
      <c r="O102" s="4" t="s">
        <v>21</v>
      </c>
      <c r="Q102" s="10" t="s">
        <v>23</v>
      </c>
      <c r="R102" s="11"/>
      <c r="S102" s="11"/>
      <c r="T102" s="11"/>
      <c r="U102" s="11"/>
      <c r="V102" s="11"/>
      <c r="W102" s="11"/>
      <c r="X102" s="11"/>
      <c r="Y102" s="11"/>
      <c r="Z102" s="9"/>
      <c r="AA102" s="62">
        <f>+AA90</f>
        <v>128.65693277489785</v>
      </c>
      <c r="AB102" s="62"/>
      <c r="AC102" s="62"/>
      <c r="AD102" s="62">
        <f>+AD90</f>
        <v>50.235383374506867</v>
      </c>
      <c r="AE102" s="62"/>
      <c r="AF102" s="62"/>
      <c r="AG102" s="62">
        <f>+AG90</f>
        <v>50.235383374506867</v>
      </c>
      <c r="AH102" s="62"/>
      <c r="AI102" s="62"/>
      <c r="AJ102" s="62">
        <f>+AJ90</f>
        <v>44.90834387040583</v>
      </c>
      <c r="AK102" s="62"/>
      <c r="AL102" s="62"/>
      <c r="AM102" s="62">
        <f>+AM90</f>
        <v>44.90834387040583</v>
      </c>
      <c r="AN102" s="62"/>
      <c r="AO102" s="62"/>
      <c r="AP102" s="62">
        <f>+AP90</f>
        <v>41.055612735276746</v>
      </c>
      <c r="AQ102" s="62"/>
      <c r="AR102" s="62"/>
      <c r="AS102" s="5"/>
    </row>
    <row r="103" spans="2:45" x14ac:dyDescent="0.25">
      <c r="B103" s="3"/>
      <c r="C103" s="4"/>
      <c r="D103" s="16" t="s">
        <v>40</v>
      </c>
      <c r="E103" s="4"/>
      <c r="F103" s="4"/>
      <c r="G103" s="4"/>
      <c r="H103" s="4"/>
      <c r="I103" s="4"/>
      <c r="J103" s="4"/>
      <c r="M103" s="63">
        <f>+M91</f>
        <v>0.4</v>
      </c>
      <c r="N103" s="63"/>
      <c r="O103" s="11" t="s">
        <v>21</v>
      </c>
      <c r="Q103" s="13" t="s">
        <v>24</v>
      </c>
      <c r="R103" s="14"/>
      <c r="S103" s="14"/>
      <c r="T103" s="14"/>
      <c r="U103" s="14"/>
      <c r="V103" s="14"/>
      <c r="W103" s="14"/>
      <c r="X103" s="14"/>
      <c r="Y103" s="14"/>
      <c r="Z103" s="12"/>
      <c r="AA103" s="54">
        <f>+AA91</f>
        <v>5.0869999999999997</v>
      </c>
      <c r="AB103" s="54"/>
      <c r="AC103" s="54"/>
      <c r="AD103" s="54">
        <f>+AD91</f>
        <v>3.395</v>
      </c>
      <c r="AE103" s="54"/>
      <c r="AF103" s="54"/>
      <c r="AG103" s="54">
        <f>+AG91</f>
        <v>3.395</v>
      </c>
      <c r="AH103" s="54"/>
      <c r="AI103" s="54"/>
      <c r="AJ103" s="54">
        <f>+AJ91</f>
        <v>2.0499999999999998</v>
      </c>
      <c r="AK103" s="54"/>
      <c r="AL103" s="54"/>
      <c r="AM103" s="54">
        <f>+AM91</f>
        <v>2.0499999999999998</v>
      </c>
      <c r="AN103" s="54"/>
      <c r="AO103" s="54"/>
      <c r="AP103" s="54">
        <f>+AP91</f>
        <v>9.8870000000000005</v>
      </c>
      <c r="AQ103" s="54"/>
      <c r="AR103" s="54"/>
      <c r="AS103" s="5"/>
    </row>
    <row r="104" spans="2:45" x14ac:dyDescent="0.25">
      <c r="B104" s="3"/>
      <c r="C104" s="4"/>
      <c r="D104" s="16" t="s">
        <v>84</v>
      </c>
      <c r="E104" s="4"/>
      <c r="F104" s="4"/>
      <c r="G104" s="4"/>
      <c r="H104" s="4"/>
      <c r="I104" s="4"/>
      <c r="J104" s="4"/>
      <c r="M104" s="50">
        <f>SUM(M100:N103)</f>
        <v>0.7</v>
      </c>
      <c r="N104" s="50"/>
      <c r="O104" s="4" t="s">
        <v>21</v>
      </c>
      <c r="Q104" s="13" t="s">
        <v>69</v>
      </c>
      <c r="R104" s="14"/>
      <c r="S104" s="14"/>
      <c r="T104" s="14"/>
      <c r="U104" s="14"/>
      <c r="V104" s="14"/>
      <c r="W104" s="14"/>
      <c r="X104" s="14"/>
      <c r="Y104" s="14"/>
      <c r="Z104" s="12"/>
      <c r="AA104" s="54">
        <f>+AA103+M104</f>
        <v>5.7869999999999999</v>
      </c>
      <c r="AB104" s="54"/>
      <c r="AC104" s="54"/>
      <c r="AD104" s="54">
        <f>+AD103+M104</f>
        <v>4.0949999999999998</v>
      </c>
      <c r="AE104" s="54"/>
      <c r="AF104" s="54"/>
      <c r="AG104" s="54">
        <f>+AG103+M104</f>
        <v>4.0949999999999998</v>
      </c>
      <c r="AH104" s="54"/>
      <c r="AI104" s="54"/>
      <c r="AJ104" s="54">
        <f>+AJ103+M104</f>
        <v>2.75</v>
      </c>
      <c r="AK104" s="54"/>
      <c r="AL104" s="54"/>
      <c r="AM104" s="54">
        <f>+M104+AM103</f>
        <v>2.75</v>
      </c>
      <c r="AN104" s="54"/>
      <c r="AO104" s="54"/>
      <c r="AP104" s="54">
        <f>+M104+AP103</f>
        <v>10.587</v>
      </c>
      <c r="AQ104" s="54"/>
      <c r="AR104" s="54"/>
      <c r="AS104" s="5"/>
    </row>
    <row r="105" spans="2:45" x14ac:dyDescent="0.25">
      <c r="B105" s="3"/>
      <c r="C105" s="4"/>
      <c r="L105" s="4"/>
      <c r="M105" s="4"/>
      <c r="N105" s="4"/>
      <c r="O105" s="4"/>
      <c r="Q105" s="55" t="s">
        <v>70</v>
      </c>
      <c r="R105" s="56"/>
      <c r="S105" s="56"/>
      <c r="T105" s="56"/>
      <c r="U105" s="56"/>
      <c r="V105" s="56"/>
      <c r="W105" s="56"/>
      <c r="X105" s="56"/>
      <c r="Y105" s="56"/>
      <c r="Z105" s="57"/>
      <c r="AA105" s="61">
        <f>2*PI()*AA104*AA102/360</f>
        <v>12.994633746074333</v>
      </c>
      <c r="AB105" s="61"/>
      <c r="AC105" s="61"/>
      <c r="AD105" s="61">
        <f t="shared" ref="AD105" si="15">2*PI()*AD104*AD102/360</f>
        <v>3.5903847834313001</v>
      </c>
      <c r="AE105" s="61"/>
      <c r="AF105" s="61"/>
      <c r="AG105" s="61">
        <f t="shared" ref="AG105" si="16">2*PI()*AG104*AG102/360</f>
        <v>3.5903847834313001</v>
      </c>
      <c r="AH105" s="61"/>
      <c r="AI105" s="61"/>
      <c r="AJ105" s="61">
        <f t="shared" ref="AJ105" si="17">2*PI()*AJ104*AJ102/360</f>
        <v>2.1554457709300872</v>
      </c>
      <c r="AK105" s="61"/>
      <c r="AL105" s="61"/>
      <c r="AM105" s="61">
        <f t="shared" ref="AM105" si="18">2*PI()*AM104*AM102/360</f>
        <v>2.1554457709300872</v>
      </c>
      <c r="AN105" s="61"/>
      <c r="AO105" s="61"/>
      <c r="AP105" s="61">
        <f t="shared" ref="AP105" si="19">2*PI()*AP104*AP102/360</f>
        <v>7.5861743346930135</v>
      </c>
      <c r="AQ105" s="61"/>
      <c r="AR105" s="61"/>
      <c r="AS105" s="5"/>
    </row>
    <row r="106" spans="2:45" x14ac:dyDescent="0.25">
      <c r="B106" s="3"/>
      <c r="C106" s="4"/>
      <c r="L106" s="4"/>
      <c r="M106" s="4"/>
      <c r="N106" s="4"/>
      <c r="O106" s="4"/>
      <c r="Q106" s="58"/>
      <c r="R106" s="59"/>
      <c r="S106" s="59"/>
      <c r="T106" s="59"/>
      <c r="U106" s="59"/>
      <c r="V106" s="59"/>
      <c r="W106" s="59"/>
      <c r="X106" s="59"/>
      <c r="Y106" s="59"/>
      <c r="Z106" s="60"/>
      <c r="AA106" s="61"/>
      <c r="AB106" s="61"/>
      <c r="AC106" s="61"/>
      <c r="AD106" s="61"/>
      <c r="AE106" s="61"/>
      <c r="AF106" s="61"/>
      <c r="AG106" s="61"/>
      <c r="AH106" s="61"/>
      <c r="AI106" s="61"/>
      <c r="AJ106" s="61"/>
      <c r="AK106" s="61"/>
      <c r="AL106" s="61"/>
      <c r="AM106" s="61"/>
      <c r="AN106" s="61"/>
      <c r="AO106" s="61"/>
      <c r="AP106" s="61"/>
      <c r="AQ106" s="61"/>
      <c r="AR106" s="61"/>
      <c r="AS106" s="5"/>
    </row>
    <row r="107" spans="2:45" x14ac:dyDescent="0.25">
      <c r="B107" s="3"/>
      <c r="C107" s="4"/>
      <c r="D107" s="4" t="s">
        <v>53</v>
      </c>
      <c r="E107" s="4"/>
      <c r="F107" s="4"/>
      <c r="G107" s="4"/>
      <c r="H107" s="4">
        <f>INT(AA107/AG81)-1</f>
        <v>5</v>
      </c>
      <c r="I107" s="4" t="s">
        <v>55</v>
      </c>
      <c r="K107" s="4"/>
      <c r="L107" s="4"/>
      <c r="M107" s="4"/>
      <c r="N107" s="4"/>
      <c r="O107" s="4"/>
      <c r="Q107" s="13" t="s">
        <v>71</v>
      </c>
      <c r="R107" s="14"/>
      <c r="S107" s="14"/>
      <c r="T107" s="14"/>
      <c r="U107" s="14"/>
      <c r="V107" s="14"/>
      <c r="W107" s="14"/>
      <c r="X107" s="14"/>
      <c r="Y107" s="14"/>
      <c r="Z107" s="12"/>
      <c r="AA107" s="46">
        <f>SUM(AA105:AR106)</f>
        <v>32.072469189490121</v>
      </c>
      <c r="AB107" s="47"/>
      <c r="AC107" s="47"/>
      <c r="AD107" s="47"/>
      <c r="AE107" s="47"/>
      <c r="AF107" s="47"/>
      <c r="AG107" s="47"/>
      <c r="AH107" s="47"/>
      <c r="AI107" s="47"/>
      <c r="AJ107" s="47"/>
      <c r="AK107" s="47"/>
      <c r="AL107" s="47"/>
      <c r="AM107" s="47"/>
      <c r="AN107" s="47"/>
      <c r="AO107" s="47"/>
      <c r="AP107" s="47"/>
      <c r="AQ107" s="47"/>
      <c r="AR107" s="48"/>
      <c r="AS107" s="5"/>
    </row>
    <row r="108" spans="2:45" x14ac:dyDescent="0.25">
      <c r="B108" s="3"/>
      <c r="C108" s="4"/>
      <c r="D108" s="4" t="s">
        <v>101</v>
      </c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AR108" s="4"/>
      <c r="AS108" s="5"/>
    </row>
    <row r="109" spans="2:45" x14ac:dyDescent="0.25">
      <c r="B109" s="3"/>
      <c r="C109" s="4"/>
      <c r="D109" s="4" t="s">
        <v>66</v>
      </c>
      <c r="E109" s="4"/>
      <c r="F109" s="4"/>
      <c r="G109" s="4"/>
      <c r="H109" s="4"/>
      <c r="I109" s="4"/>
      <c r="J109" s="4"/>
      <c r="M109" s="4">
        <f>+H107</f>
        <v>5</v>
      </c>
      <c r="N109" s="33" t="s">
        <v>30</v>
      </c>
      <c r="O109" s="50">
        <f>+AD76</f>
        <v>0.3</v>
      </c>
      <c r="P109" s="50"/>
      <c r="Q109" s="33" t="s">
        <v>33</v>
      </c>
      <c r="R109" s="49">
        <f>+AA107</f>
        <v>32.072469189490121</v>
      </c>
      <c r="S109" s="50"/>
      <c r="T109" s="34" t="s">
        <v>38</v>
      </c>
      <c r="U109" s="75">
        <f>+M109*O109+R109</f>
        <v>33.572469189490121</v>
      </c>
      <c r="V109" s="75"/>
      <c r="W109" s="2" t="s">
        <v>21</v>
      </c>
      <c r="AR109" s="4"/>
      <c r="AS109" s="5"/>
    </row>
    <row r="110" spans="2:45" x14ac:dyDescent="0.25">
      <c r="B110" s="3"/>
      <c r="C110" s="4"/>
      <c r="D110" s="4" t="s">
        <v>67</v>
      </c>
      <c r="E110" s="4"/>
      <c r="F110" s="4"/>
      <c r="G110" s="4"/>
      <c r="H110" s="4"/>
      <c r="I110" s="4"/>
      <c r="J110" s="4"/>
      <c r="L110" s="50">
        <f>+U109</f>
        <v>33.572469189490121</v>
      </c>
      <c r="M110" s="50"/>
      <c r="N110" s="33" t="s">
        <v>30</v>
      </c>
      <c r="O110" s="50">
        <f>+AD75</f>
        <v>3.48</v>
      </c>
      <c r="P110" s="50"/>
      <c r="Q110" s="33" t="s">
        <v>33</v>
      </c>
      <c r="R110" s="50">
        <f>+L110</f>
        <v>33.572469189490121</v>
      </c>
      <c r="S110" s="50"/>
      <c r="T110" s="33" t="s">
        <v>30</v>
      </c>
      <c r="U110" s="75">
        <f>+AD77/AB78</f>
        <v>0.3</v>
      </c>
      <c r="V110" s="75"/>
      <c r="W110" s="33" t="s">
        <v>30</v>
      </c>
      <c r="X110" s="50">
        <f>+O110</f>
        <v>3.48</v>
      </c>
      <c r="Y110" s="50"/>
      <c r="Z110" s="33" t="s">
        <v>38</v>
      </c>
      <c r="AA110" s="75">
        <f>+L110*O110+R110*U110*X110</f>
        <v>151.88185061325331</v>
      </c>
      <c r="AB110" s="75"/>
      <c r="AC110" s="2" t="s">
        <v>58</v>
      </c>
      <c r="AE110" s="2" t="s">
        <v>103</v>
      </c>
      <c r="AR110" s="4"/>
      <c r="AS110" s="5"/>
    </row>
    <row r="111" spans="2:45" x14ac:dyDescent="0.25">
      <c r="B111" s="3"/>
      <c r="C111" s="4"/>
      <c r="D111" s="4"/>
      <c r="E111" s="4"/>
      <c r="F111" s="4"/>
      <c r="G111" s="4"/>
      <c r="H111" s="4"/>
      <c r="I111" s="4"/>
      <c r="J111" s="4"/>
      <c r="AR111" s="4"/>
      <c r="AS111" s="5"/>
    </row>
    <row r="112" spans="2:45" x14ac:dyDescent="0.25">
      <c r="B112" s="3"/>
      <c r="C112" s="4"/>
      <c r="D112" s="4"/>
      <c r="E112" s="28" t="s">
        <v>107</v>
      </c>
      <c r="G112" s="4"/>
      <c r="H112" s="4"/>
      <c r="I112" s="4"/>
      <c r="J112" s="4"/>
      <c r="K112" s="4"/>
      <c r="L112" s="4"/>
      <c r="N112" s="50">
        <f>+AA98</f>
        <v>147.04957845720762</v>
      </c>
      <c r="O112" s="50"/>
      <c r="P112" s="33" t="s">
        <v>33</v>
      </c>
      <c r="Q112" s="50">
        <f>+AA110</f>
        <v>151.88185061325331</v>
      </c>
      <c r="R112" s="50"/>
      <c r="S112" s="34" t="s">
        <v>38</v>
      </c>
      <c r="T112" s="51">
        <f>+N112+Q112</f>
        <v>298.93142907046092</v>
      </c>
      <c r="U112" s="51"/>
      <c r="V112" s="24" t="s">
        <v>58</v>
      </c>
      <c r="X112" s="2" t="s">
        <v>103</v>
      </c>
      <c r="AR112" s="4"/>
      <c r="AS112" s="5"/>
    </row>
    <row r="113" spans="2:45" x14ac:dyDescent="0.25">
      <c r="B113" s="3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5"/>
    </row>
    <row r="114" spans="2:45" x14ac:dyDescent="0.25">
      <c r="B114" s="3"/>
      <c r="C114" s="4"/>
      <c r="D114" s="15" t="s">
        <v>120</v>
      </c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5"/>
    </row>
    <row r="115" spans="2:45" x14ac:dyDescent="0.25">
      <c r="B115" s="3"/>
      <c r="C115" s="4"/>
      <c r="D115" s="16" t="s">
        <v>78</v>
      </c>
      <c r="E115" s="4"/>
      <c r="F115" s="4"/>
      <c r="G115" s="4"/>
      <c r="H115" s="4"/>
      <c r="I115" s="4"/>
      <c r="J115" s="4"/>
      <c r="K115" s="4"/>
      <c r="M115" s="50">
        <f>+AF43/2</f>
        <v>1.4999999999999999E-2</v>
      </c>
      <c r="N115" s="50"/>
      <c r="O115" s="4" t="s">
        <v>21</v>
      </c>
      <c r="Q115" s="55" t="s">
        <v>82</v>
      </c>
      <c r="R115" s="56"/>
      <c r="S115" s="56"/>
      <c r="T115" s="56"/>
      <c r="U115" s="56"/>
      <c r="V115" s="56"/>
      <c r="W115" s="56"/>
      <c r="X115" s="56"/>
      <c r="Y115" s="56"/>
      <c r="Z115" s="57"/>
      <c r="AA115" s="69" t="s">
        <v>1</v>
      </c>
      <c r="AB115" s="70"/>
      <c r="AC115" s="71"/>
      <c r="AD115" s="69" t="s">
        <v>4</v>
      </c>
      <c r="AE115" s="70"/>
      <c r="AF115" s="71"/>
      <c r="AG115" s="69" t="s">
        <v>5</v>
      </c>
      <c r="AH115" s="70"/>
      <c r="AI115" s="71"/>
      <c r="AJ115" s="69" t="s">
        <v>3</v>
      </c>
      <c r="AK115" s="70"/>
      <c r="AL115" s="71"/>
      <c r="AM115" s="69" t="s">
        <v>2</v>
      </c>
      <c r="AN115" s="70"/>
      <c r="AO115" s="71"/>
      <c r="AP115" s="69" t="s">
        <v>6</v>
      </c>
      <c r="AQ115" s="70"/>
      <c r="AR115" s="71"/>
      <c r="AS115" s="5"/>
    </row>
    <row r="116" spans="2:45" ht="12" thickBot="1" x14ac:dyDescent="0.3">
      <c r="B116" s="3"/>
      <c r="C116" s="4"/>
      <c r="D116" s="16" t="s">
        <v>18</v>
      </c>
      <c r="E116" s="4"/>
      <c r="F116" s="4"/>
      <c r="G116" s="4"/>
      <c r="H116" s="4"/>
      <c r="I116" s="4"/>
      <c r="J116" s="4"/>
      <c r="K116" s="4"/>
      <c r="M116" s="50">
        <f>+AF44</f>
        <v>0.05</v>
      </c>
      <c r="N116" s="50"/>
      <c r="O116" s="4" t="s">
        <v>21</v>
      </c>
      <c r="Q116" s="66"/>
      <c r="R116" s="67"/>
      <c r="S116" s="67"/>
      <c r="T116" s="67"/>
      <c r="U116" s="67"/>
      <c r="V116" s="67"/>
      <c r="W116" s="67"/>
      <c r="X116" s="67"/>
      <c r="Y116" s="67"/>
      <c r="Z116" s="68"/>
      <c r="AA116" s="72"/>
      <c r="AB116" s="73"/>
      <c r="AC116" s="74"/>
      <c r="AD116" s="72"/>
      <c r="AE116" s="73"/>
      <c r="AF116" s="74"/>
      <c r="AG116" s="72"/>
      <c r="AH116" s="73"/>
      <c r="AI116" s="74"/>
      <c r="AJ116" s="72"/>
      <c r="AK116" s="73"/>
      <c r="AL116" s="74"/>
      <c r="AM116" s="72"/>
      <c r="AN116" s="73"/>
      <c r="AO116" s="74"/>
      <c r="AP116" s="72"/>
      <c r="AQ116" s="73"/>
      <c r="AR116" s="74"/>
      <c r="AS116" s="5"/>
    </row>
    <row r="117" spans="2:45" ht="12" thickTop="1" x14ac:dyDescent="0.25">
      <c r="B117" s="3"/>
      <c r="C117" s="4"/>
      <c r="D117" s="16" t="s">
        <v>40</v>
      </c>
      <c r="E117" s="4"/>
      <c r="F117" s="4"/>
      <c r="G117" s="4"/>
      <c r="H117" s="4"/>
      <c r="I117" s="4"/>
      <c r="J117" s="4"/>
      <c r="K117" s="4"/>
      <c r="M117" s="63">
        <f>+AF45</f>
        <v>0.4</v>
      </c>
      <c r="N117" s="63"/>
      <c r="O117" s="11" t="s">
        <v>21</v>
      </c>
      <c r="Q117" s="10" t="s">
        <v>23</v>
      </c>
      <c r="R117" s="11"/>
      <c r="S117" s="11"/>
      <c r="T117" s="11"/>
      <c r="U117" s="11"/>
      <c r="V117" s="11"/>
      <c r="W117" s="11"/>
      <c r="X117" s="11"/>
      <c r="Y117" s="11"/>
      <c r="Z117" s="9"/>
      <c r="AA117" s="62">
        <f>+Z52</f>
        <v>128.65693277489785</v>
      </c>
      <c r="AB117" s="62"/>
      <c r="AC117" s="62"/>
      <c r="AD117" s="62">
        <f>+AC52</f>
        <v>50.235383374506867</v>
      </c>
      <c r="AE117" s="62"/>
      <c r="AF117" s="62"/>
      <c r="AG117" s="62">
        <f>+AF52</f>
        <v>50.235383374506867</v>
      </c>
      <c r="AH117" s="62"/>
      <c r="AI117" s="62"/>
      <c r="AJ117" s="62">
        <f>+AI52</f>
        <v>44.90834387040583</v>
      </c>
      <c r="AK117" s="62"/>
      <c r="AL117" s="62"/>
      <c r="AM117" s="62">
        <f>+AL52</f>
        <v>44.90834387040583</v>
      </c>
      <c r="AN117" s="62"/>
      <c r="AO117" s="62"/>
      <c r="AP117" s="62">
        <f>+AO52</f>
        <v>41.055612735276746</v>
      </c>
      <c r="AQ117" s="62"/>
      <c r="AR117" s="62"/>
      <c r="AS117" s="5"/>
    </row>
    <row r="118" spans="2:45" x14ac:dyDescent="0.25">
      <c r="B118" s="3"/>
      <c r="C118" s="4"/>
      <c r="D118" s="16" t="s">
        <v>83</v>
      </c>
      <c r="E118" s="4"/>
      <c r="F118" s="4"/>
      <c r="G118" s="4"/>
      <c r="H118" s="4"/>
      <c r="I118" s="4"/>
      <c r="J118" s="4"/>
      <c r="K118" s="4"/>
      <c r="M118" s="50">
        <f>SUM(M115:N117)</f>
        <v>0.46500000000000002</v>
      </c>
      <c r="N118" s="50"/>
      <c r="O118" s="4" t="s">
        <v>21</v>
      </c>
      <c r="Q118" s="13" t="s">
        <v>24</v>
      </c>
      <c r="R118" s="14"/>
      <c r="S118" s="14"/>
      <c r="T118" s="14"/>
      <c r="U118" s="14"/>
      <c r="V118" s="14"/>
      <c r="W118" s="14"/>
      <c r="X118" s="14"/>
      <c r="Y118" s="14"/>
      <c r="Z118" s="12"/>
      <c r="AA118" s="54">
        <f>+Z53</f>
        <v>5.0869999999999997</v>
      </c>
      <c r="AB118" s="54"/>
      <c r="AC118" s="54"/>
      <c r="AD118" s="54">
        <f>+AC53</f>
        <v>3.395</v>
      </c>
      <c r="AE118" s="54"/>
      <c r="AF118" s="54"/>
      <c r="AG118" s="54">
        <f>+AF53</f>
        <v>3.395</v>
      </c>
      <c r="AH118" s="54"/>
      <c r="AI118" s="54"/>
      <c r="AJ118" s="54">
        <f>+AI53</f>
        <v>2.0499999999999998</v>
      </c>
      <c r="AK118" s="54"/>
      <c r="AL118" s="54"/>
      <c r="AM118" s="54">
        <f>+AL53</f>
        <v>2.0499999999999998</v>
      </c>
      <c r="AN118" s="54"/>
      <c r="AO118" s="54"/>
      <c r="AP118" s="54">
        <f>+AO53</f>
        <v>9.8870000000000005</v>
      </c>
      <c r="AQ118" s="54"/>
      <c r="AR118" s="54"/>
      <c r="AS118" s="5"/>
    </row>
    <row r="119" spans="2:45" x14ac:dyDescent="0.25">
      <c r="B119" s="3"/>
      <c r="C119" s="4"/>
      <c r="Q119" s="13" t="s">
        <v>79</v>
      </c>
      <c r="R119" s="14"/>
      <c r="S119" s="14"/>
      <c r="T119" s="14"/>
      <c r="U119" s="14"/>
      <c r="V119" s="14"/>
      <c r="W119" s="14"/>
      <c r="X119" s="14"/>
      <c r="Y119" s="14"/>
      <c r="Z119" s="12"/>
      <c r="AA119" s="54">
        <f>+AA118+M118</f>
        <v>5.5519999999999996</v>
      </c>
      <c r="AB119" s="54"/>
      <c r="AC119" s="54"/>
      <c r="AD119" s="54">
        <f>+AD118+M118</f>
        <v>3.86</v>
      </c>
      <c r="AE119" s="54"/>
      <c r="AF119" s="54"/>
      <c r="AG119" s="54">
        <f>+AG118+M118</f>
        <v>3.86</v>
      </c>
      <c r="AH119" s="54"/>
      <c r="AI119" s="54"/>
      <c r="AJ119" s="54">
        <f>+AJ118+M118</f>
        <v>2.5149999999999997</v>
      </c>
      <c r="AK119" s="54"/>
      <c r="AL119" s="54"/>
      <c r="AM119" s="54">
        <f>+M118+AM118</f>
        <v>2.5149999999999997</v>
      </c>
      <c r="AN119" s="54"/>
      <c r="AO119" s="54"/>
      <c r="AP119" s="54">
        <f>+M118+AP118</f>
        <v>10.352</v>
      </c>
      <c r="AQ119" s="54"/>
      <c r="AR119" s="54"/>
      <c r="AS119" s="5"/>
    </row>
    <row r="120" spans="2:45" x14ac:dyDescent="0.25">
      <c r="B120" s="3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Q120" s="55" t="s">
        <v>80</v>
      </c>
      <c r="R120" s="56"/>
      <c r="S120" s="56"/>
      <c r="T120" s="56"/>
      <c r="U120" s="56"/>
      <c r="V120" s="56"/>
      <c r="W120" s="56"/>
      <c r="X120" s="56"/>
      <c r="Y120" s="56"/>
      <c r="Z120" s="57"/>
      <c r="AA120" s="61">
        <f>2*PI()*AA119*AA117/360</f>
        <v>12.466944281701171</v>
      </c>
      <c r="AB120" s="61"/>
      <c r="AC120" s="61"/>
      <c r="AD120" s="61">
        <f t="shared" ref="AD120" si="20">2*PI()*AD119*AD117/360</f>
        <v>3.3843431658229104</v>
      </c>
      <c r="AE120" s="61"/>
      <c r="AF120" s="61"/>
      <c r="AG120" s="61">
        <f t="shared" ref="AG120" si="21">2*PI()*AG119*AG117/360</f>
        <v>3.3843431658229104</v>
      </c>
      <c r="AH120" s="61"/>
      <c r="AI120" s="61"/>
      <c r="AJ120" s="61">
        <f t="shared" ref="AJ120" si="22">2*PI()*AJ119*AJ117/360</f>
        <v>1.971253132323334</v>
      </c>
      <c r="AK120" s="61"/>
      <c r="AL120" s="61"/>
      <c r="AM120" s="61">
        <f t="shared" ref="AM120" si="23">2*PI()*AM119*AM117/360</f>
        <v>1.971253132323334</v>
      </c>
      <c r="AN120" s="61"/>
      <c r="AO120" s="61"/>
      <c r="AP120" s="61">
        <f t="shared" ref="AP120" si="24">2*PI()*AP119*AP117/360</f>
        <v>7.417783764309255</v>
      </c>
      <c r="AQ120" s="61"/>
      <c r="AR120" s="61"/>
      <c r="AS120" s="5"/>
    </row>
    <row r="121" spans="2:45" x14ac:dyDescent="0.25">
      <c r="B121" s="3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Q121" s="58"/>
      <c r="R121" s="59"/>
      <c r="S121" s="59"/>
      <c r="T121" s="59"/>
      <c r="U121" s="59"/>
      <c r="V121" s="59"/>
      <c r="W121" s="59"/>
      <c r="X121" s="59"/>
      <c r="Y121" s="59"/>
      <c r="Z121" s="60"/>
      <c r="AA121" s="61"/>
      <c r="AB121" s="61"/>
      <c r="AC121" s="61"/>
      <c r="AD121" s="61"/>
      <c r="AE121" s="61"/>
      <c r="AF121" s="61"/>
      <c r="AG121" s="61"/>
      <c r="AH121" s="61"/>
      <c r="AI121" s="61"/>
      <c r="AJ121" s="61"/>
      <c r="AK121" s="61"/>
      <c r="AL121" s="61"/>
      <c r="AM121" s="61"/>
      <c r="AN121" s="61"/>
      <c r="AO121" s="61"/>
      <c r="AP121" s="61"/>
      <c r="AQ121" s="61"/>
      <c r="AR121" s="61"/>
      <c r="AS121" s="5"/>
    </row>
    <row r="122" spans="2:45" x14ac:dyDescent="0.25">
      <c r="B122" s="3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Q122" s="13" t="s">
        <v>81</v>
      </c>
      <c r="R122" s="14"/>
      <c r="S122" s="14"/>
      <c r="T122" s="14"/>
      <c r="U122" s="14"/>
      <c r="V122" s="14"/>
      <c r="W122" s="14"/>
      <c r="X122" s="14"/>
      <c r="Y122" s="14"/>
      <c r="Z122" s="12"/>
      <c r="AA122" s="46">
        <f>SUM(AA120:AR121)</f>
        <v>30.595920642302914</v>
      </c>
      <c r="AB122" s="47"/>
      <c r="AC122" s="47"/>
      <c r="AD122" s="47"/>
      <c r="AE122" s="47"/>
      <c r="AF122" s="47"/>
      <c r="AG122" s="47"/>
      <c r="AH122" s="47"/>
      <c r="AI122" s="47"/>
      <c r="AJ122" s="47"/>
      <c r="AK122" s="47"/>
      <c r="AL122" s="47"/>
      <c r="AM122" s="47"/>
      <c r="AN122" s="47"/>
      <c r="AO122" s="47"/>
      <c r="AP122" s="47"/>
      <c r="AQ122" s="47"/>
      <c r="AR122" s="48"/>
      <c r="AS122" s="5"/>
    </row>
    <row r="123" spans="2:45" x14ac:dyDescent="0.25">
      <c r="B123" s="3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5"/>
    </row>
    <row r="124" spans="2:45" x14ac:dyDescent="0.25">
      <c r="B124" s="3"/>
      <c r="D124" s="20" t="s">
        <v>115</v>
      </c>
      <c r="E124" s="4"/>
      <c r="F124" s="4"/>
      <c r="G124" s="4"/>
      <c r="H124" s="4"/>
      <c r="I124" s="4"/>
      <c r="J124" s="4"/>
      <c r="K124" s="4"/>
      <c r="M124" s="64">
        <f>+AA122</f>
        <v>30.595920642302914</v>
      </c>
      <c r="N124" s="65"/>
      <c r="O124" s="28" t="s">
        <v>37</v>
      </c>
      <c r="P124" s="2" t="s">
        <v>103</v>
      </c>
      <c r="Q124" s="4"/>
      <c r="R124" s="4"/>
      <c r="S124" s="4"/>
      <c r="T124" s="4"/>
      <c r="V124" s="4" t="s">
        <v>109</v>
      </c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5"/>
    </row>
    <row r="125" spans="2:45" x14ac:dyDescent="0.25">
      <c r="B125" s="3"/>
      <c r="C125" s="4"/>
      <c r="D125" s="4"/>
      <c r="E125" s="4"/>
      <c r="F125" s="4"/>
      <c r="G125" s="4"/>
      <c r="H125" s="4"/>
      <c r="I125" s="4"/>
      <c r="J125" s="4"/>
      <c r="K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5"/>
    </row>
    <row r="126" spans="2:45" x14ac:dyDescent="0.25">
      <c r="B126" s="3"/>
      <c r="C126" s="4"/>
      <c r="D126" s="15" t="s">
        <v>121</v>
      </c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5"/>
    </row>
    <row r="127" spans="2:45" x14ac:dyDescent="0.25">
      <c r="B127" s="3"/>
      <c r="C127" s="4"/>
      <c r="D127" s="16" t="s">
        <v>100</v>
      </c>
      <c r="E127" s="4"/>
      <c r="F127" s="4"/>
      <c r="G127" s="4"/>
      <c r="H127" s="4"/>
      <c r="I127" s="4"/>
      <c r="J127" s="4"/>
      <c r="M127" s="50">
        <f>IF(L131="evet",AF44/2/2,0)</f>
        <v>1.2500000000000001E-2</v>
      </c>
      <c r="N127" s="50"/>
      <c r="O127" s="4" t="s">
        <v>21</v>
      </c>
      <c r="Q127" s="55" t="s">
        <v>87</v>
      </c>
      <c r="R127" s="56"/>
      <c r="S127" s="56"/>
      <c r="T127" s="56"/>
      <c r="U127" s="56"/>
      <c r="V127" s="56"/>
      <c r="W127" s="56"/>
      <c r="X127" s="56"/>
      <c r="Y127" s="56"/>
      <c r="Z127" s="57"/>
      <c r="AA127" s="69" t="s">
        <v>1</v>
      </c>
      <c r="AB127" s="70"/>
      <c r="AC127" s="71"/>
      <c r="AD127" s="69" t="s">
        <v>4</v>
      </c>
      <c r="AE127" s="70"/>
      <c r="AF127" s="71"/>
      <c r="AG127" s="69" t="s">
        <v>5</v>
      </c>
      <c r="AH127" s="70"/>
      <c r="AI127" s="71"/>
      <c r="AJ127" s="69" t="s">
        <v>3</v>
      </c>
      <c r="AK127" s="70"/>
      <c r="AL127" s="71"/>
      <c r="AM127" s="69" t="s">
        <v>2</v>
      </c>
      <c r="AN127" s="70"/>
      <c r="AO127" s="71"/>
      <c r="AP127" s="69" t="s">
        <v>6</v>
      </c>
      <c r="AQ127" s="70"/>
      <c r="AR127" s="71"/>
      <c r="AS127" s="5"/>
    </row>
    <row r="128" spans="2:45" ht="12" thickBot="1" x14ac:dyDescent="0.3">
      <c r="B128" s="3"/>
      <c r="C128" s="4"/>
      <c r="D128" s="16" t="s">
        <v>106</v>
      </c>
      <c r="E128" s="4"/>
      <c r="F128" s="4"/>
      <c r="G128" s="4"/>
      <c r="H128" s="4"/>
      <c r="I128" s="4"/>
      <c r="J128" s="4"/>
      <c r="M128" s="63">
        <f>+AF45/2</f>
        <v>0.2</v>
      </c>
      <c r="N128" s="63"/>
      <c r="O128" s="11" t="s">
        <v>21</v>
      </c>
      <c r="Q128" s="66"/>
      <c r="R128" s="67"/>
      <c r="S128" s="67"/>
      <c r="T128" s="67"/>
      <c r="U128" s="67"/>
      <c r="V128" s="67"/>
      <c r="W128" s="67"/>
      <c r="X128" s="67"/>
      <c r="Y128" s="67"/>
      <c r="Z128" s="68"/>
      <c r="AA128" s="72"/>
      <c r="AB128" s="73"/>
      <c r="AC128" s="74"/>
      <c r="AD128" s="72"/>
      <c r="AE128" s="73"/>
      <c r="AF128" s="74"/>
      <c r="AG128" s="72"/>
      <c r="AH128" s="73"/>
      <c r="AI128" s="74"/>
      <c r="AJ128" s="72"/>
      <c r="AK128" s="73"/>
      <c r="AL128" s="74"/>
      <c r="AM128" s="72"/>
      <c r="AN128" s="73"/>
      <c r="AO128" s="74"/>
      <c r="AP128" s="72"/>
      <c r="AQ128" s="73"/>
      <c r="AR128" s="74"/>
      <c r="AS128" s="5"/>
    </row>
    <row r="129" spans="2:45" ht="12" thickTop="1" x14ac:dyDescent="0.25">
      <c r="B129" s="3"/>
      <c r="C129" s="4"/>
      <c r="D129" s="16"/>
      <c r="E129" s="4"/>
      <c r="F129" s="4"/>
      <c r="G129" s="4"/>
      <c r="H129" s="4"/>
      <c r="I129" s="4"/>
      <c r="J129" s="4"/>
      <c r="M129" s="50">
        <f>SUM(M127:N128)</f>
        <v>0.21250000000000002</v>
      </c>
      <c r="N129" s="50"/>
      <c r="O129" s="4" t="s">
        <v>21</v>
      </c>
      <c r="Q129" s="10" t="s">
        <v>23</v>
      </c>
      <c r="R129" s="11"/>
      <c r="S129" s="11"/>
      <c r="T129" s="11"/>
      <c r="U129" s="11"/>
      <c r="V129" s="11"/>
      <c r="W129" s="11"/>
      <c r="X129" s="11"/>
      <c r="Y129" s="11"/>
      <c r="Z129" s="9"/>
      <c r="AA129" s="62">
        <f>+Z52</f>
        <v>128.65693277489785</v>
      </c>
      <c r="AB129" s="62"/>
      <c r="AC129" s="62"/>
      <c r="AD129" s="62">
        <f>+AC52</f>
        <v>50.235383374506867</v>
      </c>
      <c r="AE129" s="62"/>
      <c r="AF129" s="62"/>
      <c r="AG129" s="62">
        <f>+AF52</f>
        <v>50.235383374506867</v>
      </c>
      <c r="AH129" s="62"/>
      <c r="AI129" s="62"/>
      <c r="AJ129" s="62">
        <f>+AI52</f>
        <v>44.90834387040583</v>
      </c>
      <c r="AK129" s="62"/>
      <c r="AL129" s="62"/>
      <c r="AM129" s="62">
        <f>+AL52</f>
        <v>44.90834387040583</v>
      </c>
      <c r="AN129" s="62"/>
      <c r="AO129" s="62"/>
      <c r="AP129" s="62">
        <f>+AO52</f>
        <v>41.055612735276746</v>
      </c>
      <c r="AQ129" s="62"/>
      <c r="AR129" s="62"/>
      <c r="AS129" s="5"/>
    </row>
    <row r="130" spans="2:45" x14ac:dyDescent="0.25">
      <c r="B130" s="3"/>
      <c r="C130" s="4"/>
      <c r="D130" s="52" t="s">
        <v>91</v>
      </c>
      <c r="E130" s="52"/>
      <c r="F130" s="52"/>
      <c r="G130" s="52"/>
      <c r="H130" s="52"/>
      <c r="I130" s="52"/>
      <c r="J130" s="52"/>
      <c r="K130" s="52"/>
      <c r="L130" s="4"/>
      <c r="M130" s="4"/>
      <c r="O130" s="4"/>
      <c r="Q130" s="13" t="s">
        <v>24</v>
      </c>
      <c r="R130" s="14"/>
      <c r="S130" s="14"/>
      <c r="T130" s="14"/>
      <c r="U130" s="14"/>
      <c r="V130" s="14"/>
      <c r="W130" s="14"/>
      <c r="X130" s="14"/>
      <c r="Y130" s="14"/>
      <c r="Z130" s="12"/>
      <c r="AA130" s="54">
        <f>+Z53</f>
        <v>5.0869999999999997</v>
      </c>
      <c r="AB130" s="54"/>
      <c r="AC130" s="54"/>
      <c r="AD130" s="54">
        <f>+AC53</f>
        <v>3.395</v>
      </c>
      <c r="AE130" s="54"/>
      <c r="AF130" s="54"/>
      <c r="AG130" s="54">
        <f>+AF53</f>
        <v>3.395</v>
      </c>
      <c r="AH130" s="54"/>
      <c r="AI130" s="54"/>
      <c r="AJ130" s="54">
        <f>+AI53</f>
        <v>2.0499999999999998</v>
      </c>
      <c r="AK130" s="54"/>
      <c r="AL130" s="54"/>
      <c r="AM130" s="54">
        <f>+AL53</f>
        <v>2.0499999999999998</v>
      </c>
      <c r="AN130" s="54"/>
      <c r="AO130" s="54"/>
      <c r="AP130" s="54">
        <f>+AO53</f>
        <v>9.8870000000000005</v>
      </c>
      <c r="AQ130" s="54"/>
      <c r="AR130" s="54"/>
      <c r="AS130" s="5"/>
    </row>
    <row r="131" spans="2:45" x14ac:dyDescent="0.25">
      <c r="B131" s="3"/>
      <c r="C131" s="4"/>
      <c r="D131" s="52"/>
      <c r="E131" s="52"/>
      <c r="F131" s="52"/>
      <c r="G131" s="52"/>
      <c r="H131" s="52"/>
      <c r="I131" s="52"/>
      <c r="J131" s="52"/>
      <c r="K131" s="52"/>
      <c r="L131" s="53" t="s">
        <v>92</v>
      </c>
      <c r="M131" s="53"/>
      <c r="O131" s="4"/>
      <c r="Q131" s="13" t="s">
        <v>88</v>
      </c>
      <c r="R131" s="14"/>
      <c r="S131" s="14"/>
      <c r="T131" s="14"/>
      <c r="U131" s="14"/>
      <c r="V131" s="14"/>
      <c r="W131" s="14"/>
      <c r="X131" s="14"/>
      <c r="Y131" s="14"/>
      <c r="Z131" s="12"/>
      <c r="AA131" s="54">
        <f>+AA130+M129</f>
        <v>5.2995000000000001</v>
      </c>
      <c r="AB131" s="54"/>
      <c r="AC131" s="54"/>
      <c r="AD131" s="54">
        <f>+AD130+M129</f>
        <v>3.6074999999999999</v>
      </c>
      <c r="AE131" s="54"/>
      <c r="AF131" s="54"/>
      <c r="AG131" s="54">
        <f>+AG130+M129</f>
        <v>3.6074999999999999</v>
      </c>
      <c r="AH131" s="54"/>
      <c r="AI131" s="54"/>
      <c r="AJ131" s="54">
        <f>+AJ130+M129</f>
        <v>2.2624999999999997</v>
      </c>
      <c r="AK131" s="54"/>
      <c r="AL131" s="54"/>
      <c r="AM131" s="54">
        <f>+M129+AM130</f>
        <v>2.2624999999999997</v>
      </c>
      <c r="AN131" s="54"/>
      <c r="AO131" s="54"/>
      <c r="AP131" s="54">
        <f>+M129+AP130</f>
        <v>10.099500000000001</v>
      </c>
      <c r="AQ131" s="54"/>
      <c r="AR131" s="54"/>
      <c r="AS131" s="5"/>
    </row>
    <row r="132" spans="2:45" x14ac:dyDescent="0.25">
      <c r="B132" s="3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Q132" s="55" t="s">
        <v>89</v>
      </c>
      <c r="R132" s="56"/>
      <c r="S132" s="56"/>
      <c r="T132" s="56"/>
      <c r="U132" s="56"/>
      <c r="V132" s="56"/>
      <c r="W132" s="56"/>
      <c r="X132" s="56"/>
      <c r="Y132" s="56"/>
      <c r="Z132" s="57"/>
      <c r="AA132" s="61">
        <f>2*PI()*AA131*AA129/360</f>
        <v>11.899958793385334</v>
      </c>
      <c r="AB132" s="61"/>
      <c r="AC132" s="61"/>
      <c r="AD132" s="61">
        <f t="shared" ref="AD132" si="25">2*PI()*AD131*AD129/360</f>
        <v>3.1629580234990025</v>
      </c>
      <c r="AE132" s="61"/>
      <c r="AF132" s="61"/>
      <c r="AG132" s="61">
        <f t="shared" ref="AG132" si="26">2*PI()*AG131*AG129/360</f>
        <v>3.1629580234990025</v>
      </c>
      <c r="AH132" s="61"/>
      <c r="AI132" s="61"/>
      <c r="AJ132" s="61">
        <f t="shared" ref="AJ132" si="27">2*PI()*AJ131*AJ129/360</f>
        <v>1.7733440206288444</v>
      </c>
      <c r="AK132" s="61"/>
      <c r="AL132" s="61"/>
      <c r="AM132" s="61">
        <f t="shared" ref="AM132" si="28">2*PI()*AM131*AM129/360</f>
        <v>1.7733440206288444</v>
      </c>
      <c r="AN132" s="61"/>
      <c r="AO132" s="61"/>
      <c r="AP132" s="61">
        <f t="shared" ref="AP132" si="29">2*PI()*AP131*AP129/360</f>
        <v>7.236853470599045</v>
      </c>
      <c r="AQ132" s="61"/>
      <c r="AR132" s="61"/>
      <c r="AS132" s="5"/>
    </row>
    <row r="133" spans="2:45" x14ac:dyDescent="0.25">
      <c r="B133" s="3"/>
      <c r="C133" s="4"/>
      <c r="N133" s="4"/>
      <c r="O133" s="4"/>
      <c r="Q133" s="58"/>
      <c r="R133" s="59"/>
      <c r="S133" s="59"/>
      <c r="T133" s="59"/>
      <c r="U133" s="59"/>
      <c r="V133" s="59"/>
      <c r="W133" s="59"/>
      <c r="X133" s="59"/>
      <c r="Y133" s="59"/>
      <c r="Z133" s="60"/>
      <c r="AA133" s="61"/>
      <c r="AB133" s="61"/>
      <c r="AC133" s="61"/>
      <c r="AD133" s="61"/>
      <c r="AE133" s="61"/>
      <c r="AF133" s="61"/>
      <c r="AG133" s="61"/>
      <c r="AH133" s="61"/>
      <c r="AI133" s="61"/>
      <c r="AJ133" s="61"/>
      <c r="AK133" s="61"/>
      <c r="AL133" s="61"/>
      <c r="AM133" s="61"/>
      <c r="AN133" s="61"/>
      <c r="AO133" s="61"/>
      <c r="AP133" s="61"/>
      <c r="AQ133" s="61"/>
      <c r="AR133" s="61"/>
      <c r="AS133" s="5"/>
    </row>
    <row r="134" spans="2:45" x14ac:dyDescent="0.25">
      <c r="B134" s="3"/>
      <c r="C134" s="4"/>
      <c r="N134" s="4"/>
      <c r="O134" s="4"/>
      <c r="Q134" s="13" t="s">
        <v>90</v>
      </c>
      <c r="R134" s="14"/>
      <c r="S134" s="14"/>
      <c r="T134" s="14"/>
      <c r="U134" s="14"/>
      <c r="V134" s="14"/>
      <c r="W134" s="14"/>
      <c r="X134" s="14"/>
      <c r="Y134" s="14"/>
      <c r="Z134" s="12"/>
      <c r="AA134" s="46">
        <f>SUM(AA132:AR133)</f>
        <v>29.00941635224007</v>
      </c>
      <c r="AB134" s="47"/>
      <c r="AC134" s="47"/>
      <c r="AD134" s="47"/>
      <c r="AE134" s="47"/>
      <c r="AF134" s="47"/>
      <c r="AG134" s="47"/>
      <c r="AH134" s="47"/>
      <c r="AI134" s="47"/>
      <c r="AJ134" s="47"/>
      <c r="AK134" s="47"/>
      <c r="AL134" s="47"/>
      <c r="AM134" s="47"/>
      <c r="AN134" s="47"/>
      <c r="AO134" s="47"/>
      <c r="AP134" s="47"/>
      <c r="AQ134" s="47"/>
      <c r="AR134" s="48"/>
      <c r="AS134" s="5"/>
    </row>
    <row r="135" spans="2:45" x14ac:dyDescent="0.25">
      <c r="B135" s="3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AR135" s="4"/>
      <c r="AS135" s="5"/>
    </row>
    <row r="136" spans="2:45" x14ac:dyDescent="0.25">
      <c r="B136" s="3"/>
      <c r="C136" s="20" t="s">
        <v>114</v>
      </c>
      <c r="D136" s="4"/>
      <c r="E136" s="4"/>
      <c r="F136" s="4"/>
      <c r="G136" s="4"/>
      <c r="H136" s="4"/>
      <c r="I136" s="4"/>
      <c r="J136" s="4"/>
      <c r="K136" s="4"/>
      <c r="Q136" s="49">
        <f>+AA134</f>
        <v>29.00941635224007</v>
      </c>
      <c r="R136" s="50"/>
      <c r="S136" s="33" t="s">
        <v>30</v>
      </c>
      <c r="T136" s="50">
        <f>M128*2+M127*2</f>
        <v>0.42500000000000004</v>
      </c>
      <c r="U136" s="50"/>
      <c r="V136" s="34" t="s">
        <v>38</v>
      </c>
      <c r="W136" s="51">
        <f>+Q136*T136</f>
        <v>12.329001949702031</v>
      </c>
      <c r="X136" s="51"/>
      <c r="Y136" s="24" t="s">
        <v>102</v>
      </c>
      <c r="AA136" s="2" t="s">
        <v>103</v>
      </c>
      <c r="AR136" s="4"/>
      <c r="AS136" s="5"/>
    </row>
    <row r="137" spans="2:45" ht="12" thickBot="1" x14ac:dyDescent="0.3">
      <c r="B137" s="29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K137" s="30"/>
      <c r="AL137" s="30"/>
      <c r="AM137" s="30"/>
      <c r="AN137" s="30"/>
      <c r="AO137" s="30"/>
      <c r="AP137" s="30"/>
      <c r="AQ137" s="30"/>
      <c r="AR137" s="30"/>
      <c r="AS137" s="31"/>
    </row>
    <row r="138" spans="2:45" ht="12" thickBot="1" x14ac:dyDescent="0.3"/>
    <row r="139" spans="2:45" ht="33.6" customHeight="1" x14ac:dyDescent="0.25">
      <c r="B139" s="93" t="s">
        <v>123</v>
      </c>
      <c r="C139" s="94"/>
      <c r="D139" s="94"/>
      <c r="E139" s="94"/>
      <c r="F139" s="94"/>
      <c r="G139" s="94"/>
      <c r="H139" s="94"/>
      <c r="I139" s="94"/>
      <c r="J139" s="94"/>
      <c r="K139" s="94"/>
      <c r="L139" s="94"/>
      <c r="M139" s="94"/>
      <c r="N139" s="94"/>
      <c r="O139" s="94"/>
      <c r="P139" s="94"/>
      <c r="Q139" s="94"/>
      <c r="R139" s="94"/>
      <c r="S139" s="94"/>
      <c r="T139" s="94"/>
      <c r="U139" s="94"/>
      <c r="V139" s="94"/>
      <c r="W139" s="94"/>
      <c r="X139" s="94"/>
      <c r="Y139" s="94"/>
      <c r="Z139" s="94"/>
      <c r="AA139" s="94"/>
      <c r="AB139" s="94"/>
      <c r="AC139" s="94"/>
      <c r="AD139" s="94"/>
      <c r="AE139" s="94"/>
      <c r="AF139" s="94"/>
      <c r="AG139" s="94"/>
      <c r="AH139" s="94"/>
      <c r="AI139" s="94"/>
      <c r="AJ139" s="94"/>
      <c r="AK139" s="94"/>
      <c r="AL139" s="94"/>
      <c r="AM139" s="94"/>
      <c r="AN139" s="94"/>
      <c r="AO139" s="94"/>
      <c r="AP139" s="94"/>
      <c r="AQ139" s="94"/>
      <c r="AR139" s="94"/>
      <c r="AS139" s="95"/>
    </row>
    <row r="140" spans="2:45" x14ac:dyDescent="0.25">
      <c r="B140" s="3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1" t="s">
        <v>93</v>
      </c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5"/>
    </row>
    <row r="141" spans="2:45" x14ac:dyDescent="0.25">
      <c r="B141" s="3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6" t="s">
        <v>95</v>
      </c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5"/>
    </row>
    <row r="142" spans="2:45" x14ac:dyDescent="0.25">
      <c r="B142" s="3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5"/>
    </row>
    <row r="143" spans="2:45" x14ac:dyDescent="0.25">
      <c r="B143" s="3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5"/>
    </row>
    <row r="144" spans="2:45" x14ac:dyDescent="0.25">
      <c r="B144" s="3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5"/>
    </row>
    <row r="145" spans="2:45" x14ac:dyDescent="0.25">
      <c r="B145" s="3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50">
        <f>2*F178</f>
        <v>2.8940000000000001</v>
      </c>
      <c r="P145" s="50"/>
      <c r="Q145" s="4" t="s">
        <v>21</v>
      </c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5"/>
    </row>
    <row r="146" spans="2:45" x14ac:dyDescent="0.25">
      <c r="B146" s="3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6" t="s">
        <v>110</v>
      </c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5"/>
    </row>
    <row r="147" spans="2:45" x14ac:dyDescent="0.25">
      <c r="B147" s="3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5"/>
    </row>
    <row r="148" spans="2:45" x14ac:dyDescent="0.25">
      <c r="B148" s="3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5"/>
    </row>
    <row r="149" spans="2:45" x14ac:dyDescent="0.25">
      <c r="B149" s="3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5"/>
    </row>
    <row r="150" spans="2:45" x14ac:dyDescent="0.25">
      <c r="B150" s="3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5"/>
    </row>
    <row r="151" spans="2:45" x14ac:dyDescent="0.25">
      <c r="B151" s="3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5"/>
    </row>
    <row r="152" spans="2:45" x14ac:dyDescent="0.25">
      <c r="B152" s="3"/>
      <c r="C152" s="7" t="s">
        <v>21</v>
      </c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5"/>
    </row>
    <row r="153" spans="2:45" x14ac:dyDescent="0.25">
      <c r="B153" s="3"/>
      <c r="C153" s="78">
        <f>+H180-H178</f>
        <v>4.6029999999999998</v>
      </c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33" t="s">
        <v>15</v>
      </c>
      <c r="AO153" s="4"/>
      <c r="AP153" s="4"/>
      <c r="AQ153" s="4"/>
      <c r="AR153" s="4"/>
      <c r="AS153" s="5"/>
    </row>
    <row r="154" spans="2:45" x14ac:dyDescent="0.25">
      <c r="B154" s="3"/>
      <c r="C154" s="78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33"/>
      <c r="AO154" s="4"/>
      <c r="AP154" s="4"/>
      <c r="AQ154" s="4"/>
      <c r="AR154" s="4"/>
      <c r="AS154" s="5"/>
    </row>
    <row r="155" spans="2:45" x14ac:dyDescent="0.25">
      <c r="B155" s="3"/>
      <c r="C155" s="78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33" t="s">
        <v>14</v>
      </c>
      <c r="AO155" s="4"/>
      <c r="AP155" s="4"/>
      <c r="AQ155" s="4"/>
      <c r="AR155" s="4"/>
      <c r="AS155" s="5"/>
    </row>
    <row r="156" spans="2:45" x14ac:dyDescent="0.25">
      <c r="B156" s="3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7" t="s">
        <v>21</v>
      </c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33"/>
      <c r="AO156" s="4"/>
      <c r="AP156" s="4"/>
      <c r="AQ156" s="4"/>
      <c r="AR156" s="4"/>
      <c r="AS156" s="5"/>
    </row>
    <row r="157" spans="2:45" x14ac:dyDescent="0.25">
      <c r="B157" s="3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78">
        <f>AI187-((H180-H177)-Z187)</f>
        <v>9.0250000000000021</v>
      </c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33" t="s">
        <v>13</v>
      </c>
      <c r="AO157" s="4"/>
      <c r="AP157" s="4"/>
      <c r="AQ157" s="4"/>
      <c r="AR157" s="4"/>
      <c r="AS157" s="5"/>
    </row>
    <row r="158" spans="2:45" x14ac:dyDescent="0.25">
      <c r="B158" s="3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78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33" t="s">
        <v>12</v>
      </c>
      <c r="AO158" s="4"/>
      <c r="AP158" s="4"/>
      <c r="AQ158" s="4"/>
      <c r="AR158" s="4"/>
      <c r="AS158" s="5"/>
    </row>
    <row r="159" spans="2:45" x14ac:dyDescent="0.25">
      <c r="B159" s="3"/>
      <c r="C159" s="7" t="s">
        <v>21</v>
      </c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78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33"/>
      <c r="AO159" s="4"/>
      <c r="AP159" s="4"/>
      <c r="AQ159" s="4"/>
      <c r="AR159" s="4"/>
      <c r="AS159" s="5"/>
    </row>
    <row r="160" spans="2:45" x14ac:dyDescent="0.25">
      <c r="B160" s="3"/>
      <c r="C160" s="78">
        <f>+H178-H177</f>
        <v>1.1120000000000001</v>
      </c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33"/>
      <c r="AO160" s="4"/>
      <c r="AP160" s="4"/>
      <c r="AQ160" s="4"/>
      <c r="AR160" s="4"/>
      <c r="AS160" s="5"/>
    </row>
    <row r="161" spans="2:45" x14ac:dyDescent="0.25">
      <c r="B161" s="3"/>
      <c r="C161" s="78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33" t="s">
        <v>11</v>
      </c>
      <c r="AO161" s="4"/>
      <c r="AP161" s="4"/>
      <c r="AQ161" s="4"/>
      <c r="AR161" s="4"/>
      <c r="AS161" s="5"/>
    </row>
    <row r="162" spans="2:45" x14ac:dyDescent="0.25">
      <c r="B162" s="3"/>
      <c r="C162" s="78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5"/>
    </row>
    <row r="163" spans="2:45" x14ac:dyDescent="0.25">
      <c r="B163" s="3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5"/>
    </row>
    <row r="164" spans="2:45" x14ac:dyDescent="0.25">
      <c r="B164" s="3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5"/>
    </row>
    <row r="165" spans="2:45" x14ac:dyDescent="0.25">
      <c r="B165" s="3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5"/>
    </row>
    <row r="166" spans="2:45" x14ac:dyDescent="0.25">
      <c r="B166" s="3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5"/>
    </row>
    <row r="167" spans="2:45" x14ac:dyDescent="0.25">
      <c r="B167" s="3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5"/>
    </row>
    <row r="168" spans="2:45" x14ac:dyDescent="0.25">
      <c r="B168" s="3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5"/>
    </row>
    <row r="169" spans="2:45" x14ac:dyDescent="0.25">
      <c r="B169" s="3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5"/>
    </row>
    <row r="170" spans="2:45" x14ac:dyDescent="0.25">
      <c r="B170" s="3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5"/>
    </row>
    <row r="171" spans="2:45" x14ac:dyDescent="0.25">
      <c r="B171" s="3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50">
        <f>2*(+AC187+F178)</f>
        <v>10.984</v>
      </c>
      <c r="O171" s="50"/>
      <c r="P171" s="4" t="s">
        <v>21</v>
      </c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5"/>
    </row>
    <row r="172" spans="2:45" x14ac:dyDescent="0.25">
      <c r="B172" s="3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5"/>
    </row>
    <row r="173" spans="2:45" x14ac:dyDescent="0.25">
      <c r="B173" s="3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5"/>
    </row>
    <row r="174" spans="2:45" x14ac:dyDescent="0.25">
      <c r="B174" s="3"/>
      <c r="C174" s="4"/>
      <c r="D174" s="4" t="s">
        <v>77</v>
      </c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AO174" s="4"/>
      <c r="AP174" s="4"/>
      <c r="AQ174" s="4"/>
      <c r="AR174" s="4"/>
      <c r="AS174" s="5"/>
    </row>
    <row r="175" spans="2:45" x14ac:dyDescent="0.25">
      <c r="B175" s="3"/>
      <c r="C175" s="4"/>
      <c r="D175" s="90" t="s">
        <v>0</v>
      </c>
      <c r="E175" s="90"/>
      <c r="F175" s="85" t="s">
        <v>8</v>
      </c>
      <c r="G175" s="85"/>
      <c r="H175" s="85" t="s">
        <v>9</v>
      </c>
      <c r="I175" s="85"/>
      <c r="J175" s="85" t="s">
        <v>10</v>
      </c>
      <c r="K175" s="85"/>
      <c r="L175" s="4"/>
      <c r="M175" s="4"/>
      <c r="N175" s="4"/>
      <c r="O175" s="8"/>
      <c r="P175" s="8"/>
      <c r="Q175" s="8"/>
      <c r="R175" s="8"/>
      <c r="S175" s="4"/>
      <c r="T175" s="4"/>
      <c r="AB175" s="100" t="s">
        <v>99</v>
      </c>
      <c r="AC175" s="101"/>
      <c r="AD175" s="101"/>
      <c r="AE175" s="101"/>
      <c r="AF175" s="101"/>
      <c r="AG175" s="101"/>
      <c r="AH175" s="101"/>
      <c r="AI175" s="101"/>
      <c r="AJ175" s="101"/>
      <c r="AK175" s="101"/>
      <c r="AL175" s="101"/>
      <c r="AM175" s="101"/>
      <c r="AN175" s="101"/>
      <c r="AO175" s="101"/>
      <c r="AP175" s="102"/>
      <c r="AQ175" s="4"/>
      <c r="AR175" s="4"/>
      <c r="AS175" s="5"/>
    </row>
    <row r="176" spans="2:45" ht="12" thickBot="1" x14ac:dyDescent="0.3">
      <c r="B176" s="3"/>
      <c r="C176" s="4"/>
      <c r="D176" s="91"/>
      <c r="E176" s="91"/>
      <c r="F176" s="87" t="s">
        <v>7</v>
      </c>
      <c r="G176" s="87"/>
      <c r="H176" s="87" t="s">
        <v>7</v>
      </c>
      <c r="I176" s="87"/>
      <c r="J176" s="87" t="s">
        <v>7</v>
      </c>
      <c r="K176" s="87"/>
      <c r="L176" s="4"/>
      <c r="M176" s="4"/>
      <c r="N176" s="4" t="s">
        <v>111</v>
      </c>
      <c r="O176" s="8"/>
      <c r="P176" s="8"/>
      <c r="Q176" s="8"/>
      <c r="R176" s="8"/>
      <c r="S176" s="4"/>
      <c r="T176" s="4"/>
      <c r="AB176" s="103"/>
      <c r="AC176" s="104"/>
      <c r="AD176" s="104"/>
      <c r="AE176" s="104"/>
      <c r="AF176" s="104"/>
      <c r="AG176" s="104"/>
      <c r="AH176" s="104"/>
      <c r="AI176" s="104"/>
      <c r="AJ176" s="104"/>
      <c r="AK176" s="104"/>
      <c r="AL176" s="104"/>
      <c r="AM176" s="104"/>
      <c r="AN176" s="104"/>
      <c r="AO176" s="104"/>
      <c r="AP176" s="105"/>
      <c r="AQ176" s="4"/>
      <c r="AR176" s="4"/>
      <c r="AS176" s="5"/>
    </row>
    <row r="177" spans="2:45" ht="12" thickTop="1" x14ac:dyDescent="0.25">
      <c r="B177" s="3"/>
      <c r="C177" s="4"/>
      <c r="D177" s="96" t="s">
        <v>1</v>
      </c>
      <c r="E177" s="96"/>
      <c r="F177" s="92">
        <v>0</v>
      </c>
      <c r="G177" s="92"/>
      <c r="H177" s="88">
        <v>0.56299999999999994</v>
      </c>
      <c r="I177" s="88"/>
      <c r="J177" s="88">
        <v>5</v>
      </c>
      <c r="K177" s="88"/>
      <c r="L177" s="4"/>
      <c r="M177" s="4"/>
      <c r="N177" s="4"/>
      <c r="O177" s="4"/>
      <c r="P177" s="4"/>
      <c r="Q177" s="4"/>
      <c r="R177" s="4"/>
      <c r="S177" s="4"/>
      <c r="T177" s="4"/>
      <c r="AB177" s="97" t="s">
        <v>15</v>
      </c>
      <c r="AC177" s="63"/>
      <c r="AD177" s="81">
        <v>0.1</v>
      </c>
      <c r="AE177" s="82"/>
      <c r="AF177" s="9" t="s">
        <v>21</v>
      </c>
      <c r="AG177" s="10" t="s">
        <v>104</v>
      </c>
      <c r="AH177" s="11"/>
      <c r="AI177" s="11"/>
      <c r="AJ177" s="11"/>
      <c r="AK177" s="11"/>
      <c r="AL177" s="11"/>
      <c r="AM177" s="11"/>
      <c r="AN177" s="11"/>
      <c r="AO177" s="11"/>
      <c r="AP177" s="9"/>
      <c r="AQ177" s="4"/>
      <c r="AR177" s="4"/>
      <c r="AS177" s="5"/>
    </row>
    <row r="178" spans="2:45" x14ac:dyDescent="0.25">
      <c r="B178" s="3"/>
      <c r="C178" s="4"/>
      <c r="D178" s="85" t="s">
        <v>4</v>
      </c>
      <c r="E178" s="85"/>
      <c r="F178" s="86">
        <v>1.4470000000000001</v>
      </c>
      <c r="G178" s="86"/>
      <c r="H178" s="86">
        <v>1.675</v>
      </c>
      <c r="I178" s="86"/>
      <c r="J178" s="86">
        <v>3.1749999999999998</v>
      </c>
      <c r="K178" s="86"/>
      <c r="L178" s="4"/>
      <c r="M178" s="4"/>
      <c r="N178" s="4"/>
      <c r="O178" s="4"/>
      <c r="P178" s="4"/>
      <c r="Q178" s="4"/>
      <c r="R178" s="4"/>
      <c r="S178" s="4"/>
      <c r="T178" s="4"/>
      <c r="AB178" s="98" t="s">
        <v>14</v>
      </c>
      <c r="AC178" s="99"/>
      <c r="AD178" s="83">
        <v>0.3</v>
      </c>
      <c r="AE178" s="84"/>
      <c r="AF178" s="12" t="s">
        <v>21</v>
      </c>
      <c r="AG178" s="13" t="s">
        <v>96</v>
      </c>
      <c r="AH178" s="14"/>
      <c r="AI178" s="14"/>
      <c r="AJ178" s="14"/>
      <c r="AK178" s="14"/>
      <c r="AL178" s="14"/>
      <c r="AM178" s="14"/>
      <c r="AN178" s="14"/>
      <c r="AO178" s="14"/>
      <c r="AP178" s="12"/>
      <c r="AQ178" s="4"/>
      <c r="AR178" s="4"/>
      <c r="AS178" s="5"/>
    </row>
    <row r="179" spans="2:45" x14ac:dyDescent="0.25">
      <c r="B179" s="3"/>
      <c r="C179" s="4"/>
      <c r="D179" s="85" t="s">
        <v>5</v>
      </c>
      <c r="E179" s="85"/>
      <c r="F179" s="85">
        <f>-F178</f>
        <v>-1.4470000000000001</v>
      </c>
      <c r="G179" s="85"/>
      <c r="H179" s="85">
        <f>+H178</f>
        <v>1.675</v>
      </c>
      <c r="I179" s="85"/>
      <c r="J179" s="89">
        <f>+J178</f>
        <v>3.1749999999999998</v>
      </c>
      <c r="K179" s="89"/>
      <c r="L179" s="4"/>
      <c r="M179" s="4"/>
      <c r="N179" s="4"/>
      <c r="O179" s="4"/>
      <c r="P179" s="4"/>
      <c r="Q179" s="4"/>
      <c r="R179" s="4"/>
      <c r="S179" s="4"/>
      <c r="T179" s="4"/>
      <c r="AB179" s="98" t="s">
        <v>13</v>
      </c>
      <c r="AC179" s="99"/>
      <c r="AD179" s="83">
        <v>0.02</v>
      </c>
      <c r="AE179" s="84"/>
      <c r="AF179" s="12" t="s">
        <v>21</v>
      </c>
      <c r="AG179" s="13" t="s">
        <v>97</v>
      </c>
      <c r="AH179" s="14"/>
      <c r="AI179" s="14"/>
      <c r="AJ179" s="14"/>
      <c r="AK179" s="14"/>
      <c r="AL179" s="14"/>
      <c r="AM179" s="14"/>
      <c r="AN179" s="14"/>
      <c r="AO179" s="14"/>
      <c r="AP179" s="12"/>
      <c r="AQ179" s="4"/>
      <c r="AR179" s="4"/>
      <c r="AS179" s="5"/>
    </row>
    <row r="180" spans="2:45" x14ac:dyDescent="0.25">
      <c r="B180" s="3"/>
      <c r="C180" s="4"/>
      <c r="D180" s="85" t="s">
        <v>3</v>
      </c>
      <c r="E180" s="85"/>
      <c r="F180" s="89">
        <v>0</v>
      </c>
      <c r="G180" s="89"/>
      <c r="H180" s="86">
        <v>6.2779999999999996</v>
      </c>
      <c r="I180" s="86"/>
      <c r="J180" s="86">
        <v>8</v>
      </c>
      <c r="K180" s="86"/>
      <c r="L180" s="4"/>
      <c r="M180" s="4"/>
      <c r="N180" s="4"/>
      <c r="O180" s="4"/>
      <c r="P180" s="4"/>
      <c r="Q180" s="4"/>
      <c r="R180" s="4"/>
      <c r="S180" s="4"/>
      <c r="T180" s="4"/>
      <c r="AB180" s="98" t="s">
        <v>12</v>
      </c>
      <c r="AC180" s="99"/>
      <c r="AD180" s="83">
        <v>0.05</v>
      </c>
      <c r="AE180" s="84"/>
      <c r="AF180" s="12" t="s">
        <v>21</v>
      </c>
      <c r="AG180" s="13" t="s">
        <v>105</v>
      </c>
      <c r="AH180" s="14"/>
      <c r="AI180" s="14"/>
      <c r="AJ180" s="14"/>
      <c r="AK180" s="14"/>
      <c r="AL180" s="14"/>
      <c r="AM180" s="14"/>
      <c r="AN180" s="14"/>
      <c r="AO180" s="14"/>
      <c r="AP180" s="12"/>
      <c r="AQ180" s="4"/>
      <c r="AR180" s="4"/>
      <c r="AS180" s="5"/>
    </row>
    <row r="181" spans="2:45" x14ac:dyDescent="0.25">
      <c r="B181" s="3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98" t="s">
        <v>11</v>
      </c>
      <c r="AC181" s="99"/>
      <c r="AD181" s="83">
        <v>0.4</v>
      </c>
      <c r="AE181" s="84"/>
      <c r="AF181" s="12" t="s">
        <v>21</v>
      </c>
      <c r="AG181" s="13" t="s">
        <v>98</v>
      </c>
      <c r="AH181" s="14"/>
      <c r="AI181" s="14"/>
      <c r="AJ181" s="14"/>
      <c r="AK181" s="14"/>
      <c r="AL181" s="14"/>
      <c r="AM181" s="14"/>
      <c r="AN181" s="14"/>
      <c r="AO181" s="14"/>
      <c r="AP181" s="12"/>
      <c r="AQ181" s="4"/>
      <c r="AR181" s="4"/>
      <c r="AS181" s="5"/>
    </row>
    <row r="182" spans="2:45" x14ac:dyDescent="0.25">
      <c r="B182" s="3"/>
      <c r="C182" s="4"/>
      <c r="D182" s="15" t="s">
        <v>119</v>
      </c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5"/>
    </row>
    <row r="183" spans="2:45" x14ac:dyDescent="0.25">
      <c r="B183" s="3"/>
      <c r="C183" s="4"/>
      <c r="D183" s="16" t="s">
        <v>16</v>
      </c>
      <c r="E183" s="4"/>
      <c r="F183" s="4"/>
      <c r="G183" s="4"/>
      <c r="H183" s="4"/>
      <c r="I183" s="4"/>
      <c r="J183" s="50">
        <f>+AD177</f>
        <v>0.1</v>
      </c>
      <c r="K183" s="50"/>
      <c r="L183" s="4" t="s">
        <v>21</v>
      </c>
      <c r="M183" s="4"/>
      <c r="N183" s="4"/>
      <c r="O183" s="4"/>
      <c r="P183" s="100" t="s">
        <v>28</v>
      </c>
      <c r="Q183" s="101"/>
      <c r="R183" s="101"/>
      <c r="S183" s="101"/>
      <c r="T183" s="101"/>
      <c r="U183" s="101"/>
      <c r="V183" s="101"/>
      <c r="W183" s="101"/>
      <c r="X183" s="101"/>
      <c r="Y183" s="102"/>
      <c r="Z183" s="69" t="s">
        <v>1</v>
      </c>
      <c r="AA183" s="70"/>
      <c r="AB183" s="71"/>
      <c r="AC183" s="69" t="s">
        <v>4</v>
      </c>
      <c r="AD183" s="70"/>
      <c r="AE183" s="71"/>
      <c r="AF183" s="69" t="s">
        <v>5</v>
      </c>
      <c r="AG183" s="70"/>
      <c r="AH183" s="71"/>
      <c r="AI183" s="69" t="s">
        <v>3</v>
      </c>
      <c r="AJ183" s="70"/>
      <c r="AK183" s="71"/>
      <c r="AL183" s="40"/>
      <c r="AM183" s="16"/>
      <c r="AN183" s="16"/>
      <c r="AO183" s="16"/>
      <c r="AP183" s="16"/>
      <c r="AQ183" s="16"/>
      <c r="AR183" s="4"/>
      <c r="AS183" s="5"/>
    </row>
    <row r="184" spans="2:45" ht="12" thickBot="1" x14ac:dyDescent="0.3">
      <c r="B184" s="3"/>
      <c r="C184" s="4"/>
      <c r="D184" s="16" t="s">
        <v>17</v>
      </c>
      <c r="E184" s="4"/>
      <c r="F184" s="4"/>
      <c r="G184" s="4"/>
      <c r="H184" s="4"/>
      <c r="I184" s="4"/>
      <c r="J184" s="50">
        <f>+AD178</f>
        <v>0.3</v>
      </c>
      <c r="K184" s="50"/>
      <c r="L184" s="4" t="s">
        <v>21</v>
      </c>
      <c r="M184" s="4"/>
      <c r="N184" s="4"/>
      <c r="O184" s="4"/>
      <c r="P184" s="103"/>
      <c r="Q184" s="104"/>
      <c r="R184" s="104"/>
      <c r="S184" s="104"/>
      <c r="T184" s="104"/>
      <c r="U184" s="104"/>
      <c r="V184" s="104"/>
      <c r="W184" s="104"/>
      <c r="X184" s="104"/>
      <c r="Y184" s="105"/>
      <c r="Z184" s="72"/>
      <c r="AA184" s="73"/>
      <c r="AB184" s="74"/>
      <c r="AC184" s="72"/>
      <c r="AD184" s="73"/>
      <c r="AE184" s="74"/>
      <c r="AF184" s="72"/>
      <c r="AG184" s="73"/>
      <c r="AH184" s="74"/>
      <c r="AI184" s="72"/>
      <c r="AJ184" s="73"/>
      <c r="AK184" s="74"/>
      <c r="AL184" s="40"/>
      <c r="AM184" s="16"/>
      <c r="AN184" s="16"/>
      <c r="AO184" s="16"/>
      <c r="AP184" s="16"/>
      <c r="AQ184" s="16"/>
      <c r="AR184" s="4"/>
      <c r="AS184" s="5"/>
    </row>
    <row r="185" spans="2:45" ht="12" thickTop="1" x14ac:dyDescent="0.25">
      <c r="B185" s="3"/>
      <c r="C185" s="4"/>
      <c r="D185" s="16" t="s">
        <v>22</v>
      </c>
      <c r="E185" s="4"/>
      <c r="F185" s="4"/>
      <c r="G185" s="4"/>
      <c r="H185" s="4"/>
      <c r="I185" s="4"/>
      <c r="J185" s="50">
        <f>+AD179</f>
        <v>0.02</v>
      </c>
      <c r="K185" s="50"/>
      <c r="L185" s="4" t="s">
        <v>21</v>
      </c>
      <c r="M185" s="4"/>
      <c r="N185" s="4"/>
      <c r="O185" s="4"/>
      <c r="P185" s="10" t="s">
        <v>23</v>
      </c>
      <c r="Q185" s="11"/>
      <c r="R185" s="11"/>
      <c r="S185" s="11"/>
      <c r="T185" s="11"/>
      <c r="U185" s="11"/>
      <c r="V185" s="11"/>
      <c r="W185" s="11"/>
      <c r="X185" s="11"/>
      <c r="Y185" s="9"/>
      <c r="Z185" s="62">
        <f>2*(ATAN(F178/(H178-H177))*180/PI())</f>
        <v>104.91641527779554</v>
      </c>
      <c r="AA185" s="62"/>
      <c r="AB185" s="62"/>
      <c r="AC185" s="62">
        <f>(360-AI185-Z185)/2</f>
        <v>110.09071996095216</v>
      </c>
      <c r="AD185" s="62"/>
      <c r="AE185" s="62"/>
      <c r="AF185" s="62">
        <f>+AC185</f>
        <v>110.09071996095216</v>
      </c>
      <c r="AG185" s="62"/>
      <c r="AH185" s="62"/>
      <c r="AI185" s="62">
        <f>2*ATAN(F178/(H180-H178))*180/PI()</f>
        <v>34.902144800300142</v>
      </c>
      <c r="AJ185" s="62"/>
      <c r="AK185" s="62"/>
      <c r="AL185" s="41"/>
      <c r="AM185" s="17"/>
      <c r="AN185" s="17"/>
      <c r="AO185" s="17"/>
      <c r="AP185" s="17"/>
      <c r="AQ185" s="17"/>
      <c r="AR185" s="4"/>
      <c r="AS185" s="5"/>
    </row>
    <row r="186" spans="2:45" x14ac:dyDescent="0.25">
      <c r="B186" s="3"/>
      <c r="C186" s="4"/>
      <c r="D186" s="16" t="s">
        <v>18</v>
      </c>
      <c r="E186" s="4"/>
      <c r="F186" s="4"/>
      <c r="G186" s="4"/>
      <c r="H186" s="4"/>
      <c r="I186" s="4"/>
      <c r="J186" s="50">
        <f>+AD180</f>
        <v>0.05</v>
      </c>
      <c r="K186" s="50"/>
      <c r="L186" s="4" t="s">
        <v>21</v>
      </c>
      <c r="M186" s="4"/>
      <c r="N186" s="4"/>
      <c r="O186" s="4"/>
      <c r="P186" s="13" t="s">
        <v>24</v>
      </c>
      <c r="Q186" s="14"/>
      <c r="R186" s="14"/>
      <c r="S186" s="14"/>
      <c r="T186" s="14"/>
      <c r="U186" s="14"/>
      <c r="V186" s="14"/>
      <c r="W186" s="14"/>
      <c r="X186" s="14"/>
      <c r="Y186" s="12"/>
      <c r="Z186" s="54">
        <f>+J177</f>
        <v>5</v>
      </c>
      <c r="AA186" s="54"/>
      <c r="AB186" s="54"/>
      <c r="AC186" s="54">
        <f>+J178</f>
        <v>3.1749999999999998</v>
      </c>
      <c r="AD186" s="54"/>
      <c r="AE186" s="54"/>
      <c r="AF186" s="54">
        <f>+J179</f>
        <v>3.1749999999999998</v>
      </c>
      <c r="AG186" s="54"/>
      <c r="AH186" s="54"/>
      <c r="AI186" s="54">
        <f>+J180</f>
        <v>8</v>
      </c>
      <c r="AJ186" s="54"/>
      <c r="AK186" s="54"/>
      <c r="AL186" s="41"/>
      <c r="AM186" s="17"/>
      <c r="AN186" s="17"/>
      <c r="AO186" s="17"/>
      <c r="AP186" s="17"/>
      <c r="AQ186" s="17"/>
      <c r="AR186" s="4"/>
      <c r="AS186" s="5"/>
    </row>
    <row r="187" spans="2:45" x14ac:dyDescent="0.25">
      <c r="B187" s="3"/>
      <c r="C187" s="4"/>
      <c r="D187" s="16" t="s">
        <v>19</v>
      </c>
      <c r="E187" s="4"/>
      <c r="F187" s="4"/>
      <c r="G187" s="4"/>
      <c r="H187" s="4"/>
      <c r="I187" s="4"/>
      <c r="J187" s="63">
        <f>+AD181</f>
        <v>0.4</v>
      </c>
      <c r="K187" s="63"/>
      <c r="L187" s="11" t="s">
        <v>21</v>
      </c>
      <c r="M187" s="4"/>
      <c r="N187" s="4"/>
      <c r="O187" s="4"/>
      <c r="P187" s="13" t="s">
        <v>25</v>
      </c>
      <c r="Q187" s="14"/>
      <c r="R187" s="14"/>
      <c r="S187" s="14"/>
      <c r="T187" s="14"/>
      <c r="U187" s="14"/>
      <c r="V187" s="14"/>
      <c r="W187" s="14"/>
      <c r="X187" s="14"/>
      <c r="Y187" s="12"/>
      <c r="Z187" s="54">
        <f>+Z186+J188</f>
        <v>5.87</v>
      </c>
      <c r="AA187" s="54"/>
      <c r="AB187" s="54"/>
      <c r="AC187" s="54">
        <f>+AC186+J188</f>
        <v>4.0449999999999999</v>
      </c>
      <c r="AD187" s="54"/>
      <c r="AE187" s="54"/>
      <c r="AF187" s="54">
        <f>+AF186+J188</f>
        <v>4.0449999999999999</v>
      </c>
      <c r="AG187" s="54"/>
      <c r="AH187" s="54"/>
      <c r="AI187" s="54">
        <f>+AI186+J188</f>
        <v>8.870000000000001</v>
      </c>
      <c r="AJ187" s="54"/>
      <c r="AK187" s="54"/>
      <c r="AL187" s="41"/>
      <c r="AM187" s="17"/>
      <c r="AN187" s="17"/>
      <c r="AO187" s="17"/>
      <c r="AP187" s="17"/>
      <c r="AQ187" s="17"/>
      <c r="AR187" s="4"/>
      <c r="AS187" s="5"/>
    </row>
    <row r="188" spans="2:45" x14ac:dyDescent="0.25">
      <c r="B188" s="3"/>
      <c r="C188" s="4"/>
      <c r="D188" s="16" t="s">
        <v>20</v>
      </c>
      <c r="E188" s="4"/>
      <c r="F188" s="4"/>
      <c r="G188" s="4"/>
      <c r="H188" s="4"/>
      <c r="I188" s="4"/>
      <c r="J188" s="50">
        <f>SUM(J183:K187)</f>
        <v>0.87000000000000011</v>
      </c>
      <c r="K188" s="50"/>
      <c r="L188" s="4" t="s">
        <v>21</v>
      </c>
      <c r="M188" s="4"/>
      <c r="N188" s="4"/>
      <c r="O188" s="4"/>
      <c r="P188" s="13" t="s">
        <v>26</v>
      </c>
      <c r="Q188" s="14"/>
      <c r="R188" s="14"/>
      <c r="S188" s="14"/>
      <c r="T188" s="14"/>
      <c r="U188" s="14"/>
      <c r="V188" s="14"/>
      <c r="W188" s="14"/>
      <c r="X188" s="14"/>
      <c r="Y188" s="12"/>
      <c r="Z188" s="54">
        <f>PI()*Z187^2*Z185/360</f>
        <v>31.54765028338641</v>
      </c>
      <c r="AA188" s="54"/>
      <c r="AB188" s="54"/>
      <c r="AC188" s="54">
        <f t="shared" ref="AC188" si="30">PI()*AC187^2*AC185/360</f>
        <v>15.719369974343454</v>
      </c>
      <c r="AD188" s="54"/>
      <c r="AE188" s="54"/>
      <c r="AF188" s="54">
        <f t="shared" ref="AF188" si="31">PI()*AF187^2*AF185/360</f>
        <v>15.719369974343454</v>
      </c>
      <c r="AG188" s="54"/>
      <c r="AH188" s="54"/>
      <c r="AI188" s="54">
        <f t="shared" ref="AI188" si="32">PI()*AI187^2*AI185/360</f>
        <v>23.963305670810737</v>
      </c>
      <c r="AJ188" s="54"/>
      <c r="AK188" s="54"/>
      <c r="AL188" s="41"/>
      <c r="AM188" s="17"/>
      <c r="AN188" s="17"/>
      <c r="AO188" s="17"/>
      <c r="AP188" s="17"/>
      <c r="AQ188" s="17"/>
      <c r="AR188" s="4"/>
      <c r="AS188" s="5"/>
    </row>
    <row r="189" spans="2:45" x14ac:dyDescent="0.25">
      <c r="B189" s="3"/>
      <c r="C189" s="4"/>
      <c r="M189" s="4"/>
      <c r="N189" s="4"/>
      <c r="O189" s="4"/>
      <c r="P189" s="13" t="s">
        <v>27</v>
      </c>
      <c r="Q189" s="14"/>
      <c r="R189" s="14"/>
      <c r="S189" s="14"/>
      <c r="T189" s="14"/>
      <c r="U189" s="14"/>
      <c r="V189" s="14"/>
      <c r="W189" s="14"/>
      <c r="X189" s="14"/>
      <c r="Y189" s="12"/>
      <c r="Z189" s="61">
        <f>SUM(Z188:AK188)</f>
        <v>86.949695902884059</v>
      </c>
      <c r="AA189" s="61"/>
      <c r="AB189" s="61"/>
      <c r="AC189" s="61"/>
      <c r="AD189" s="61"/>
      <c r="AE189" s="61"/>
      <c r="AF189" s="61"/>
      <c r="AG189" s="61"/>
      <c r="AH189" s="61"/>
      <c r="AI189" s="61"/>
      <c r="AJ189" s="61"/>
      <c r="AK189" s="61"/>
      <c r="AL189" s="42"/>
      <c r="AM189" s="18"/>
      <c r="AN189" s="18"/>
      <c r="AO189" s="18"/>
      <c r="AP189" s="18"/>
      <c r="AQ189" s="18"/>
      <c r="AR189" s="4"/>
      <c r="AS189" s="5"/>
    </row>
    <row r="190" spans="2:45" x14ac:dyDescent="0.25">
      <c r="B190" s="3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5"/>
    </row>
    <row r="191" spans="2:45" x14ac:dyDescent="0.2">
      <c r="B191" s="3"/>
      <c r="C191" s="20" t="s">
        <v>117</v>
      </c>
      <c r="D191" s="16"/>
      <c r="E191" s="16"/>
      <c r="F191" s="16"/>
      <c r="G191" s="16"/>
      <c r="I191" s="49">
        <f>+Z189</f>
        <v>86.949695902884059</v>
      </c>
      <c r="J191" s="49"/>
      <c r="K191" s="49"/>
      <c r="L191" s="37" t="s">
        <v>39</v>
      </c>
      <c r="M191" s="49">
        <f>+C153+C160</f>
        <v>5.7149999999999999</v>
      </c>
      <c r="N191" s="49"/>
      <c r="O191" s="34" t="s">
        <v>30</v>
      </c>
      <c r="P191" s="75">
        <f>+O145</f>
        <v>2.8940000000000001</v>
      </c>
      <c r="Q191" s="75"/>
      <c r="R191" s="2" t="s">
        <v>31</v>
      </c>
      <c r="S191" s="2">
        <v>2</v>
      </c>
      <c r="T191" s="37" t="s">
        <v>38</v>
      </c>
      <c r="U191" s="64">
        <f>+I191-M191*P191/S191</f>
        <v>78.680090902884061</v>
      </c>
      <c r="V191" s="64"/>
      <c r="W191" s="20" t="s">
        <v>102</v>
      </c>
      <c r="Y191" s="2" t="s">
        <v>103</v>
      </c>
      <c r="Z191" s="16"/>
      <c r="AA191" s="16"/>
      <c r="AB191" s="16"/>
      <c r="AC191" s="21"/>
      <c r="AD191" s="21"/>
      <c r="AE191" s="21"/>
      <c r="AF191" s="21"/>
      <c r="AG191" s="21"/>
      <c r="AH191" s="21"/>
      <c r="AI191" s="21"/>
      <c r="AJ191" s="21"/>
      <c r="AK191" s="21"/>
      <c r="AL191" s="21"/>
      <c r="AM191" s="17"/>
      <c r="AN191" s="17"/>
      <c r="AO191" s="17"/>
      <c r="AP191" s="17"/>
      <c r="AQ191" s="22"/>
      <c r="AR191" s="22"/>
      <c r="AS191" s="23"/>
    </row>
    <row r="192" spans="2:45" x14ac:dyDescent="0.25">
      <c r="B192" s="3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5"/>
    </row>
    <row r="193" spans="2:45" x14ac:dyDescent="0.25">
      <c r="B193" s="3"/>
      <c r="C193" s="4"/>
      <c r="D193" s="15" t="s">
        <v>118</v>
      </c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5"/>
    </row>
    <row r="194" spans="2:45" x14ac:dyDescent="0.25">
      <c r="B194" s="3"/>
      <c r="C194" s="4"/>
      <c r="D194" s="16" t="s">
        <v>41</v>
      </c>
      <c r="L194" s="50">
        <f>+AD178/2</f>
        <v>0.15</v>
      </c>
      <c r="M194" s="50"/>
      <c r="N194" s="4" t="s">
        <v>21</v>
      </c>
      <c r="P194" s="55" t="s">
        <v>42</v>
      </c>
      <c r="Q194" s="56"/>
      <c r="R194" s="56"/>
      <c r="S194" s="56"/>
      <c r="T194" s="56"/>
      <c r="U194" s="56"/>
      <c r="V194" s="56"/>
      <c r="W194" s="56"/>
      <c r="X194" s="56"/>
      <c r="Y194" s="57"/>
      <c r="Z194" s="69" t="s">
        <v>1</v>
      </c>
      <c r="AA194" s="70"/>
      <c r="AB194" s="71"/>
      <c r="AC194" s="69" t="s">
        <v>4</v>
      </c>
      <c r="AD194" s="70"/>
      <c r="AE194" s="71"/>
      <c r="AF194" s="69" t="s">
        <v>5</v>
      </c>
      <c r="AG194" s="70"/>
      <c r="AH194" s="71"/>
      <c r="AI194" s="69" t="s">
        <v>3</v>
      </c>
      <c r="AJ194" s="70"/>
      <c r="AK194" s="71"/>
      <c r="AL194" s="16"/>
      <c r="AM194" s="16"/>
      <c r="AN194" s="16"/>
      <c r="AO194" s="16"/>
      <c r="AP194" s="16"/>
      <c r="AQ194" s="16"/>
      <c r="AS194" s="5"/>
    </row>
    <row r="195" spans="2:45" ht="12" thickBot="1" x14ac:dyDescent="0.3">
      <c r="B195" s="3"/>
      <c r="C195" s="4"/>
      <c r="D195" s="16" t="s">
        <v>22</v>
      </c>
      <c r="L195" s="50">
        <f>+AD179</f>
        <v>0.02</v>
      </c>
      <c r="M195" s="50"/>
      <c r="N195" s="4" t="s">
        <v>21</v>
      </c>
      <c r="P195" s="66"/>
      <c r="Q195" s="67"/>
      <c r="R195" s="67"/>
      <c r="S195" s="67"/>
      <c r="T195" s="67"/>
      <c r="U195" s="67"/>
      <c r="V195" s="67"/>
      <c r="W195" s="67"/>
      <c r="X195" s="67"/>
      <c r="Y195" s="68"/>
      <c r="Z195" s="72"/>
      <c r="AA195" s="73"/>
      <c r="AB195" s="74"/>
      <c r="AC195" s="72"/>
      <c r="AD195" s="73"/>
      <c r="AE195" s="74"/>
      <c r="AF195" s="72"/>
      <c r="AG195" s="73"/>
      <c r="AH195" s="74"/>
      <c r="AI195" s="72"/>
      <c r="AJ195" s="73"/>
      <c r="AK195" s="74"/>
      <c r="AL195" s="16"/>
      <c r="AM195" s="16"/>
      <c r="AN195" s="16"/>
      <c r="AO195" s="16"/>
      <c r="AP195" s="16"/>
      <c r="AQ195" s="16"/>
      <c r="AS195" s="5"/>
    </row>
    <row r="196" spans="2:45" ht="12" thickTop="1" x14ac:dyDescent="0.25">
      <c r="B196" s="3"/>
      <c r="C196" s="4"/>
      <c r="D196" s="16" t="s">
        <v>18</v>
      </c>
      <c r="E196" s="4"/>
      <c r="F196" s="4"/>
      <c r="G196" s="4"/>
      <c r="H196" s="4"/>
      <c r="I196" s="4"/>
      <c r="J196" s="4"/>
      <c r="L196" s="50">
        <f>+AD180</f>
        <v>0.05</v>
      </c>
      <c r="M196" s="50"/>
      <c r="N196" s="4" t="s">
        <v>21</v>
      </c>
      <c r="O196" s="4"/>
      <c r="P196" s="10" t="s">
        <v>23</v>
      </c>
      <c r="Q196" s="11"/>
      <c r="R196" s="11"/>
      <c r="S196" s="11"/>
      <c r="T196" s="11"/>
      <c r="U196" s="11"/>
      <c r="V196" s="11"/>
      <c r="W196" s="11"/>
      <c r="X196" s="11"/>
      <c r="Y196" s="9"/>
      <c r="Z196" s="62">
        <f>+Z185</f>
        <v>104.91641527779554</v>
      </c>
      <c r="AA196" s="62"/>
      <c r="AB196" s="62"/>
      <c r="AC196" s="62">
        <f>+AC185</f>
        <v>110.09071996095216</v>
      </c>
      <c r="AD196" s="62"/>
      <c r="AE196" s="62"/>
      <c r="AF196" s="62">
        <f>+AF185</f>
        <v>110.09071996095216</v>
      </c>
      <c r="AG196" s="62"/>
      <c r="AH196" s="62"/>
      <c r="AI196" s="62">
        <f>+AI185</f>
        <v>34.902144800300142</v>
      </c>
      <c r="AJ196" s="62"/>
      <c r="AK196" s="62"/>
      <c r="AL196" s="17"/>
      <c r="AM196" s="17"/>
      <c r="AN196" s="17"/>
      <c r="AO196" s="17"/>
      <c r="AP196" s="17"/>
      <c r="AQ196" s="17"/>
      <c r="AR196" s="4"/>
      <c r="AS196" s="5"/>
    </row>
    <row r="197" spans="2:45" x14ac:dyDescent="0.25">
      <c r="B197" s="3"/>
      <c r="C197" s="4"/>
      <c r="D197" s="16" t="s">
        <v>40</v>
      </c>
      <c r="E197" s="4"/>
      <c r="F197" s="4"/>
      <c r="G197" s="4"/>
      <c r="H197" s="4"/>
      <c r="I197" s="4"/>
      <c r="J197" s="4"/>
      <c r="L197" s="63">
        <f>+AD181</f>
        <v>0.4</v>
      </c>
      <c r="M197" s="63"/>
      <c r="N197" s="11" t="s">
        <v>21</v>
      </c>
      <c r="O197" s="4"/>
      <c r="P197" s="13" t="s">
        <v>24</v>
      </c>
      <c r="Q197" s="14"/>
      <c r="R197" s="14"/>
      <c r="S197" s="14"/>
      <c r="T197" s="14"/>
      <c r="U197" s="14"/>
      <c r="V197" s="14"/>
      <c r="W197" s="14"/>
      <c r="X197" s="14"/>
      <c r="Y197" s="12"/>
      <c r="Z197" s="54">
        <f>+Z186</f>
        <v>5</v>
      </c>
      <c r="AA197" s="54"/>
      <c r="AB197" s="54"/>
      <c r="AC197" s="54">
        <f t="shared" ref="AC197" si="33">+AC186</f>
        <v>3.1749999999999998</v>
      </c>
      <c r="AD197" s="54"/>
      <c r="AE197" s="54"/>
      <c r="AF197" s="54">
        <f t="shared" ref="AF197" si="34">+AF186</f>
        <v>3.1749999999999998</v>
      </c>
      <c r="AG197" s="54"/>
      <c r="AH197" s="54"/>
      <c r="AI197" s="54">
        <f t="shared" ref="AI197" si="35">+AI186</f>
        <v>8</v>
      </c>
      <c r="AJ197" s="54"/>
      <c r="AK197" s="54"/>
      <c r="AL197" s="17"/>
      <c r="AM197" s="17"/>
      <c r="AN197" s="17"/>
      <c r="AO197" s="17"/>
      <c r="AP197" s="17"/>
      <c r="AQ197" s="17"/>
      <c r="AR197" s="4"/>
      <c r="AS197" s="5"/>
    </row>
    <row r="198" spans="2:45" x14ac:dyDescent="0.25">
      <c r="B198" s="3"/>
      <c r="C198" s="4"/>
      <c r="D198" s="16" t="s">
        <v>86</v>
      </c>
      <c r="E198" s="4"/>
      <c r="F198" s="4"/>
      <c r="G198" s="4"/>
      <c r="H198" s="4"/>
      <c r="I198" s="4"/>
      <c r="J198" s="4"/>
      <c r="L198" s="50">
        <f>SUM(L194:M197)</f>
        <v>0.62</v>
      </c>
      <c r="M198" s="50"/>
      <c r="N198" s="4" t="s">
        <v>21</v>
      </c>
      <c r="O198" s="4"/>
      <c r="P198" s="13" t="s">
        <v>43</v>
      </c>
      <c r="Q198" s="14"/>
      <c r="R198" s="14"/>
      <c r="S198" s="14"/>
      <c r="T198" s="14"/>
      <c r="U198" s="14"/>
      <c r="V198" s="14"/>
      <c r="W198" s="14"/>
      <c r="X198" s="14"/>
      <c r="Y198" s="12"/>
      <c r="Z198" s="54">
        <f>+Z197+L198</f>
        <v>5.62</v>
      </c>
      <c r="AA198" s="54"/>
      <c r="AB198" s="54"/>
      <c r="AC198" s="54">
        <f>+AC197+L198</f>
        <v>3.7949999999999999</v>
      </c>
      <c r="AD198" s="54"/>
      <c r="AE198" s="54"/>
      <c r="AF198" s="54">
        <f>+AF197+L198</f>
        <v>3.7949999999999999</v>
      </c>
      <c r="AG198" s="54"/>
      <c r="AH198" s="54"/>
      <c r="AI198" s="54">
        <f>+AI197+L198</f>
        <v>8.6199999999999992</v>
      </c>
      <c r="AJ198" s="54"/>
      <c r="AK198" s="54"/>
      <c r="AL198" s="17"/>
      <c r="AM198" s="17"/>
      <c r="AN198" s="17"/>
      <c r="AO198" s="17"/>
      <c r="AP198" s="17"/>
      <c r="AQ198" s="17"/>
      <c r="AR198" s="4"/>
      <c r="AS198" s="5"/>
    </row>
    <row r="199" spans="2:45" x14ac:dyDescent="0.25">
      <c r="B199" s="3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55" t="s">
        <v>44</v>
      </c>
      <c r="Q199" s="56"/>
      <c r="R199" s="56"/>
      <c r="S199" s="56"/>
      <c r="T199" s="56"/>
      <c r="U199" s="56"/>
      <c r="V199" s="56"/>
      <c r="W199" s="56"/>
      <c r="X199" s="56"/>
      <c r="Y199" s="57"/>
      <c r="Z199" s="61">
        <f>2*PI()*Z198*Z196/360</f>
        <v>10.290989299248139</v>
      </c>
      <c r="AA199" s="61"/>
      <c r="AB199" s="61"/>
      <c r="AC199" s="61">
        <f t="shared" ref="AC199" si="36">2*PI()*AC198*AC196/360</f>
        <v>7.291885821300653</v>
      </c>
      <c r="AD199" s="61"/>
      <c r="AE199" s="61"/>
      <c r="AF199" s="61">
        <f t="shared" ref="AF199" si="37">2*PI()*AF198*AF196/360</f>
        <v>7.291885821300653</v>
      </c>
      <c r="AG199" s="61"/>
      <c r="AH199" s="61"/>
      <c r="AI199" s="61">
        <f t="shared" ref="AI199" si="38">2*PI()*AI198*AI196/360</f>
        <v>5.2509362947037443</v>
      </c>
      <c r="AJ199" s="61"/>
      <c r="AK199" s="61"/>
      <c r="AL199" s="18"/>
      <c r="AM199" s="18"/>
      <c r="AN199" s="18"/>
      <c r="AO199" s="18"/>
      <c r="AP199" s="18"/>
      <c r="AQ199" s="18"/>
      <c r="AR199" s="4"/>
      <c r="AS199" s="5"/>
    </row>
    <row r="200" spans="2:45" x14ac:dyDescent="0.25">
      <c r="B200" s="3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58"/>
      <c r="Q200" s="59"/>
      <c r="R200" s="59"/>
      <c r="S200" s="59"/>
      <c r="T200" s="59"/>
      <c r="U200" s="59"/>
      <c r="V200" s="59"/>
      <c r="W200" s="59"/>
      <c r="X200" s="59"/>
      <c r="Y200" s="60"/>
      <c r="Z200" s="61"/>
      <c r="AA200" s="61"/>
      <c r="AB200" s="61"/>
      <c r="AC200" s="61"/>
      <c r="AD200" s="61"/>
      <c r="AE200" s="61"/>
      <c r="AF200" s="61"/>
      <c r="AG200" s="61"/>
      <c r="AH200" s="61"/>
      <c r="AI200" s="61"/>
      <c r="AJ200" s="61"/>
      <c r="AK200" s="61"/>
      <c r="AL200" s="18"/>
      <c r="AM200" s="18"/>
      <c r="AN200" s="18"/>
      <c r="AO200" s="18"/>
      <c r="AP200" s="18"/>
      <c r="AQ200" s="18"/>
      <c r="AR200" s="4"/>
      <c r="AS200" s="5"/>
    </row>
    <row r="201" spans="2:45" x14ac:dyDescent="0.25">
      <c r="B201" s="3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13" t="s">
        <v>45</v>
      </c>
      <c r="Q201" s="14"/>
      <c r="R201" s="14"/>
      <c r="S201" s="14"/>
      <c r="T201" s="14"/>
      <c r="U201" s="14"/>
      <c r="V201" s="14"/>
      <c r="W201" s="14"/>
      <c r="X201" s="14"/>
      <c r="Y201" s="12"/>
      <c r="Z201" s="46">
        <f>SUM(Z199:AQ200)</f>
        <v>30.12569723655319</v>
      </c>
      <c r="AA201" s="47"/>
      <c r="AB201" s="47"/>
      <c r="AC201" s="47"/>
      <c r="AD201" s="47"/>
      <c r="AE201" s="47"/>
      <c r="AF201" s="47"/>
      <c r="AG201" s="47"/>
      <c r="AH201" s="47"/>
      <c r="AI201" s="47"/>
      <c r="AJ201" s="47"/>
      <c r="AK201" s="48"/>
      <c r="AL201" s="18"/>
      <c r="AM201" s="18"/>
      <c r="AN201" s="18"/>
      <c r="AO201" s="18"/>
      <c r="AP201" s="18"/>
      <c r="AQ201" s="18"/>
      <c r="AR201" s="4"/>
      <c r="AS201" s="5"/>
    </row>
    <row r="202" spans="2:45" x14ac:dyDescent="0.25">
      <c r="B202" s="3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AR202" s="4"/>
      <c r="AS202" s="5"/>
    </row>
    <row r="203" spans="2:45" x14ac:dyDescent="0.25">
      <c r="B203" s="3"/>
      <c r="C203" s="20" t="s">
        <v>116</v>
      </c>
      <c r="D203" s="4"/>
      <c r="E203" s="4"/>
      <c r="F203" s="4"/>
      <c r="G203" s="4"/>
      <c r="H203" s="4"/>
      <c r="I203" s="4"/>
      <c r="J203" s="4"/>
      <c r="K203" s="4"/>
      <c r="M203" s="49">
        <f>+Z201</f>
        <v>30.12569723655319</v>
      </c>
      <c r="N203" s="50"/>
      <c r="O203" s="33" t="s">
        <v>30</v>
      </c>
      <c r="P203" s="50">
        <f>+AD178</f>
        <v>0.3</v>
      </c>
      <c r="Q203" s="50"/>
      <c r="R203" s="34" t="s">
        <v>38</v>
      </c>
      <c r="S203" s="51">
        <f>+M203*P203</f>
        <v>9.0377091709659574</v>
      </c>
      <c r="T203" s="51"/>
      <c r="U203" s="24" t="s">
        <v>102</v>
      </c>
      <c r="W203" s="2" t="s">
        <v>103</v>
      </c>
      <c r="AR203" s="4"/>
      <c r="AS203" s="5"/>
    </row>
    <row r="204" spans="2:45" x14ac:dyDescent="0.25">
      <c r="B204" s="3"/>
      <c r="C204" s="4"/>
      <c r="D204" s="4"/>
      <c r="E204" s="4"/>
      <c r="F204" s="4"/>
      <c r="G204" s="4"/>
      <c r="H204" s="4"/>
      <c r="I204" s="4"/>
      <c r="J204" s="4"/>
      <c r="K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5"/>
    </row>
    <row r="205" spans="2:45" x14ac:dyDescent="0.25">
      <c r="B205" s="3"/>
      <c r="C205" s="4"/>
      <c r="D205" s="15" t="s">
        <v>49</v>
      </c>
      <c r="E205" s="4"/>
      <c r="F205" s="4"/>
      <c r="G205" s="4"/>
      <c r="H205" s="4"/>
      <c r="I205" s="4"/>
      <c r="J205" s="4"/>
      <c r="K205" s="32" t="s">
        <v>113</v>
      </c>
      <c r="L205" s="4"/>
      <c r="M205" s="4"/>
      <c r="N205" s="4"/>
      <c r="O205" s="4"/>
      <c r="P205" s="4"/>
      <c r="AR205" s="4"/>
      <c r="AS205" s="5"/>
    </row>
    <row r="206" spans="2:45" x14ac:dyDescent="0.25">
      <c r="B206" s="3"/>
      <c r="C206" s="4"/>
      <c r="D206" s="4" t="s">
        <v>47</v>
      </c>
      <c r="E206" s="4"/>
      <c r="F206" s="4"/>
      <c r="G206" s="4"/>
      <c r="H206" s="4"/>
      <c r="I206" s="4"/>
      <c r="J206" s="4"/>
      <c r="L206" s="4"/>
      <c r="M206" s="4"/>
      <c r="N206" s="4"/>
      <c r="O206" s="4"/>
      <c r="P206" s="4"/>
      <c r="AR206" s="4"/>
      <c r="AS206" s="5"/>
    </row>
    <row r="207" spans="2:45" x14ac:dyDescent="0.25">
      <c r="B207" s="3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R207" s="79">
        <v>0.08</v>
      </c>
      <c r="S207" s="79"/>
      <c r="T207" s="80" t="s">
        <v>21</v>
      </c>
      <c r="U207" s="80"/>
      <c r="Y207" s="4" t="s">
        <v>56</v>
      </c>
      <c r="Z207" s="4"/>
      <c r="AA207" s="4"/>
      <c r="AB207" s="4"/>
      <c r="AC207" s="4"/>
      <c r="AD207" s="53">
        <v>3.48</v>
      </c>
      <c r="AE207" s="53"/>
      <c r="AF207" s="4" t="s">
        <v>57</v>
      </c>
      <c r="AH207" s="2" t="s">
        <v>108</v>
      </c>
      <c r="AR207" s="4"/>
      <c r="AS207" s="5"/>
    </row>
    <row r="208" spans="2:45" x14ac:dyDescent="0.25">
      <c r="B208" s="3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R208" s="79"/>
      <c r="S208" s="79"/>
      <c r="T208" s="80"/>
      <c r="U208" s="80"/>
      <c r="Y208" s="4" t="s">
        <v>54</v>
      </c>
      <c r="Z208" s="4"/>
      <c r="AA208" s="4"/>
      <c r="AB208" s="4"/>
      <c r="AC208" s="4"/>
      <c r="AD208" s="53">
        <v>0.3</v>
      </c>
      <c r="AE208" s="53"/>
      <c r="AF208" s="4" t="s">
        <v>21</v>
      </c>
      <c r="AG208" s="2" t="s">
        <v>73</v>
      </c>
      <c r="AR208" s="4"/>
      <c r="AS208" s="5"/>
    </row>
    <row r="209" spans="2:45" x14ac:dyDescent="0.25">
      <c r="B209" s="3"/>
      <c r="C209" s="4" t="s">
        <v>48</v>
      </c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S209" s="7" t="s">
        <v>21</v>
      </c>
      <c r="U209" s="7" t="s">
        <v>21</v>
      </c>
      <c r="Y209" s="4" t="s">
        <v>54</v>
      </c>
      <c r="Z209" s="4"/>
      <c r="AA209" s="4"/>
      <c r="AB209" s="4"/>
      <c r="AC209" s="4"/>
      <c r="AD209" s="53">
        <v>0.45</v>
      </c>
      <c r="AE209" s="53"/>
      <c r="AF209" s="4" t="s">
        <v>21</v>
      </c>
      <c r="AG209" s="2" t="s">
        <v>74</v>
      </c>
      <c r="AR209" s="4"/>
      <c r="AS209" s="5"/>
    </row>
    <row r="210" spans="2:45" x14ac:dyDescent="0.25">
      <c r="B210" s="3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S210" s="78">
        <f>+U210-R207-R214</f>
        <v>0.16999999999999998</v>
      </c>
      <c r="U210" s="78">
        <f>+AD178</f>
        <v>0.3</v>
      </c>
      <c r="Y210" s="2" t="s">
        <v>72</v>
      </c>
      <c r="AB210" s="79">
        <v>1.5</v>
      </c>
      <c r="AC210" s="79"/>
      <c r="AD210" s="2" t="s">
        <v>21</v>
      </c>
      <c r="AE210" s="2" t="s">
        <v>76</v>
      </c>
      <c r="AR210" s="4"/>
      <c r="AS210" s="5"/>
    </row>
    <row r="211" spans="2:45" x14ac:dyDescent="0.25">
      <c r="B211" s="3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S211" s="78"/>
      <c r="U211" s="78"/>
      <c r="AR211" s="4"/>
      <c r="AS211" s="5"/>
    </row>
    <row r="212" spans="2:45" x14ac:dyDescent="0.25">
      <c r="B212" s="3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S212" s="78"/>
      <c r="U212" s="78"/>
      <c r="AG212" s="2" t="s">
        <v>51</v>
      </c>
      <c r="AK212" s="2" t="s">
        <v>52</v>
      </c>
      <c r="AR212" s="4"/>
      <c r="AS212" s="5"/>
    </row>
    <row r="213" spans="2:45" ht="12" x14ac:dyDescent="0.2">
      <c r="B213" s="3"/>
      <c r="C213" s="4"/>
      <c r="D213" s="4" t="s">
        <v>112</v>
      </c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Y213" s="2" t="s">
        <v>94</v>
      </c>
      <c r="AG213" s="76">
        <v>5</v>
      </c>
      <c r="AH213" s="76"/>
      <c r="AI213" s="25" t="s">
        <v>21</v>
      </c>
      <c r="AJ213" s="26" t="s">
        <v>30</v>
      </c>
      <c r="AK213" s="77">
        <v>2.15</v>
      </c>
      <c r="AL213" s="77"/>
      <c r="AM213" s="27" t="s">
        <v>21</v>
      </c>
      <c r="AR213" s="4"/>
      <c r="AS213" s="5"/>
    </row>
    <row r="214" spans="2:45" x14ac:dyDescent="0.25">
      <c r="B214" s="3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R214" s="79">
        <v>0.05</v>
      </c>
      <c r="S214" s="79"/>
      <c r="T214" s="80" t="s">
        <v>21</v>
      </c>
      <c r="U214" s="80"/>
      <c r="AR214" s="4"/>
      <c r="AS214" s="5"/>
    </row>
    <row r="215" spans="2:45" x14ac:dyDescent="0.25">
      <c r="B215" s="3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R215" s="79"/>
      <c r="S215" s="79"/>
      <c r="T215" s="80"/>
      <c r="U215" s="80"/>
      <c r="AR215" s="4"/>
      <c r="AS215" s="5"/>
    </row>
    <row r="216" spans="2:45" x14ac:dyDescent="0.25">
      <c r="B216" s="3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AR216" s="4"/>
      <c r="AS216" s="5"/>
    </row>
    <row r="217" spans="2:45" x14ac:dyDescent="0.25">
      <c r="B217" s="3"/>
      <c r="C217" s="4"/>
      <c r="D217" s="4"/>
      <c r="E217" s="4"/>
      <c r="F217" s="4" t="s">
        <v>46</v>
      </c>
      <c r="G217" s="4"/>
      <c r="H217" s="4"/>
      <c r="I217" s="4"/>
      <c r="J217" s="4"/>
      <c r="K217" s="4"/>
      <c r="L217" s="4"/>
      <c r="M217" s="4"/>
      <c r="N217" s="4"/>
      <c r="O217" s="4"/>
      <c r="P217" s="4"/>
      <c r="AR217" s="4"/>
      <c r="AS217" s="5"/>
    </row>
    <row r="218" spans="2:45" x14ac:dyDescent="0.25">
      <c r="B218" s="3"/>
      <c r="C218" s="4"/>
      <c r="D218" s="4"/>
      <c r="E218" s="4"/>
      <c r="F218" s="4"/>
      <c r="G218" s="4"/>
      <c r="H218" s="4"/>
      <c r="I218" s="4"/>
      <c r="J218" s="4"/>
      <c r="K218" s="4"/>
      <c r="L218" s="4" t="s">
        <v>75</v>
      </c>
      <c r="M218" s="4"/>
      <c r="N218" s="4"/>
      <c r="O218" s="4"/>
      <c r="P218" s="4"/>
      <c r="AR218" s="4"/>
      <c r="AS218" s="5"/>
    </row>
    <row r="219" spans="2:45" x14ac:dyDescent="0.25">
      <c r="B219" s="3"/>
      <c r="C219" s="4"/>
      <c r="D219" s="4"/>
      <c r="E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AR219" s="4"/>
      <c r="AS219" s="5"/>
    </row>
    <row r="220" spans="2:45" x14ac:dyDescent="0.25">
      <c r="B220" s="3"/>
      <c r="C220" s="4"/>
      <c r="D220" s="16" t="s">
        <v>50</v>
      </c>
      <c r="M220" s="50">
        <f>+R214</f>
        <v>0.05</v>
      </c>
      <c r="N220" s="50"/>
      <c r="O220" s="4" t="s">
        <v>21</v>
      </c>
      <c r="S220" s="55" t="s">
        <v>61</v>
      </c>
      <c r="T220" s="56"/>
      <c r="U220" s="56"/>
      <c r="V220" s="56"/>
      <c r="W220" s="56"/>
      <c r="X220" s="56"/>
      <c r="Y220" s="56"/>
      <c r="Z220" s="56"/>
      <c r="AA220" s="56"/>
      <c r="AB220" s="57"/>
      <c r="AC220" s="69" t="s">
        <v>1</v>
      </c>
      <c r="AD220" s="70"/>
      <c r="AE220" s="71"/>
      <c r="AF220" s="69" t="s">
        <v>4</v>
      </c>
      <c r="AG220" s="70"/>
      <c r="AH220" s="71"/>
      <c r="AI220" s="69" t="s">
        <v>5</v>
      </c>
      <c r="AJ220" s="70"/>
      <c r="AK220" s="71"/>
      <c r="AL220" s="69" t="s">
        <v>3</v>
      </c>
      <c r="AM220" s="70"/>
      <c r="AN220" s="71"/>
      <c r="AO220" s="16"/>
      <c r="AP220" s="16"/>
      <c r="AQ220" s="16"/>
      <c r="AS220" s="5"/>
    </row>
    <row r="221" spans="2:45" ht="12" thickBot="1" x14ac:dyDescent="0.3">
      <c r="B221" s="3"/>
      <c r="C221" s="4"/>
      <c r="D221" s="16" t="s">
        <v>22</v>
      </c>
      <c r="M221" s="50">
        <f>+AD179</f>
        <v>0.02</v>
      </c>
      <c r="N221" s="50"/>
      <c r="O221" s="4" t="s">
        <v>21</v>
      </c>
      <c r="S221" s="66"/>
      <c r="T221" s="67"/>
      <c r="U221" s="67"/>
      <c r="V221" s="67"/>
      <c r="W221" s="67"/>
      <c r="X221" s="67"/>
      <c r="Y221" s="67"/>
      <c r="Z221" s="67"/>
      <c r="AA221" s="67"/>
      <c r="AB221" s="68"/>
      <c r="AC221" s="72"/>
      <c r="AD221" s="73"/>
      <c r="AE221" s="74"/>
      <c r="AF221" s="72"/>
      <c r="AG221" s="73"/>
      <c r="AH221" s="74"/>
      <c r="AI221" s="72"/>
      <c r="AJ221" s="73"/>
      <c r="AK221" s="74"/>
      <c r="AL221" s="72"/>
      <c r="AM221" s="73"/>
      <c r="AN221" s="74"/>
      <c r="AO221" s="16"/>
      <c r="AP221" s="16"/>
      <c r="AQ221" s="16"/>
      <c r="AS221" s="5"/>
    </row>
    <row r="222" spans="2:45" ht="12" thickTop="1" x14ac:dyDescent="0.25">
      <c r="B222" s="3"/>
      <c r="C222" s="4"/>
      <c r="D222" s="16" t="s">
        <v>18</v>
      </c>
      <c r="E222" s="4"/>
      <c r="F222" s="4"/>
      <c r="G222" s="4"/>
      <c r="H222" s="4"/>
      <c r="I222" s="4"/>
      <c r="J222" s="4"/>
      <c r="M222" s="50">
        <f>+AD180</f>
        <v>0.05</v>
      </c>
      <c r="N222" s="50"/>
      <c r="O222" s="4" t="s">
        <v>21</v>
      </c>
      <c r="S222" s="10" t="s">
        <v>23</v>
      </c>
      <c r="T222" s="11"/>
      <c r="U222" s="11"/>
      <c r="V222" s="11"/>
      <c r="W222" s="11"/>
      <c r="X222" s="11"/>
      <c r="Y222" s="11"/>
      <c r="Z222" s="11"/>
      <c r="AA222" s="11"/>
      <c r="AB222" s="9"/>
      <c r="AC222" s="62">
        <f>+Z185</f>
        <v>104.91641527779554</v>
      </c>
      <c r="AD222" s="62"/>
      <c r="AE222" s="62"/>
      <c r="AF222" s="62">
        <f>+AC185</f>
        <v>110.09071996095216</v>
      </c>
      <c r="AG222" s="62"/>
      <c r="AH222" s="62"/>
      <c r="AI222" s="62">
        <f>+AF185</f>
        <v>110.09071996095216</v>
      </c>
      <c r="AJ222" s="62"/>
      <c r="AK222" s="62"/>
      <c r="AL222" s="62">
        <f>+AI185</f>
        <v>34.902144800300142</v>
      </c>
      <c r="AM222" s="62"/>
      <c r="AN222" s="62"/>
      <c r="AO222" s="17"/>
      <c r="AP222" s="17"/>
      <c r="AQ222" s="17"/>
      <c r="AR222" s="4"/>
      <c r="AS222" s="5"/>
    </row>
    <row r="223" spans="2:45" x14ac:dyDescent="0.25">
      <c r="B223" s="3"/>
      <c r="C223" s="4"/>
      <c r="D223" s="16" t="s">
        <v>40</v>
      </c>
      <c r="E223" s="4"/>
      <c r="F223" s="4"/>
      <c r="G223" s="4"/>
      <c r="H223" s="4"/>
      <c r="I223" s="4"/>
      <c r="J223" s="4"/>
      <c r="M223" s="63">
        <f>+AD181</f>
        <v>0.4</v>
      </c>
      <c r="N223" s="63"/>
      <c r="O223" s="11" t="s">
        <v>21</v>
      </c>
      <c r="S223" s="13" t="s">
        <v>24</v>
      </c>
      <c r="T223" s="14"/>
      <c r="U223" s="14"/>
      <c r="V223" s="14"/>
      <c r="W223" s="14"/>
      <c r="X223" s="14"/>
      <c r="Y223" s="14"/>
      <c r="Z223" s="14"/>
      <c r="AA223" s="14"/>
      <c r="AB223" s="12"/>
      <c r="AC223" s="54">
        <f>+Z186</f>
        <v>5</v>
      </c>
      <c r="AD223" s="54"/>
      <c r="AE223" s="54"/>
      <c r="AF223" s="54">
        <f>+AC186</f>
        <v>3.1749999999999998</v>
      </c>
      <c r="AG223" s="54"/>
      <c r="AH223" s="54"/>
      <c r="AI223" s="54">
        <f>+AF186</f>
        <v>3.1749999999999998</v>
      </c>
      <c r="AJ223" s="54"/>
      <c r="AK223" s="54"/>
      <c r="AL223" s="54">
        <f>+AI186</f>
        <v>8</v>
      </c>
      <c r="AM223" s="54"/>
      <c r="AN223" s="54"/>
      <c r="AO223" s="17"/>
      <c r="AP223" s="17"/>
      <c r="AQ223" s="17"/>
      <c r="AR223" s="4"/>
      <c r="AS223" s="5"/>
    </row>
    <row r="224" spans="2:45" x14ac:dyDescent="0.25">
      <c r="B224" s="3"/>
      <c r="C224" s="4"/>
      <c r="D224" s="16" t="s">
        <v>85</v>
      </c>
      <c r="E224" s="4"/>
      <c r="F224" s="4"/>
      <c r="G224" s="4"/>
      <c r="H224" s="4"/>
      <c r="I224" s="4"/>
      <c r="J224" s="4"/>
      <c r="M224" s="50">
        <f>SUM(M220:N223)</f>
        <v>0.52</v>
      </c>
      <c r="N224" s="50"/>
      <c r="O224" s="4" t="s">
        <v>21</v>
      </c>
      <c r="S224" s="13" t="s">
        <v>63</v>
      </c>
      <c r="T224" s="14"/>
      <c r="U224" s="14"/>
      <c r="V224" s="14"/>
      <c r="W224" s="14"/>
      <c r="X224" s="14"/>
      <c r="Y224" s="14"/>
      <c r="Z224" s="14"/>
      <c r="AA224" s="14"/>
      <c r="AB224" s="12"/>
      <c r="AC224" s="54">
        <f>+AC223+M224</f>
        <v>5.52</v>
      </c>
      <c r="AD224" s="54"/>
      <c r="AE224" s="54"/>
      <c r="AF224" s="54">
        <f>+AF223+M224</f>
        <v>3.6949999999999998</v>
      </c>
      <c r="AG224" s="54"/>
      <c r="AH224" s="54"/>
      <c r="AI224" s="54">
        <f>+AI223+M224</f>
        <v>3.6949999999999998</v>
      </c>
      <c r="AJ224" s="54"/>
      <c r="AK224" s="54"/>
      <c r="AL224" s="54">
        <f>+AL223+M224</f>
        <v>8.52</v>
      </c>
      <c r="AM224" s="54"/>
      <c r="AN224" s="54"/>
      <c r="AO224" s="17"/>
      <c r="AP224" s="17"/>
      <c r="AQ224" s="17"/>
      <c r="AR224" s="4"/>
      <c r="AS224" s="5"/>
    </row>
    <row r="225" spans="2:45" x14ac:dyDescent="0.25">
      <c r="B225" s="3"/>
      <c r="C225" s="4"/>
      <c r="L225" s="4"/>
      <c r="M225" s="4"/>
      <c r="N225" s="4"/>
      <c r="O225" s="4"/>
      <c r="S225" s="55" t="s">
        <v>62</v>
      </c>
      <c r="T225" s="56"/>
      <c r="U225" s="56"/>
      <c r="V225" s="56"/>
      <c r="W225" s="56"/>
      <c r="X225" s="56"/>
      <c r="Y225" s="56"/>
      <c r="Z225" s="56"/>
      <c r="AA225" s="56"/>
      <c r="AB225" s="57"/>
      <c r="AC225" s="61">
        <f>2*PI()*AC224*AC222/360</f>
        <v>10.107875610649415</v>
      </c>
      <c r="AD225" s="61"/>
      <c r="AE225" s="61"/>
      <c r="AF225" s="61">
        <f t="shared" ref="AF225" si="39">2*PI()*AF224*AF222/360</f>
        <v>7.0997412673796862</v>
      </c>
      <c r="AG225" s="61"/>
      <c r="AH225" s="61"/>
      <c r="AI225" s="61">
        <f t="shared" ref="AI225" si="40">2*PI()*AI224*AI222/360</f>
        <v>7.0997412673796862</v>
      </c>
      <c r="AJ225" s="61"/>
      <c r="AK225" s="61"/>
      <c r="AL225" s="61">
        <f t="shared" ref="AL225" si="41">2*PI()*AL224*AL222/360</f>
        <v>5.1900205604264382</v>
      </c>
      <c r="AM225" s="61"/>
      <c r="AN225" s="61"/>
      <c r="AO225" s="18"/>
      <c r="AP225" s="18"/>
      <c r="AQ225" s="18"/>
      <c r="AR225" s="4"/>
      <c r="AS225" s="5"/>
    </row>
    <row r="226" spans="2:45" x14ac:dyDescent="0.25">
      <c r="B226" s="3"/>
      <c r="C226" s="4"/>
      <c r="L226" s="4"/>
      <c r="M226" s="4"/>
      <c r="N226" s="4"/>
      <c r="O226" s="4"/>
      <c r="S226" s="58"/>
      <c r="T226" s="59"/>
      <c r="U226" s="59"/>
      <c r="V226" s="59"/>
      <c r="W226" s="59"/>
      <c r="X226" s="59"/>
      <c r="Y226" s="59"/>
      <c r="Z226" s="59"/>
      <c r="AA226" s="59"/>
      <c r="AB226" s="60"/>
      <c r="AC226" s="61"/>
      <c r="AD226" s="61"/>
      <c r="AE226" s="61"/>
      <c r="AF226" s="61"/>
      <c r="AG226" s="61"/>
      <c r="AH226" s="61"/>
      <c r="AI226" s="61"/>
      <c r="AJ226" s="61"/>
      <c r="AK226" s="61"/>
      <c r="AL226" s="61"/>
      <c r="AM226" s="61"/>
      <c r="AN226" s="61"/>
      <c r="AO226" s="18"/>
      <c r="AP226" s="18"/>
      <c r="AQ226" s="18"/>
      <c r="AR226" s="4"/>
      <c r="AS226" s="5"/>
    </row>
    <row r="227" spans="2:45" x14ac:dyDescent="0.25">
      <c r="B227" s="3"/>
      <c r="C227" s="4"/>
      <c r="D227" s="4" t="s">
        <v>53</v>
      </c>
      <c r="E227" s="4"/>
      <c r="F227" s="4"/>
      <c r="G227" s="4"/>
      <c r="H227" s="4">
        <f>INT(AC227/AG213)-1</f>
        <v>4</v>
      </c>
      <c r="I227" s="4" t="s">
        <v>55</v>
      </c>
      <c r="K227" s="4"/>
      <c r="L227" s="4"/>
      <c r="M227" s="4"/>
      <c r="N227" s="4"/>
      <c r="O227" s="4"/>
      <c r="S227" s="13" t="s">
        <v>64</v>
      </c>
      <c r="T227" s="14"/>
      <c r="U227" s="14"/>
      <c r="V227" s="14"/>
      <c r="W227" s="14"/>
      <c r="X227" s="14"/>
      <c r="Y227" s="14"/>
      <c r="Z227" s="14"/>
      <c r="AA227" s="14"/>
      <c r="AB227" s="12"/>
      <c r="AC227" s="46">
        <f>SUM(AC225:AN226)</f>
        <v>29.497378705835224</v>
      </c>
      <c r="AD227" s="47"/>
      <c r="AE227" s="47"/>
      <c r="AF227" s="47"/>
      <c r="AG227" s="47"/>
      <c r="AH227" s="47"/>
      <c r="AI227" s="47"/>
      <c r="AJ227" s="47"/>
      <c r="AK227" s="47"/>
      <c r="AL227" s="47"/>
      <c r="AM227" s="47"/>
      <c r="AN227" s="48"/>
      <c r="AO227" s="18"/>
      <c r="AP227" s="18"/>
      <c r="AQ227" s="18"/>
      <c r="AR227" s="4"/>
      <c r="AS227" s="5"/>
    </row>
    <row r="228" spans="2:45" x14ac:dyDescent="0.25">
      <c r="B228" s="3"/>
      <c r="C228" s="4"/>
      <c r="D228" s="4" t="s">
        <v>101</v>
      </c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AR228" s="4"/>
      <c r="AS228" s="5"/>
    </row>
    <row r="229" spans="2:45" x14ac:dyDescent="0.25">
      <c r="B229" s="3"/>
      <c r="C229" s="4"/>
      <c r="D229" s="4" t="s">
        <v>59</v>
      </c>
      <c r="E229" s="4"/>
      <c r="F229" s="4"/>
      <c r="G229" s="4"/>
      <c r="H229" s="4"/>
      <c r="I229" s="4"/>
      <c r="J229" s="4"/>
      <c r="L229" s="4">
        <f>+H227</f>
        <v>4</v>
      </c>
      <c r="M229" s="33" t="s">
        <v>30</v>
      </c>
      <c r="N229" s="50">
        <f>+AD208</f>
        <v>0.3</v>
      </c>
      <c r="O229" s="50"/>
      <c r="P229" s="33" t="s">
        <v>33</v>
      </c>
      <c r="Q229" s="49">
        <f>+AC227</f>
        <v>29.497378705835224</v>
      </c>
      <c r="R229" s="50"/>
      <c r="S229" s="34" t="s">
        <v>38</v>
      </c>
      <c r="T229" s="75">
        <f>+L229*N229+Q229</f>
        <v>30.697378705835224</v>
      </c>
      <c r="U229" s="75"/>
      <c r="V229" s="2" t="s">
        <v>21</v>
      </c>
      <c r="AR229" s="4"/>
      <c r="AS229" s="5"/>
    </row>
    <row r="230" spans="2:45" x14ac:dyDescent="0.25">
      <c r="B230" s="3"/>
      <c r="C230" s="4"/>
      <c r="D230" s="4" t="s">
        <v>60</v>
      </c>
      <c r="E230" s="4"/>
      <c r="F230" s="4"/>
      <c r="G230" s="4"/>
      <c r="H230" s="4"/>
      <c r="I230" s="4"/>
      <c r="J230" s="4"/>
      <c r="L230" s="50">
        <f>+T229</f>
        <v>30.697378705835224</v>
      </c>
      <c r="M230" s="50"/>
      <c r="N230" s="33" t="s">
        <v>30</v>
      </c>
      <c r="O230" s="50">
        <f>+AD207</f>
        <v>3.48</v>
      </c>
      <c r="P230" s="50"/>
      <c r="Q230" s="33" t="s">
        <v>33</v>
      </c>
      <c r="R230" s="50">
        <f>+L230</f>
        <v>30.697378705835224</v>
      </c>
      <c r="S230" s="50"/>
      <c r="T230" s="33" t="s">
        <v>30</v>
      </c>
      <c r="U230" s="75">
        <f>AD209/AB210</f>
        <v>0.3</v>
      </c>
      <c r="V230" s="75"/>
      <c r="W230" s="33" t="s">
        <v>30</v>
      </c>
      <c r="X230" s="50">
        <f>+O230</f>
        <v>3.48</v>
      </c>
      <c r="Y230" s="50"/>
      <c r="Z230" s="33" t="s">
        <v>38</v>
      </c>
      <c r="AA230" s="75">
        <f>+L230*O230+R230*U230*X230</f>
        <v>138.87494126519857</v>
      </c>
      <c r="AB230" s="75"/>
      <c r="AC230" s="2" t="s">
        <v>58</v>
      </c>
      <c r="AE230" s="2" t="s">
        <v>103</v>
      </c>
      <c r="AR230" s="4"/>
      <c r="AS230" s="5"/>
    </row>
    <row r="231" spans="2:45" x14ac:dyDescent="0.25">
      <c r="B231" s="3"/>
      <c r="C231" s="4"/>
      <c r="D231" s="4"/>
      <c r="E231" s="4"/>
      <c r="F231" s="4"/>
      <c r="G231" s="4"/>
      <c r="H231" s="4"/>
      <c r="I231" s="4"/>
      <c r="J231" s="4"/>
      <c r="AR231" s="4"/>
      <c r="AS231" s="5"/>
    </row>
    <row r="232" spans="2:45" x14ac:dyDescent="0.25">
      <c r="B232" s="3"/>
      <c r="C232" s="4"/>
      <c r="D232" s="16" t="s">
        <v>65</v>
      </c>
      <c r="M232" s="50">
        <f>+R214+S210</f>
        <v>0.21999999999999997</v>
      </c>
      <c r="N232" s="50"/>
      <c r="O232" s="4" t="s">
        <v>21</v>
      </c>
      <c r="S232" s="55" t="s">
        <v>68</v>
      </c>
      <c r="T232" s="56"/>
      <c r="U232" s="56"/>
      <c r="V232" s="56"/>
      <c r="W232" s="56"/>
      <c r="X232" s="56"/>
      <c r="Y232" s="56"/>
      <c r="Z232" s="56"/>
      <c r="AA232" s="56"/>
      <c r="AB232" s="57"/>
      <c r="AC232" s="69" t="s">
        <v>1</v>
      </c>
      <c r="AD232" s="70"/>
      <c r="AE232" s="71"/>
      <c r="AF232" s="69" t="s">
        <v>4</v>
      </c>
      <c r="AG232" s="70"/>
      <c r="AH232" s="71"/>
      <c r="AI232" s="69" t="s">
        <v>5</v>
      </c>
      <c r="AJ232" s="70"/>
      <c r="AK232" s="71"/>
      <c r="AL232" s="69" t="s">
        <v>3</v>
      </c>
      <c r="AM232" s="70"/>
      <c r="AN232" s="71"/>
      <c r="AO232" s="16"/>
      <c r="AP232" s="16"/>
      <c r="AQ232" s="16"/>
      <c r="AR232" s="4"/>
      <c r="AS232" s="5"/>
    </row>
    <row r="233" spans="2:45" ht="12" thickBot="1" x14ac:dyDescent="0.3">
      <c r="B233" s="3"/>
      <c r="C233" s="4"/>
      <c r="D233" s="16" t="s">
        <v>22</v>
      </c>
      <c r="M233" s="50">
        <f>+M221</f>
        <v>0.02</v>
      </c>
      <c r="N233" s="50"/>
      <c r="O233" s="4" t="s">
        <v>21</v>
      </c>
      <c r="S233" s="66"/>
      <c r="T233" s="67"/>
      <c r="U233" s="67"/>
      <c r="V233" s="67"/>
      <c r="W233" s="67"/>
      <c r="X233" s="67"/>
      <c r="Y233" s="67"/>
      <c r="Z233" s="67"/>
      <c r="AA233" s="67"/>
      <c r="AB233" s="68"/>
      <c r="AC233" s="72"/>
      <c r="AD233" s="73"/>
      <c r="AE233" s="74"/>
      <c r="AF233" s="72"/>
      <c r="AG233" s="73"/>
      <c r="AH233" s="74"/>
      <c r="AI233" s="72"/>
      <c r="AJ233" s="73"/>
      <c r="AK233" s="74"/>
      <c r="AL233" s="72"/>
      <c r="AM233" s="73"/>
      <c r="AN233" s="74"/>
      <c r="AO233" s="16"/>
      <c r="AP233" s="16"/>
      <c r="AQ233" s="16"/>
      <c r="AR233" s="4"/>
      <c r="AS233" s="5"/>
    </row>
    <row r="234" spans="2:45" ht="12" thickTop="1" x14ac:dyDescent="0.25">
      <c r="B234" s="3"/>
      <c r="C234" s="4"/>
      <c r="D234" s="16" t="s">
        <v>18</v>
      </c>
      <c r="E234" s="4"/>
      <c r="F234" s="4"/>
      <c r="G234" s="4"/>
      <c r="H234" s="4"/>
      <c r="I234" s="4"/>
      <c r="J234" s="4"/>
      <c r="M234" s="50">
        <f>+M222</f>
        <v>0.05</v>
      </c>
      <c r="N234" s="50"/>
      <c r="O234" s="4" t="s">
        <v>21</v>
      </c>
      <c r="S234" s="10" t="s">
        <v>23</v>
      </c>
      <c r="T234" s="11"/>
      <c r="U234" s="11"/>
      <c r="V234" s="11"/>
      <c r="W234" s="11"/>
      <c r="X234" s="11"/>
      <c r="Y234" s="11"/>
      <c r="Z234" s="11"/>
      <c r="AA234" s="11"/>
      <c r="AB234" s="9"/>
      <c r="AC234" s="62">
        <f>+AC222</f>
        <v>104.91641527779554</v>
      </c>
      <c r="AD234" s="62"/>
      <c r="AE234" s="62"/>
      <c r="AF234" s="62">
        <f>+AF222</f>
        <v>110.09071996095216</v>
      </c>
      <c r="AG234" s="62"/>
      <c r="AH234" s="62"/>
      <c r="AI234" s="62">
        <f>+AI222</f>
        <v>110.09071996095216</v>
      </c>
      <c r="AJ234" s="62"/>
      <c r="AK234" s="62"/>
      <c r="AL234" s="62">
        <f>+AL222</f>
        <v>34.902144800300142</v>
      </c>
      <c r="AM234" s="62"/>
      <c r="AN234" s="62"/>
      <c r="AO234" s="17"/>
      <c r="AP234" s="17"/>
      <c r="AQ234" s="17"/>
      <c r="AR234" s="4"/>
      <c r="AS234" s="5"/>
    </row>
    <row r="235" spans="2:45" x14ac:dyDescent="0.25">
      <c r="B235" s="3"/>
      <c r="C235" s="4"/>
      <c r="D235" s="16" t="s">
        <v>40</v>
      </c>
      <c r="E235" s="4"/>
      <c r="F235" s="4"/>
      <c r="G235" s="4"/>
      <c r="H235" s="4"/>
      <c r="I235" s="4"/>
      <c r="J235" s="4"/>
      <c r="M235" s="63">
        <f>+M223</f>
        <v>0.4</v>
      </c>
      <c r="N235" s="63"/>
      <c r="O235" s="11" t="s">
        <v>21</v>
      </c>
      <c r="S235" s="13" t="s">
        <v>24</v>
      </c>
      <c r="T235" s="14"/>
      <c r="U235" s="14"/>
      <c r="V235" s="14"/>
      <c r="W235" s="14"/>
      <c r="X235" s="14"/>
      <c r="Y235" s="14"/>
      <c r="Z235" s="14"/>
      <c r="AA235" s="14"/>
      <c r="AB235" s="12"/>
      <c r="AC235" s="54">
        <f>+AC223</f>
        <v>5</v>
      </c>
      <c r="AD235" s="54"/>
      <c r="AE235" s="54"/>
      <c r="AF235" s="54">
        <f>+AF223</f>
        <v>3.1749999999999998</v>
      </c>
      <c r="AG235" s="54"/>
      <c r="AH235" s="54"/>
      <c r="AI235" s="54">
        <f>+AI223</f>
        <v>3.1749999999999998</v>
      </c>
      <c r="AJ235" s="54"/>
      <c r="AK235" s="54"/>
      <c r="AL235" s="54">
        <f>+AL223</f>
        <v>8</v>
      </c>
      <c r="AM235" s="54"/>
      <c r="AN235" s="54"/>
      <c r="AO235" s="17"/>
      <c r="AP235" s="17"/>
      <c r="AQ235" s="17"/>
      <c r="AR235" s="4"/>
      <c r="AS235" s="5"/>
    </row>
    <row r="236" spans="2:45" x14ac:dyDescent="0.25">
      <c r="B236" s="3"/>
      <c r="C236" s="4"/>
      <c r="D236" s="16" t="s">
        <v>84</v>
      </c>
      <c r="E236" s="4"/>
      <c r="F236" s="4"/>
      <c r="G236" s="4"/>
      <c r="H236" s="4"/>
      <c r="I236" s="4"/>
      <c r="J236" s="4"/>
      <c r="M236" s="50">
        <f>SUM(M232:N235)</f>
        <v>0.69</v>
      </c>
      <c r="N236" s="50"/>
      <c r="O236" s="4" t="s">
        <v>21</v>
      </c>
      <c r="S236" s="13" t="s">
        <v>69</v>
      </c>
      <c r="T236" s="14"/>
      <c r="U236" s="14"/>
      <c r="V236" s="14"/>
      <c r="W236" s="14"/>
      <c r="X236" s="14"/>
      <c r="Y236" s="14"/>
      <c r="Z236" s="14"/>
      <c r="AA236" s="14"/>
      <c r="AB236" s="12"/>
      <c r="AC236" s="54">
        <f>+AC235+M236</f>
        <v>5.6899999999999995</v>
      </c>
      <c r="AD236" s="54"/>
      <c r="AE236" s="54"/>
      <c r="AF236" s="54">
        <f>+AF235+M236</f>
        <v>3.8649999999999998</v>
      </c>
      <c r="AG236" s="54"/>
      <c r="AH236" s="54"/>
      <c r="AI236" s="54">
        <f>+AI235+M236</f>
        <v>3.8649999999999998</v>
      </c>
      <c r="AJ236" s="54"/>
      <c r="AK236" s="54"/>
      <c r="AL236" s="54">
        <f>+AL235+M236</f>
        <v>8.69</v>
      </c>
      <c r="AM236" s="54"/>
      <c r="AN236" s="54"/>
      <c r="AO236" s="17"/>
      <c r="AP236" s="17"/>
      <c r="AQ236" s="17"/>
      <c r="AR236" s="4"/>
      <c r="AS236" s="5"/>
    </row>
    <row r="237" spans="2:45" x14ac:dyDescent="0.25">
      <c r="B237" s="3"/>
      <c r="C237" s="4"/>
      <c r="L237" s="4"/>
      <c r="M237" s="4"/>
      <c r="N237" s="4"/>
      <c r="O237" s="4"/>
      <c r="S237" s="55" t="s">
        <v>70</v>
      </c>
      <c r="T237" s="56"/>
      <c r="U237" s="56"/>
      <c r="V237" s="56"/>
      <c r="W237" s="56"/>
      <c r="X237" s="56"/>
      <c r="Y237" s="56"/>
      <c r="Z237" s="56"/>
      <c r="AA237" s="56"/>
      <c r="AB237" s="57"/>
      <c r="AC237" s="61">
        <f>2*PI()*AC236*AC234/360</f>
        <v>10.419168881267243</v>
      </c>
      <c r="AD237" s="61"/>
      <c r="AE237" s="61"/>
      <c r="AF237" s="61">
        <f t="shared" ref="AF237" si="42">2*PI()*AF236*AF234/360</f>
        <v>7.426387009045329</v>
      </c>
      <c r="AG237" s="61"/>
      <c r="AH237" s="61"/>
      <c r="AI237" s="61">
        <f t="shared" ref="AI237" si="43">2*PI()*AI236*AI234/360</f>
        <v>7.426387009045329</v>
      </c>
      <c r="AJ237" s="61"/>
      <c r="AK237" s="61"/>
      <c r="AL237" s="61">
        <f t="shared" ref="AL237" si="44">2*PI()*AL236*AL234/360</f>
        <v>5.2935773086978584</v>
      </c>
      <c r="AM237" s="61"/>
      <c r="AN237" s="61"/>
      <c r="AO237" s="18"/>
      <c r="AP237" s="18"/>
      <c r="AQ237" s="18"/>
      <c r="AR237" s="4"/>
      <c r="AS237" s="5"/>
    </row>
    <row r="238" spans="2:45" x14ac:dyDescent="0.25">
      <c r="B238" s="3"/>
      <c r="C238" s="4"/>
      <c r="L238" s="4"/>
      <c r="M238" s="4"/>
      <c r="N238" s="4"/>
      <c r="O238" s="4"/>
      <c r="S238" s="58"/>
      <c r="T238" s="59"/>
      <c r="U238" s="59"/>
      <c r="V238" s="59"/>
      <c r="W238" s="59"/>
      <c r="X238" s="59"/>
      <c r="Y238" s="59"/>
      <c r="Z238" s="59"/>
      <c r="AA238" s="59"/>
      <c r="AB238" s="60"/>
      <c r="AC238" s="61"/>
      <c r="AD238" s="61"/>
      <c r="AE238" s="61"/>
      <c r="AF238" s="61"/>
      <c r="AG238" s="61"/>
      <c r="AH238" s="61"/>
      <c r="AI238" s="61"/>
      <c r="AJ238" s="61"/>
      <c r="AK238" s="61"/>
      <c r="AL238" s="61"/>
      <c r="AM238" s="61"/>
      <c r="AN238" s="61"/>
      <c r="AO238" s="18"/>
      <c r="AP238" s="18"/>
      <c r="AQ238" s="18"/>
      <c r="AR238" s="4"/>
      <c r="AS238" s="5"/>
    </row>
    <row r="239" spans="2:45" x14ac:dyDescent="0.25">
      <c r="B239" s="3"/>
      <c r="C239" s="4"/>
      <c r="D239" s="4" t="s">
        <v>53</v>
      </c>
      <c r="E239" s="4"/>
      <c r="F239" s="4"/>
      <c r="G239" s="4"/>
      <c r="H239" s="4">
        <f>INT(AC239/AG213)-1</f>
        <v>5</v>
      </c>
      <c r="I239" s="4" t="s">
        <v>55</v>
      </c>
      <c r="K239" s="4"/>
      <c r="L239" s="4"/>
      <c r="M239" s="4"/>
      <c r="N239" s="4"/>
      <c r="O239" s="4"/>
      <c r="S239" s="13" t="s">
        <v>71</v>
      </c>
      <c r="T239" s="14"/>
      <c r="U239" s="14"/>
      <c r="V239" s="14"/>
      <c r="W239" s="14"/>
      <c r="X239" s="14"/>
      <c r="Y239" s="14"/>
      <c r="Z239" s="14"/>
      <c r="AA239" s="14"/>
      <c r="AB239" s="12"/>
      <c r="AC239" s="46">
        <f>SUM(AC237:AN238)</f>
        <v>30.565520208055759</v>
      </c>
      <c r="AD239" s="47"/>
      <c r="AE239" s="47"/>
      <c r="AF239" s="47"/>
      <c r="AG239" s="47"/>
      <c r="AH239" s="47"/>
      <c r="AI239" s="47"/>
      <c r="AJ239" s="47"/>
      <c r="AK239" s="47"/>
      <c r="AL239" s="47"/>
      <c r="AM239" s="47"/>
      <c r="AN239" s="48"/>
      <c r="AO239" s="18"/>
      <c r="AP239" s="18"/>
      <c r="AQ239" s="18"/>
      <c r="AR239" s="4"/>
      <c r="AS239" s="5"/>
    </row>
    <row r="240" spans="2:45" x14ac:dyDescent="0.25">
      <c r="B240" s="3"/>
      <c r="C240" s="4"/>
      <c r="D240" s="4" t="s">
        <v>101</v>
      </c>
      <c r="E240" s="4"/>
      <c r="F240" s="4"/>
      <c r="G240" s="4"/>
      <c r="H240" s="4"/>
      <c r="I240" s="4"/>
      <c r="J240" s="4"/>
      <c r="K240" s="4"/>
      <c r="L240" s="4"/>
      <c r="AR240" s="4"/>
      <c r="AS240" s="5"/>
    </row>
    <row r="241" spans="2:45" x14ac:dyDescent="0.25">
      <c r="B241" s="3"/>
      <c r="C241" s="4"/>
      <c r="D241" s="4" t="s">
        <v>66</v>
      </c>
      <c r="E241" s="4"/>
      <c r="F241" s="4"/>
      <c r="G241" s="4"/>
      <c r="H241" s="4"/>
      <c r="I241" s="4"/>
      <c r="J241" s="4"/>
      <c r="M241" s="4">
        <f>+H239</f>
        <v>5</v>
      </c>
      <c r="N241" s="33" t="s">
        <v>30</v>
      </c>
      <c r="O241" s="50">
        <f>+AD208</f>
        <v>0.3</v>
      </c>
      <c r="P241" s="50"/>
      <c r="Q241" s="33" t="s">
        <v>33</v>
      </c>
      <c r="R241" s="49">
        <f>+AC239</f>
        <v>30.565520208055759</v>
      </c>
      <c r="S241" s="50"/>
      <c r="T241" s="34" t="s">
        <v>38</v>
      </c>
      <c r="U241" s="75">
        <f>+M241*O241+R241</f>
        <v>32.065520208055759</v>
      </c>
      <c r="V241" s="75"/>
      <c r="W241" s="2" t="s">
        <v>21</v>
      </c>
      <c r="AR241" s="4"/>
      <c r="AS241" s="5"/>
    </row>
    <row r="242" spans="2:45" x14ac:dyDescent="0.25">
      <c r="B242" s="3"/>
      <c r="C242" s="4"/>
      <c r="D242" s="4" t="s">
        <v>67</v>
      </c>
      <c r="E242" s="4"/>
      <c r="F242" s="4"/>
      <c r="G242" s="4"/>
      <c r="H242" s="4"/>
      <c r="I242" s="4"/>
      <c r="J242" s="4"/>
      <c r="L242" s="50">
        <f>+U241</f>
        <v>32.065520208055759</v>
      </c>
      <c r="M242" s="50"/>
      <c r="N242" s="33" t="s">
        <v>30</v>
      </c>
      <c r="O242" s="50">
        <f>+AD207</f>
        <v>3.48</v>
      </c>
      <c r="P242" s="50"/>
      <c r="Q242" s="33" t="s">
        <v>33</v>
      </c>
      <c r="R242" s="50">
        <f>+L242</f>
        <v>32.065520208055759</v>
      </c>
      <c r="S242" s="50"/>
      <c r="T242" s="33" t="s">
        <v>30</v>
      </c>
      <c r="U242" s="75">
        <f>+AD209/AB210</f>
        <v>0.3</v>
      </c>
      <c r="V242" s="75"/>
      <c r="W242" s="33" t="s">
        <v>30</v>
      </c>
      <c r="X242" s="50">
        <f>+O242</f>
        <v>3.48</v>
      </c>
      <c r="Y242" s="50"/>
      <c r="Z242" s="33" t="s">
        <v>38</v>
      </c>
      <c r="AA242" s="75">
        <f>+L242*O242+R242*U242*X242</f>
        <v>145.06441342124424</v>
      </c>
      <c r="AB242" s="75"/>
      <c r="AC242" s="2" t="s">
        <v>58</v>
      </c>
      <c r="AE242" s="2" t="s">
        <v>103</v>
      </c>
      <c r="AR242" s="4"/>
      <c r="AS242" s="5"/>
    </row>
    <row r="243" spans="2:45" x14ac:dyDescent="0.25">
      <c r="B243" s="3"/>
      <c r="C243" s="4"/>
      <c r="D243" s="4"/>
      <c r="E243" s="4"/>
      <c r="F243" s="4"/>
      <c r="G243" s="4"/>
      <c r="H243" s="4"/>
      <c r="I243" s="4"/>
      <c r="J243" s="4"/>
      <c r="AR243" s="4"/>
      <c r="AS243" s="5"/>
    </row>
    <row r="244" spans="2:45" x14ac:dyDescent="0.25">
      <c r="B244" s="3"/>
      <c r="C244" s="4"/>
      <c r="D244" s="4"/>
      <c r="E244" s="28" t="s">
        <v>107</v>
      </c>
      <c r="G244" s="4"/>
      <c r="H244" s="4"/>
      <c r="I244" s="4"/>
      <c r="J244" s="4"/>
      <c r="K244" s="4"/>
      <c r="L244" s="4"/>
      <c r="N244" s="50">
        <f>+AA230</f>
        <v>138.87494126519857</v>
      </c>
      <c r="O244" s="50"/>
      <c r="P244" s="33" t="s">
        <v>33</v>
      </c>
      <c r="Q244" s="50">
        <f>+AA242</f>
        <v>145.06441342124424</v>
      </c>
      <c r="R244" s="50"/>
      <c r="S244" s="34" t="s">
        <v>38</v>
      </c>
      <c r="T244" s="51">
        <f>+N244+Q244</f>
        <v>283.93935468644281</v>
      </c>
      <c r="U244" s="51"/>
      <c r="V244" s="24" t="s">
        <v>58</v>
      </c>
      <c r="X244" s="2" t="s">
        <v>103</v>
      </c>
      <c r="AR244" s="4"/>
      <c r="AS244" s="5"/>
    </row>
    <row r="245" spans="2:45" x14ac:dyDescent="0.25">
      <c r="B245" s="3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5"/>
    </row>
    <row r="246" spans="2:45" x14ac:dyDescent="0.25">
      <c r="B246" s="3"/>
      <c r="C246" s="4"/>
      <c r="D246" s="15" t="s">
        <v>120</v>
      </c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5"/>
    </row>
    <row r="247" spans="2:45" x14ac:dyDescent="0.25">
      <c r="B247" s="3"/>
      <c r="C247" s="4"/>
      <c r="D247" s="16" t="s">
        <v>78</v>
      </c>
      <c r="E247" s="4"/>
      <c r="F247" s="4"/>
      <c r="G247" s="4"/>
      <c r="H247" s="4"/>
      <c r="I247" s="4"/>
      <c r="J247" s="4"/>
      <c r="K247" s="4"/>
      <c r="M247" s="50">
        <f>+AD179/2</f>
        <v>0.01</v>
      </c>
      <c r="N247" s="50"/>
      <c r="O247" s="4" t="s">
        <v>21</v>
      </c>
      <c r="S247" s="55" t="s">
        <v>82</v>
      </c>
      <c r="T247" s="56"/>
      <c r="U247" s="56"/>
      <c r="V247" s="56"/>
      <c r="W247" s="56"/>
      <c r="X247" s="56"/>
      <c r="Y247" s="56"/>
      <c r="Z247" s="56"/>
      <c r="AA247" s="56"/>
      <c r="AB247" s="57"/>
      <c r="AC247" s="69" t="s">
        <v>1</v>
      </c>
      <c r="AD247" s="70"/>
      <c r="AE247" s="71"/>
      <c r="AF247" s="69" t="s">
        <v>4</v>
      </c>
      <c r="AG247" s="70"/>
      <c r="AH247" s="71"/>
      <c r="AI247" s="69" t="s">
        <v>5</v>
      </c>
      <c r="AJ247" s="70"/>
      <c r="AK247" s="71"/>
      <c r="AL247" s="69" t="s">
        <v>3</v>
      </c>
      <c r="AM247" s="70"/>
      <c r="AN247" s="71"/>
      <c r="AO247" s="16"/>
      <c r="AP247" s="16"/>
      <c r="AQ247" s="16"/>
      <c r="AR247" s="4"/>
      <c r="AS247" s="5"/>
    </row>
    <row r="248" spans="2:45" ht="12" thickBot="1" x14ac:dyDescent="0.3">
      <c r="B248" s="3"/>
      <c r="C248" s="4"/>
      <c r="D248" s="16" t="s">
        <v>18</v>
      </c>
      <c r="E248" s="4"/>
      <c r="F248" s="4"/>
      <c r="G248" s="4"/>
      <c r="H248" s="4"/>
      <c r="I248" s="4"/>
      <c r="J248" s="4"/>
      <c r="K248" s="4"/>
      <c r="M248" s="50">
        <f>+AD180</f>
        <v>0.05</v>
      </c>
      <c r="N248" s="50"/>
      <c r="O248" s="4" t="s">
        <v>21</v>
      </c>
      <c r="S248" s="66"/>
      <c r="T248" s="67"/>
      <c r="U248" s="67"/>
      <c r="V248" s="67"/>
      <c r="W248" s="67"/>
      <c r="X248" s="67"/>
      <c r="Y248" s="67"/>
      <c r="Z248" s="67"/>
      <c r="AA248" s="67"/>
      <c r="AB248" s="68"/>
      <c r="AC248" s="72"/>
      <c r="AD248" s="73"/>
      <c r="AE248" s="74"/>
      <c r="AF248" s="72"/>
      <c r="AG248" s="73"/>
      <c r="AH248" s="74"/>
      <c r="AI248" s="72"/>
      <c r="AJ248" s="73"/>
      <c r="AK248" s="74"/>
      <c r="AL248" s="72"/>
      <c r="AM248" s="73"/>
      <c r="AN248" s="74"/>
      <c r="AO248" s="16"/>
      <c r="AP248" s="16"/>
      <c r="AQ248" s="16"/>
      <c r="AR248" s="4"/>
      <c r="AS248" s="5"/>
    </row>
    <row r="249" spans="2:45" ht="12" thickTop="1" x14ac:dyDescent="0.25">
      <c r="B249" s="3"/>
      <c r="C249" s="4"/>
      <c r="D249" s="16" t="s">
        <v>40</v>
      </c>
      <c r="E249" s="4"/>
      <c r="F249" s="4"/>
      <c r="G249" s="4"/>
      <c r="H249" s="4"/>
      <c r="I249" s="4"/>
      <c r="J249" s="4"/>
      <c r="K249" s="4"/>
      <c r="M249" s="63">
        <f>+AD181</f>
        <v>0.4</v>
      </c>
      <c r="N249" s="63"/>
      <c r="O249" s="11" t="s">
        <v>21</v>
      </c>
      <c r="S249" s="10" t="s">
        <v>23</v>
      </c>
      <c r="T249" s="11"/>
      <c r="U249" s="11"/>
      <c r="V249" s="11"/>
      <c r="W249" s="11"/>
      <c r="X249" s="11"/>
      <c r="Y249" s="11"/>
      <c r="Z249" s="11"/>
      <c r="AA249" s="11"/>
      <c r="AB249" s="9"/>
      <c r="AC249" s="62">
        <f>+Z185</f>
        <v>104.91641527779554</v>
      </c>
      <c r="AD249" s="62"/>
      <c r="AE249" s="62"/>
      <c r="AF249" s="62">
        <f>+AC185</f>
        <v>110.09071996095216</v>
      </c>
      <c r="AG249" s="62"/>
      <c r="AH249" s="62"/>
      <c r="AI249" s="62">
        <f>+AF185</f>
        <v>110.09071996095216</v>
      </c>
      <c r="AJ249" s="62"/>
      <c r="AK249" s="62"/>
      <c r="AL249" s="62">
        <f>+AI185</f>
        <v>34.902144800300142</v>
      </c>
      <c r="AM249" s="62"/>
      <c r="AN249" s="62"/>
      <c r="AO249" s="17"/>
      <c r="AP249" s="17"/>
      <c r="AQ249" s="17"/>
      <c r="AR249" s="4"/>
      <c r="AS249" s="5"/>
    </row>
    <row r="250" spans="2:45" x14ac:dyDescent="0.25">
      <c r="B250" s="3"/>
      <c r="C250" s="4"/>
      <c r="D250" s="16" t="s">
        <v>83</v>
      </c>
      <c r="E250" s="4"/>
      <c r="F250" s="4"/>
      <c r="G250" s="4"/>
      <c r="H250" s="4"/>
      <c r="I250" s="4"/>
      <c r="J250" s="4"/>
      <c r="K250" s="4"/>
      <c r="M250" s="50">
        <f>SUM(M247:N249)</f>
        <v>0.46</v>
      </c>
      <c r="N250" s="50"/>
      <c r="O250" s="4" t="s">
        <v>21</v>
      </c>
      <c r="S250" s="13" t="s">
        <v>24</v>
      </c>
      <c r="T250" s="14"/>
      <c r="U250" s="14"/>
      <c r="V250" s="14"/>
      <c r="W250" s="14"/>
      <c r="X250" s="14"/>
      <c r="Y250" s="14"/>
      <c r="Z250" s="14"/>
      <c r="AA250" s="14"/>
      <c r="AB250" s="12"/>
      <c r="AC250" s="54">
        <f>+Z186</f>
        <v>5</v>
      </c>
      <c r="AD250" s="54"/>
      <c r="AE250" s="54"/>
      <c r="AF250" s="54">
        <f>+AC186</f>
        <v>3.1749999999999998</v>
      </c>
      <c r="AG250" s="54"/>
      <c r="AH250" s="54"/>
      <c r="AI250" s="54">
        <f>+AF186</f>
        <v>3.1749999999999998</v>
      </c>
      <c r="AJ250" s="54"/>
      <c r="AK250" s="54"/>
      <c r="AL250" s="54">
        <f>+AI186</f>
        <v>8</v>
      </c>
      <c r="AM250" s="54"/>
      <c r="AN250" s="54"/>
      <c r="AO250" s="17"/>
      <c r="AP250" s="17"/>
      <c r="AQ250" s="17"/>
      <c r="AR250" s="4"/>
      <c r="AS250" s="5"/>
    </row>
    <row r="251" spans="2:45" x14ac:dyDescent="0.25">
      <c r="B251" s="3"/>
      <c r="C251" s="4"/>
      <c r="S251" s="13" t="s">
        <v>79</v>
      </c>
      <c r="T251" s="14"/>
      <c r="U251" s="14"/>
      <c r="V251" s="14"/>
      <c r="W251" s="14"/>
      <c r="X251" s="14"/>
      <c r="Y251" s="14"/>
      <c r="Z251" s="14"/>
      <c r="AA251" s="14"/>
      <c r="AB251" s="12"/>
      <c r="AC251" s="54">
        <f>+AC250+M250</f>
        <v>5.46</v>
      </c>
      <c r="AD251" s="54"/>
      <c r="AE251" s="54"/>
      <c r="AF251" s="54">
        <f>+AF250+M250</f>
        <v>3.6349999999999998</v>
      </c>
      <c r="AG251" s="54"/>
      <c r="AH251" s="54"/>
      <c r="AI251" s="54">
        <f>+AI250+M250</f>
        <v>3.6349999999999998</v>
      </c>
      <c r="AJ251" s="54"/>
      <c r="AK251" s="54"/>
      <c r="AL251" s="54">
        <f>+AL250+M250</f>
        <v>8.4600000000000009</v>
      </c>
      <c r="AM251" s="54"/>
      <c r="AN251" s="54"/>
      <c r="AO251" s="17"/>
      <c r="AP251" s="17"/>
      <c r="AQ251" s="17"/>
      <c r="AR251" s="4"/>
      <c r="AS251" s="5"/>
    </row>
    <row r="252" spans="2:45" x14ac:dyDescent="0.25">
      <c r="B252" s="3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S252" s="55" t="s">
        <v>80</v>
      </c>
      <c r="T252" s="56"/>
      <c r="U252" s="56"/>
      <c r="V252" s="56"/>
      <c r="W252" s="56"/>
      <c r="X252" s="56"/>
      <c r="Y252" s="56"/>
      <c r="Z252" s="56"/>
      <c r="AA252" s="56"/>
      <c r="AB252" s="57"/>
      <c r="AC252" s="61">
        <f>2*PI()*AC251*AC249/360</f>
        <v>9.9980073974901842</v>
      </c>
      <c r="AD252" s="61"/>
      <c r="AE252" s="61"/>
      <c r="AF252" s="61">
        <f t="shared" ref="AF252" si="45">2*PI()*AF251*AF249/360</f>
        <v>6.9844545350271066</v>
      </c>
      <c r="AG252" s="61"/>
      <c r="AH252" s="61"/>
      <c r="AI252" s="61">
        <f t="shared" ref="AI252" si="46">2*PI()*AI251*AI249/360</f>
        <v>6.9844545350271066</v>
      </c>
      <c r="AJ252" s="61"/>
      <c r="AK252" s="61"/>
      <c r="AL252" s="61">
        <f t="shared" ref="AL252" si="47">2*PI()*AL251*AL249/360</f>
        <v>5.1534711198600567</v>
      </c>
      <c r="AM252" s="61"/>
      <c r="AN252" s="61"/>
      <c r="AO252" s="18"/>
      <c r="AP252" s="18"/>
      <c r="AQ252" s="18"/>
      <c r="AR252" s="4"/>
      <c r="AS252" s="5"/>
    </row>
    <row r="253" spans="2:45" x14ac:dyDescent="0.25">
      <c r="B253" s="3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S253" s="58"/>
      <c r="T253" s="59"/>
      <c r="U253" s="59"/>
      <c r="V253" s="59"/>
      <c r="W253" s="59"/>
      <c r="X253" s="59"/>
      <c r="Y253" s="59"/>
      <c r="Z253" s="59"/>
      <c r="AA253" s="59"/>
      <c r="AB253" s="60"/>
      <c r="AC253" s="61"/>
      <c r="AD253" s="61"/>
      <c r="AE253" s="61"/>
      <c r="AF253" s="61"/>
      <c r="AG253" s="61"/>
      <c r="AH253" s="61"/>
      <c r="AI253" s="61"/>
      <c r="AJ253" s="61"/>
      <c r="AK253" s="61"/>
      <c r="AL253" s="61"/>
      <c r="AM253" s="61"/>
      <c r="AN253" s="61"/>
      <c r="AO253" s="18"/>
      <c r="AP253" s="18"/>
      <c r="AQ253" s="18"/>
      <c r="AR253" s="4"/>
      <c r="AS253" s="5"/>
    </row>
    <row r="254" spans="2:45" x14ac:dyDescent="0.25">
      <c r="B254" s="3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S254" s="13" t="s">
        <v>81</v>
      </c>
      <c r="T254" s="14"/>
      <c r="U254" s="14"/>
      <c r="V254" s="14"/>
      <c r="W254" s="14"/>
      <c r="X254" s="14"/>
      <c r="Y254" s="14"/>
      <c r="Z254" s="14"/>
      <c r="AA254" s="14"/>
      <c r="AB254" s="12"/>
      <c r="AC254" s="46">
        <f>SUM(AC252:AN253)</f>
        <v>29.120387587404451</v>
      </c>
      <c r="AD254" s="47"/>
      <c r="AE254" s="47"/>
      <c r="AF254" s="47"/>
      <c r="AG254" s="47"/>
      <c r="AH254" s="47"/>
      <c r="AI254" s="47"/>
      <c r="AJ254" s="47"/>
      <c r="AK254" s="47"/>
      <c r="AL254" s="47"/>
      <c r="AM254" s="47"/>
      <c r="AN254" s="48"/>
      <c r="AO254" s="18"/>
      <c r="AP254" s="18"/>
      <c r="AQ254" s="18"/>
      <c r="AR254" s="4"/>
      <c r="AS254" s="5"/>
    </row>
    <row r="255" spans="2:45" x14ac:dyDescent="0.25">
      <c r="B255" s="3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5"/>
    </row>
    <row r="256" spans="2:45" x14ac:dyDescent="0.25">
      <c r="B256" s="3"/>
      <c r="D256" s="20" t="s">
        <v>115</v>
      </c>
      <c r="E256" s="4"/>
      <c r="F256" s="4"/>
      <c r="G256" s="4"/>
      <c r="H256" s="4"/>
      <c r="I256" s="4"/>
      <c r="J256" s="4"/>
      <c r="K256" s="4"/>
      <c r="M256" s="64">
        <f>+AC254</f>
        <v>29.120387587404451</v>
      </c>
      <c r="N256" s="65"/>
      <c r="O256" s="28" t="s">
        <v>37</v>
      </c>
      <c r="P256" s="2" t="s">
        <v>103</v>
      </c>
      <c r="Q256" s="4"/>
      <c r="R256" s="4"/>
      <c r="S256" s="4"/>
      <c r="T256" s="4"/>
      <c r="V256" s="4" t="s">
        <v>109</v>
      </c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5"/>
    </row>
    <row r="257" spans="2:45" x14ac:dyDescent="0.25">
      <c r="B257" s="3"/>
      <c r="C257" s="4"/>
      <c r="D257" s="4"/>
      <c r="E257" s="4"/>
      <c r="F257" s="4"/>
      <c r="G257" s="4"/>
      <c r="H257" s="4"/>
      <c r="I257" s="4"/>
      <c r="J257" s="4"/>
      <c r="K257" s="4"/>
      <c r="L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5"/>
    </row>
    <row r="258" spans="2:45" x14ac:dyDescent="0.25">
      <c r="B258" s="3"/>
      <c r="C258" s="4"/>
      <c r="D258" s="15" t="s">
        <v>121</v>
      </c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5"/>
    </row>
    <row r="259" spans="2:45" x14ac:dyDescent="0.25">
      <c r="B259" s="3"/>
      <c r="C259" s="4"/>
      <c r="D259" s="16" t="s">
        <v>100</v>
      </c>
      <c r="E259" s="4"/>
      <c r="F259" s="4"/>
      <c r="G259" s="4"/>
      <c r="H259" s="4"/>
      <c r="I259" s="4"/>
      <c r="J259" s="4"/>
      <c r="M259" s="50">
        <f>IF(L263="evet",AD180/2/2,0)</f>
        <v>1.2500000000000001E-2</v>
      </c>
      <c r="N259" s="50"/>
      <c r="O259" s="4" t="s">
        <v>21</v>
      </c>
      <c r="S259" s="55" t="s">
        <v>87</v>
      </c>
      <c r="T259" s="56"/>
      <c r="U259" s="56"/>
      <c r="V259" s="56"/>
      <c r="W259" s="56"/>
      <c r="X259" s="56"/>
      <c r="Y259" s="56"/>
      <c r="Z259" s="56"/>
      <c r="AA259" s="56"/>
      <c r="AB259" s="57"/>
      <c r="AC259" s="69" t="s">
        <v>1</v>
      </c>
      <c r="AD259" s="70"/>
      <c r="AE259" s="71"/>
      <c r="AF259" s="69" t="s">
        <v>4</v>
      </c>
      <c r="AG259" s="70"/>
      <c r="AH259" s="71"/>
      <c r="AI259" s="69" t="s">
        <v>5</v>
      </c>
      <c r="AJ259" s="70"/>
      <c r="AK259" s="71"/>
      <c r="AL259" s="69" t="s">
        <v>3</v>
      </c>
      <c r="AM259" s="70"/>
      <c r="AN259" s="71"/>
      <c r="AO259" s="16"/>
      <c r="AP259" s="16"/>
      <c r="AQ259" s="16"/>
      <c r="AR259" s="4"/>
      <c r="AS259" s="5"/>
    </row>
    <row r="260" spans="2:45" ht="12" thickBot="1" x14ac:dyDescent="0.3">
      <c r="B260" s="3"/>
      <c r="C260" s="4"/>
      <c r="D260" s="16" t="s">
        <v>106</v>
      </c>
      <c r="E260" s="4"/>
      <c r="F260" s="4"/>
      <c r="G260" s="4"/>
      <c r="H260" s="4"/>
      <c r="I260" s="4"/>
      <c r="J260" s="4"/>
      <c r="M260" s="63">
        <f>+AD181/2</f>
        <v>0.2</v>
      </c>
      <c r="N260" s="63"/>
      <c r="O260" s="11" t="s">
        <v>21</v>
      </c>
      <c r="S260" s="66"/>
      <c r="T260" s="67"/>
      <c r="U260" s="67"/>
      <c r="V260" s="67"/>
      <c r="W260" s="67"/>
      <c r="X260" s="67"/>
      <c r="Y260" s="67"/>
      <c r="Z260" s="67"/>
      <c r="AA260" s="67"/>
      <c r="AB260" s="68"/>
      <c r="AC260" s="72"/>
      <c r="AD260" s="73"/>
      <c r="AE260" s="74"/>
      <c r="AF260" s="72"/>
      <c r="AG260" s="73"/>
      <c r="AH260" s="74"/>
      <c r="AI260" s="72"/>
      <c r="AJ260" s="73"/>
      <c r="AK260" s="74"/>
      <c r="AL260" s="72"/>
      <c r="AM260" s="73"/>
      <c r="AN260" s="74"/>
      <c r="AO260" s="16"/>
      <c r="AP260" s="16"/>
      <c r="AQ260" s="16"/>
      <c r="AR260" s="4"/>
      <c r="AS260" s="5"/>
    </row>
    <row r="261" spans="2:45" ht="12" thickTop="1" x14ac:dyDescent="0.25">
      <c r="B261" s="3"/>
      <c r="C261" s="4"/>
      <c r="D261" s="16"/>
      <c r="E261" s="4"/>
      <c r="F261" s="4"/>
      <c r="G261" s="4"/>
      <c r="H261" s="4"/>
      <c r="I261" s="4"/>
      <c r="J261" s="4"/>
      <c r="M261" s="50">
        <f>SUM(M259:N260)</f>
        <v>0.21250000000000002</v>
      </c>
      <c r="N261" s="50"/>
      <c r="O261" s="4" t="s">
        <v>21</v>
      </c>
      <c r="P261" s="4"/>
      <c r="S261" s="10" t="s">
        <v>23</v>
      </c>
      <c r="T261" s="11"/>
      <c r="U261" s="11"/>
      <c r="V261" s="11"/>
      <c r="W261" s="11"/>
      <c r="X261" s="11"/>
      <c r="Y261" s="11"/>
      <c r="Z261" s="11"/>
      <c r="AA261" s="11"/>
      <c r="AB261" s="9"/>
      <c r="AC261" s="62">
        <f>+Z185</f>
        <v>104.91641527779554</v>
      </c>
      <c r="AD261" s="62"/>
      <c r="AE261" s="62"/>
      <c r="AF261" s="62">
        <f>+AC185</f>
        <v>110.09071996095216</v>
      </c>
      <c r="AG261" s="62"/>
      <c r="AH261" s="62"/>
      <c r="AI261" s="62">
        <f>+AF185</f>
        <v>110.09071996095216</v>
      </c>
      <c r="AJ261" s="62"/>
      <c r="AK261" s="62"/>
      <c r="AL261" s="62">
        <f>+AI185</f>
        <v>34.902144800300142</v>
      </c>
      <c r="AM261" s="62"/>
      <c r="AN261" s="62"/>
      <c r="AO261" s="17"/>
      <c r="AP261" s="17"/>
      <c r="AQ261" s="17"/>
      <c r="AR261" s="4"/>
      <c r="AS261" s="5"/>
    </row>
    <row r="262" spans="2:45" x14ac:dyDescent="0.25">
      <c r="B262" s="3"/>
      <c r="C262" s="4"/>
      <c r="D262" s="52" t="s">
        <v>91</v>
      </c>
      <c r="E262" s="52"/>
      <c r="F262" s="52"/>
      <c r="G262" s="52"/>
      <c r="H262" s="52"/>
      <c r="I262" s="52"/>
      <c r="J262" s="52"/>
      <c r="K262" s="52"/>
      <c r="L262" s="4"/>
      <c r="M262" s="4"/>
      <c r="O262" s="4"/>
      <c r="P262" s="4"/>
      <c r="S262" s="13" t="s">
        <v>24</v>
      </c>
      <c r="T262" s="14"/>
      <c r="U262" s="14"/>
      <c r="V262" s="14"/>
      <c r="W262" s="14"/>
      <c r="X262" s="14"/>
      <c r="Y262" s="14"/>
      <c r="Z262" s="14"/>
      <c r="AA262" s="14"/>
      <c r="AB262" s="12"/>
      <c r="AC262" s="54">
        <f>+Z186</f>
        <v>5</v>
      </c>
      <c r="AD262" s="54"/>
      <c r="AE262" s="54"/>
      <c r="AF262" s="54">
        <f>+AC186</f>
        <v>3.1749999999999998</v>
      </c>
      <c r="AG262" s="54"/>
      <c r="AH262" s="54"/>
      <c r="AI262" s="54">
        <f>+AF186</f>
        <v>3.1749999999999998</v>
      </c>
      <c r="AJ262" s="54"/>
      <c r="AK262" s="54"/>
      <c r="AL262" s="54">
        <f>+AI186</f>
        <v>8</v>
      </c>
      <c r="AM262" s="54"/>
      <c r="AN262" s="54"/>
      <c r="AO262" s="17"/>
      <c r="AP262" s="17"/>
      <c r="AQ262" s="17"/>
      <c r="AR262" s="4"/>
      <c r="AS262" s="5"/>
    </row>
    <row r="263" spans="2:45" x14ac:dyDescent="0.25">
      <c r="B263" s="3"/>
      <c r="C263" s="4"/>
      <c r="D263" s="52"/>
      <c r="E263" s="52"/>
      <c r="F263" s="52"/>
      <c r="G263" s="52"/>
      <c r="H263" s="52"/>
      <c r="I263" s="52"/>
      <c r="J263" s="52"/>
      <c r="K263" s="52"/>
      <c r="L263" s="53" t="s">
        <v>92</v>
      </c>
      <c r="M263" s="53"/>
      <c r="O263" s="4"/>
      <c r="P263" s="4"/>
      <c r="S263" s="13" t="s">
        <v>88</v>
      </c>
      <c r="T263" s="14"/>
      <c r="U263" s="14"/>
      <c r="V263" s="14"/>
      <c r="W263" s="14"/>
      <c r="X263" s="14"/>
      <c r="Y263" s="14"/>
      <c r="Z263" s="14"/>
      <c r="AA263" s="14"/>
      <c r="AB263" s="12"/>
      <c r="AC263" s="54">
        <f>+AC262+M261</f>
        <v>5.2125000000000004</v>
      </c>
      <c r="AD263" s="54"/>
      <c r="AE263" s="54"/>
      <c r="AF263" s="54">
        <f>+AF262+M261</f>
        <v>3.3874999999999997</v>
      </c>
      <c r="AG263" s="54"/>
      <c r="AH263" s="54"/>
      <c r="AI263" s="54">
        <f>+AI262+M261</f>
        <v>3.3874999999999997</v>
      </c>
      <c r="AJ263" s="54"/>
      <c r="AK263" s="54"/>
      <c r="AL263" s="54">
        <f>+AL262+M261</f>
        <v>8.2125000000000004</v>
      </c>
      <c r="AM263" s="54"/>
      <c r="AN263" s="54"/>
      <c r="AO263" s="17"/>
      <c r="AP263" s="17"/>
      <c r="AQ263" s="17"/>
      <c r="AR263" s="4"/>
      <c r="AS263" s="5"/>
    </row>
    <row r="264" spans="2:45" x14ac:dyDescent="0.25">
      <c r="B264" s="3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S264" s="55" t="s">
        <v>89</v>
      </c>
      <c r="T264" s="56"/>
      <c r="U264" s="56"/>
      <c r="V264" s="56"/>
      <c r="W264" s="56"/>
      <c r="X264" s="56"/>
      <c r="Y264" s="56"/>
      <c r="Z264" s="56"/>
      <c r="AA264" s="56"/>
      <c r="AB264" s="57"/>
      <c r="AC264" s="61">
        <f>2*PI()*AC263*AC261/360</f>
        <v>9.54480101820835</v>
      </c>
      <c r="AD264" s="61"/>
      <c r="AE264" s="61"/>
      <c r="AF264" s="61">
        <f t="shared" ref="AF264" si="48">2*PI()*AF263*AF261/360</f>
        <v>6.5088967640727171</v>
      </c>
      <c r="AG264" s="61"/>
      <c r="AH264" s="61"/>
      <c r="AI264" s="61">
        <f t="shared" ref="AI264" si="49">2*PI()*AI263*AI261/360</f>
        <v>6.5088967640727171</v>
      </c>
      <c r="AJ264" s="61"/>
      <c r="AK264" s="61"/>
      <c r="AL264" s="61">
        <f t="shared" ref="AL264" si="50">2*PI()*AL263*AL261/360</f>
        <v>5.0027046775237247</v>
      </c>
      <c r="AM264" s="61"/>
      <c r="AN264" s="61"/>
      <c r="AO264" s="18"/>
      <c r="AP264" s="18"/>
      <c r="AQ264" s="18"/>
      <c r="AR264" s="4"/>
      <c r="AS264" s="5"/>
    </row>
    <row r="265" spans="2:45" x14ac:dyDescent="0.25">
      <c r="B265" s="3"/>
      <c r="C265" s="4"/>
      <c r="N265" s="4"/>
      <c r="O265" s="4"/>
      <c r="P265" s="4"/>
      <c r="S265" s="58"/>
      <c r="T265" s="59"/>
      <c r="U265" s="59"/>
      <c r="V265" s="59"/>
      <c r="W265" s="59"/>
      <c r="X265" s="59"/>
      <c r="Y265" s="59"/>
      <c r="Z265" s="59"/>
      <c r="AA265" s="59"/>
      <c r="AB265" s="60"/>
      <c r="AC265" s="61"/>
      <c r="AD265" s="61"/>
      <c r="AE265" s="61"/>
      <c r="AF265" s="61"/>
      <c r="AG265" s="61"/>
      <c r="AH265" s="61"/>
      <c r="AI265" s="61"/>
      <c r="AJ265" s="61"/>
      <c r="AK265" s="61"/>
      <c r="AL265" s="61"/>
      <c r="AM265" s="61"/>
      <c r="AN265" s="61"/>
      <c r="AO265" s="18"/>
      <c r="AP265" s="18"/>
      <c r="AQ265" s="18"/>
      <c r="AR265" s="4"/>
      <c r="AS265" s="5"/>
    </row>
    <row r="266" spans="2:45" x14ac:dyDescent="0.25">
      <c r="B266" s="3"/>
      <c r="C266" s="4"/>
      <c r="N266" s="4"/>
      <c r="O266" s="4"/>
      <c r="P266" s="4"/>
      <c r="S266" s="13" t="s">
        <v>90</v>
      </c>
      <c r="T266" s="14"/>
      <c r="U266" s="14"/>
      <c r="V266" s="14"/>
      <c r="W266" s="14"/>
      <c r="X266" s="14"/>
      <c r="Y266" s="14"/>
      <c r="Z266" s="14"/>
      <c r="AA266" s="14"/>
      <c r="AB266" s="12"/>
      <c r="AC266" s="46">
        <f>SUM(AC264:AN265)</f>
        <v>27.565299223877506</v>
      </c>
      <c r="AD266" s="47"/>
      <c r="AE266" s="47"/>
      <c r="AF266" s="47"/>
      <c r="AG266" s="47"/>
      <c r="AH266" s="47"/>
      <c r="AI266" s="47"/>
      <c r="AJ266" s="47"/>
      <c r="AK266" s="47"/>
      <c r="AL266" s="47"/>
      <c r="AM266" s="47"/>
      <c r="AN266" s="48"/>
      <c r="AO266" s="18"/>
      <c r="AP266" s="18"/>
      <c r="AQ266" s="18"/>
      <c r="AR266" s="4"/>
      <c r="AS266" s="5"/>
    </row>
    <row r="267" spans="2:45" x14ac:dyDescent="0.25">
      <c r="B267" s="3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AR267" s="4"/>
      <c r="AS267" s="5"/>
    </row>
    <row r="268" spans="2:45" x14ac:dyDescent="0.25">
      <c r="B268" s="3"/>
      <c r="C268" s="20" t="s">
        <v>114</v>
      </c>
      <c r="D268" s="4"/>
      <c r="E268" s="4"/>
      <c r="F268" s="4"/>
      <c r="G268" s="4"/>
      <c r="H268" s="4"/>
      <c r="I268" s="4"/>
      <c r="J268" s="4"/>
      <c r="K268" s="4"/>
      <c r="Q268" s="49">
        <f>+AC266</f>
        <v>27.565299223877506</v>
      </c>
      <c r="R268" s="50"/>
      <c r="S268" s="33" t="s">
        <v>30</v>
      </c>
      <c r="T268" s="50">
        <f>M260*2+M259*2</f>
        <v>0.42500000000000004</v>
      </c>
      <c r="U268" s="50"/>
      <c r="V268" s="34" t="s">
        <v>38</v>
      </c>
      <c r="W268" s="51">
        <f>+Q268*T268</f>
        <v>11.715252170147942</v>
      </c>
      <c r="X268" s="51"/>
      <c r="Y268" s="24" t="s">
        <v>102</v>
      </c>
      <c r="AA268" s="2" t="s">
        <v>103</v>
      </c>
      <c r="AR268" s="4"/>
      <c r="AS268" s="5"/>
    </row>
    <row r="269" spans="2:45" ht="12" thickBot="1" x14ac:dyDescent="0.3">
      <c r="B269" s="29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  <c r="AA269" s="30"/>
      <c r="AB269" s="30"/>
      <c r="AC269" s="30"/>
      <c r="AD269" s="30"/>
      <c r="AE269" s="30"/>
      <c r="AF269" s="30"/>
      <c r="AG269" s="30"/>
      <c r="AH269" s="30"/>
      <c r="AI269" s="30"/>
      <c r="AJ269" s="30"/>
      <c r="AK269" s="30"/>
      <c r="AL269" s="30"/>
      <c r="AM269" s="30"/>
      <c r="AN269" s="30"/>
      <c r="AO269" s="30"/>
      <c r="AP269" s="30"/>
      <c r="AQ269" s="30"/>
      <c r="AR269" s="30"/>
      <c r="AS269" s="31"/>
    </row>
    <row r="270" spans="2:45" ht="38.450000000000003" customHeight="1" x14ac:dyDescent="0.25">
      <c r="B270" s="93" t="s">
        <v>124</v>
      </c>
      <c r="C270" s="94"/>
      <c r="D270" s="94"/>
      <c r="E270" s="94"/>
      <c r="F270" s="94"/>
      <c r="G270" s="94"/>
      <c r="H270" s="94"/>
      <c r="I270" s="94"/>
      <c r="J270" s="94"/>
      <c r="K270" s="94"/>
      <c r="L270" s="94"/>
      <c r="M270" s="94"/>
      <c r="N270" s="94"/>
      <c r="O270" s="94"/>
      <c r="P270" s="94"/>
      <c r="Q270" s="94"/>
      <c r="R270" s="94"/>
      <c r="S270" s="94"/>
      <c r="T270" s="94"/>
      <c r="U270" s="94"/>
      <c r="V270" s="94"/>
      <c r="W270" s="94"/>
      <c r="X270" s="94"/>
      <c r="Y270" s="94"/>
      <c r="Z270" s="94"/>
      <c r="AA270" s="94"/>
      <c r="AB270" s="94"/>
      <c r="AC270" s="94"/>
      <c r="AD270" s="94"/>
      <c r="AE270" s="94"/>
      <c r="AF270" s="94"/>
      <c r="AG270" s="94"/>
      <c r="AH270" s="94"/>
      <c r="AI270" s="94"/>
      <c r="AJ270" s="94"/>
      <c r="AK270" s="94"/>
      <c r="AL270" s="94"/>
      <c r="AM270" s="94"/>
      <c r="AN270" s="94"/>
      <c r="AO270" s="94"/>
      <c r="AP270" s="94"/>
      <c r="AQ270" s="94"/>
      <c r="AR270" s="94"/>
      <c r="AS270" s="95"/>
    </row>
    <row r="271" spans="2:45" x14ac:dyDescent="0.25">
      <c r="B271" s="3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1" t="s">
        <v>93</v>
      </c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5"/>
    </row>
    <row r="272" spans="2:45" x14ac:dyDescent="0.25">
      <c r="B272" s="3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5"/>
    </row>
    <row r="273" spans="2:45" x14ac:dyDescent="0.25">
      <c r="B273" s="3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5"/>
    </row>
    <row r="274" spans="2:45" x14ac:dyDescent="0.25">
      <c r="B274" s="3"/>
      <c r="C274" s="4"/>
      <c r="D274" s="4"/>
      <c r="E274" s="4"/>
      <c r="F274" s="4"/>
      <c r="G274" s="4"/>
      <c r="H274" s="4"/>
      <c r="I274" s="4"/>
      <c r="J274" s="6" t="s">
        <v>95</v>
      </c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5"/>
    </row>
    <row r="275" spans="2:45" x14ac:dyDescent="0.25">
      <c r="B275" s="3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5"/>
    </row>
    <row r="276" spans="2:45" x14ac:dyDescent="0.25">
      <c r="B276" s="3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6" t="s">
        <v>110</v>
      </c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5"/>
    </row>
    <row r="277" spans="2:45" x14ac:dyDescent="0.25">
      <c r="B277" s="3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50">
        <f>(B287*(TAN(AO325/2*PI()/180)*TAN(Z325/2*PI()/180))/(TAN(AO325/2*PI()/180)+TAN(Z325/2*PI()/180)))*2</f>
        <v>1.7018546278389217</v>
      </c>
      <c r="O277" s="50"/>
      <c r="P277" s="4" t="s">
        <v>21</v>
      </c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5"/>
    </row>
    <row r="278" spans="2:45" x14ac:dyDescent="0.25">
      <c r="B278" s="3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5"/>
    </row>
    <row r="279" spans="2:45" x14ac:dyDescent="0.25">
      <c r="B279" s="3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5"/>
    </row>
    <row r="280" spans="2:45" x14ac:dyDescent="0.25">
      <c r="B280" s="3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5"/>
    </row>
    <row r="281" spans="2:45" x14ac:dyDescent="0.25">
      <c r="B281" s="3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5"/>
    </row>
    <row r="282" spans="2:45" x14ac:dyDescent="0.25">
      <c r="B282" s="3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5"/>
    </row>
    <row r="283" spans="2:45" x14ac:dyDescent="0.25">
      <c r="B283" s="3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5"/>
    </row>
    <row r="284" spans="2:45" x14ac:dyDescent="0.25">
      <c r="B284" s="3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33" t="s">
        <v>15</v>
      </c>
      <c r="AP284" s="4"/>
      <c r="AQ284" s="4"/>
      <c r="AR284" s="4"/>
      <c r="AS284" s="5"/>
    </row>
    <row r="285" spans="2:45" x14ac:dyDescent="0.25">
      <c r="B285" s="3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33"/>
      <c r="AP285" s="4"/>
      <c r="AQ285" s="4"/>
      <c r="AR285" s="4"/>
      <c r="AS285" s="5"/>
    </row>
    <row r="286" spans="2:45" x14ac:dyDescent="0.25">
      <c r="B286" s="43" t="s">
        <v>21</v>
      </c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33" t="s">
        <v>14</v>
      </c>
      <c r="AP286" s="4"/>
      <c r="AQ286" s="4"/>
      <c r="AR286" s="4"/>
      <c r="AS286" s="5"/>
    </row>
    <row r="287" spans="2:45" x14ac:dyDescent="0.25">
      <c r="B287" s="109">
        <f>+H320-H315</f>
        <v>4.1500000000000004</v>
      </c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33"/>
      <c r="AP287" s="4"/>
      <c r="AQ287" s="4"/>
      <c r="AR287" s="4"/>
      <c r="AS287" s="5"/>
    </row>
    <row r="288" spans="2:45" x14ac:dyDescent="0.25">
      <c r="B288" s="109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33" t="s">
        <v>13</v>
      </c>
      <c r="AP288" s="4"/>
      <c r="AQ288" s="4"/>
      <c r="AR288" s="4"/>
      <c r="AS288" s="5"/>
    </row>
    <row r="289" spans="2:45" x14ac:dyDescent="0.25">
      <c r="B289" s="109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33" t="s">
        <v>12</v>
      </c>
      <c r="AP289" s="4"/>
      <c r="AQ289" s="4"/>
      <c r="AR289" s="4"/>
      <c r="AS289" s="5"/>
    </row>
    <row r="290" spans="2:45" x14ac:dyDescent="0.25">
      <c r="B290" s="3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33"/>
      <c r="AP290" s="4"/>
      <c r="AQ290" s="4"/>
      <c r="AR290" s="4"/>
      <c r="AS290" s="5"/>
    </row>
    <row r="291" spans="2:45" x14ac:dyDescent="0.25">
      <c r="B291" s="3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33"/>
      <c r="AP291" s="4"/>
      <c r="AQ291" s="4"/>
      <c r="AR291" s="4"/>
      <c r="AS291" s="5"/>
    </row>
    <row r="292" spans="2:45" x14ac:dyDescent="0.25">
      <c r="B292" s="3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33" t="s">
        <v>11</v>
      </c>
      <c r="AP292" s="4"/>
      <c r="AQ292" s="4"/>
      <c r="AR292" s="4"/>
      <c r="AS292" s="5"/>
    </row>
    <row r="293" spans="2:45" x14ac:dyDescent="0.25">
      <c r="B293" s="3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7" t="s">
        <v>21</v>
      </c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5"/>
    </row>
    <row r="294" spans="2:45" x14ac:dyDescent="0.25">
      <c r="B294" s="43" t="s">
        <v>21</v>
      </c>
      <c r="C294" s="50">
        <f>(B287*(TAN(AO325/2*PI()/180)*TAN(Z325/2*PI()/180))/(TAN(AO325/2*PI()/180)+TAN(Z325/2*PI()/180)))/TAN(Z325/2*PI()/180)</f>
        <v>0.22770673980142933</v>
      </c>
      <c r="D294" s="50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7" t="s">
        <v>21</v>
      </c>
      <c r="Z294" s="4"/>
      <c r="AA294" s="78">
        <f>AO327-((H320-H315)-Z327)</f>
        <v>7.59</v>
      </c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5"/>
    </row>
    <row r="295" spans="2:45" x14ac:dyDescent="0.25">
      <c r="B295" s="109">
        <f>(TAN((ATAN((H316-H318)/(F316+F318))*180/PI())*PI()/180)*F316)+(H315-H316)</f>
        <v>0.65841310160427813</v>
      </c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78">
        <f>+C294+B295+C297</f>
        <v>0.96370673980142929</v>
      </c>
      <c r="Z295" s="4"/>
      <c r="AA295" s="78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5"/>
    </row>
    <row r="296" spans="2:45" x14ac:dyDescent="0.25">
      <c r="B296" s="109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78"/>
      <c r="Z296" s="4"/>
      <c r="AA296" s="78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5"/>
    </row>
    <row r="297" spans="2:45" x14ac:dyDescent="0.25">
      <c r="B297" s="109"/>
      <c r="C297" s="50">
        <f>TAN((ATAN((H316-H318)/(F316+F318))*180/PI())*PI()/180)*F318</f>
        <v>7.7586898395721873E-2</v>
      </c>
      <c r="D297" s="50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78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5"/>
    </row>
    <row r="298" spans="2:45" x14ac:dyDescent="0.25">
      <c r="B298" s="3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5"/>
    </row>
    <row r="299" spans="2:45" x14ac:dyDescent="0.25">
      <c r="B299" s="3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5"/>
    </row>
    <row r="300" spans="2:45" x14ac:dyDescent="0.25">
      <c r="B300" s="3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5"/>
    </row>
    <row r="301" spans="2:45" x14ac:dyDescent="0.25">
      <c r="B301" s="3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5"/>
    </row>
    <row r="302" spans="2:45" x14ac:dyDescent="0.25">
      <c r="B302" s="3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5"/>
    </row>
    <row r="303" spans="2:45" x14ac:dyDescent="0.25">
      <c r="B303" s="3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5"/>
    </row>
    <row r="304" spans="2:45" x14ac:dyDescent="0.25">
      <c r="B304" s="3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5"/>
    </row>
    <row r="305" spans="2:45" x14ac:dyDescent="0.25">
      <c r="B305" s="3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5"/>
    </row>
    <row r="306" spans="2:45" x14ac:dyDescent="0.25">
      <c r="B306" s="3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5"/>
    </row>
    <row r="307" spans="2:45" x14ac:dyDescent="0.25">
      <c r="B307" s="3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5"/>
    </row>
    <row r="308" spans="2:45" x14ac:dyDescent="0.25">
      <c r="B308" s="3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5"/>
    </row>
    <row r="309" spans="2:45" x14ac:dyDescent="0.25">
      <c r="B309" s="3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5"/>
    </row>
    <row r="310" spans="2:45" x14ac:dyDescent="0.25">
      <c r="B310" s="3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50">
        <f>+AC327*2-2*F316</f>
        <v>7.8760000000000003</v>
      </c>
      <c r="N310" s="50"/>
      <c r="O310" s="4" t="s">
        <v>21</v>
      </c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5"/>
    </row>
    <row r="311" spans="2:45" x14ac:dyDescent="0.25">
      <c r="B311" s="3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5"/>
    </row>
    <row r="312" spans="2:45" x14ac:dyDescent="0.25">
      <c r="B312" s="3"/>
      <c r="C312" s="4"/>
      <c r="D312" s="4" t="s">
        <v>77</v>
      </c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AM312" s="4"/>
      <c r="AN312" s="4"/>
      <c r="AO312" s="4"/>
      <c r="AP312" s="4"/>
      <c r="AQ312" s="4"/>
      <c r="AR312" s="4"/>
      <c r="AS312" s="5"/>
    </row>
    <row r="313" spans="2:45" x14ac:dyDescent="0.25">
      <c r="B313" s="3"/>
      <c r="C313" s="4"/>
      <c r="D313" s="90" t="s">
        <v>0</v>
      </c>
      <c r="E313" s="90"/>
      <c r="F313" s="85" t="s">
        <v>8</v>
      </c>
      <c r="G313" s="85"/>
      <c r="H313" s="85" t="s">
        <v>9</v>
      </c>
      <c r="I313" s="85"/>
      <c r="J313" s="85" t="s">
        <v>10</v>
      </c>
      <c r="K313" s="85"/>
      <c r="L313" s="4"/>
      <c r="M313" s="4"/>
      <c r="N313" s="4"/>
      <c r="O313" s="8"/>
      <c r="P313" s="8"/>
      <c r="Q313" s="8"/>
      <c r="R313" s="8"/>
      <c r="S313" s="4"/>
      <c r="T313" s="4"/>
      <c r="AC313" s="100" t="s">
        <v>99</v>
      </c>
      <c r="AD313" s="101"/>
      <c r="AE313" s="101"/>
      <c r="AF313" s="101"/>
      <c r="AG313" s="101"/>
      <c r="AH313" s="101"/>
      <c r="AI313" s="101"/>
      <c r="AJ313" s="101"/>
      <c r="AK313" s="101"/>
      <c r="AL313" s="101"/>
      <c r="AM313" s="101"/>
      <c r="AN313" s="101"/>
      <c r="AO313" s="101"/>
      <c r="AP313" s="101"/>
      <c r="AQ313" s="102"/>
      <c r="AR313" s="4"/>
      <c r="AS313" s="5"/>
    </row>
    <row r="314" spans="2:45" ht="12" thickBot="1" x14ac:dyDescent="0.3">
      <c r="B314" s="3"/>
      <c r="C314" s="4"/>
      <c r="D314" s="91"/>
      <c r="E314" s="91"/>
      <c r="F314" s="87" t="s">
        <v>7</v>
      </c>
      <c r="G314" s="87"/>
      <c r="H314" s="87" t="s">
        <v>7</v>
      </c>
      <c r="I314" s="87"/>
      <c r="J314" s="87" t="s">
        <v>7</v>
      </c>
      <c r="K314" s="87"/>
      <c r="L314" s="4"/>
      <c r="M314" s="4"/>
      <c r="N314" s="4" t="s">
        <v>111</v>
      </c>
      <c r="O314" s="8"/>
      <c r="P314" s="8"/>
      <c r="Q314" s="8"/>
      <c r="R314" s="8"/>
      <c r="S314" s="4"/>
      <c r="T314" s="4"/>
      <c r="AC314" s="103"/>
      <c r="AD314" s="104"/>
      <c r="AE314" s="104"/>
      <c r="AF314" s="104"/>
      <c r="AG314" s="104"/>
      <c r="AH314" s="104"/>
      <c r="AI314" s="104"/>
      <c r="AJ314" s="104"/>
      <c r="AK314" s="104"/>
      <c r="AL314" s="104"/>
      <c r="AM314" s="104"/>
      <c r="AN314" s="104"/>
      <c r="AO314" s="104"/>
      <c r="AP314" s="104"/>
      <c r="AQ314" s="105"/>
      <c r="AR314" s="4"/>
      <c r="AS314" s="5"/>
    </row>
    <row r="315" spans="2:45" ht="12" thickTop="1" x14ac:dyDescent="0.25">
      <c r="B315" s="3"/>
      <c r="C315" s="4"/>
      <c r="D315" s="96" t="s">
        <v>1</v>
      </c>
      <c r="E315" s="96"/>
      <c r="F315" s="92">
        <v>0</v>
      </c>
      <c r="G315" s="92"/>
      <c r="H315" s="88">
        <v>2.0960000000000001</v>
      </c>
      <c r="I315" s="88"/>
      <c r="J315" s="88">
        <v>3</v>
      </c>
      <c r="K315" s="88"/>
      <c r="L315" s="4"/>
      <c r="M315" s="4"/>
      <c r="N315" s="4"/>
      <c r="O315" s="4"/>
      <c r="P315" s="4"/>
      <c r="Q315" s="4"/>
      <c r="R315" s="4"/>
      <c r="S315" s="4"/>
      <c r="T315" s="4"/>
      <c r="AC315" s="97" t="s">
        <v>15</v>
      </c>
      <c r="AD315" s="63"/>
      <c r="AE315" s="81">
        <v>0.1</v>
      </c>
      <c r="AF315" s="82"/>
      <c r="AG315" s="9" t="s">
        <v>21</v>
      </c>
      <c r="AH315" s="10" t="s">
        <v>104</v>
      </c>
      <c r="AI315" s="11"/>
      <c r="AJ315" s="11"/>
      <c r="AK315" s="11"/>
      <c r="AL315" s="11"/>
      <c r="AM315" s="11"/>
      <c r="AN315" s="11"/>
      <c r="AO315" s="11"/>
      <c r="AP315" s="11"/>
      <c r="AQ315" s="9"/>
      <c r="AR315" s="4"/>
      <c r="AS315" s="5"/>
    </row>
    <row r="316" spans="2:45" x14ac:dyDescent="0.25">
      <c r="B316" s="3"/>
      <c r="C316" s="4"/>
      <c r="D316" s="85" t="s">
        <v>4</v>
      </c>
      <c r="E316" s="85"/>
      <c r="F316" s="86">
        <v>1.9319999999999999</v>
      </c>
      <c r="G316" s="86"/>
      <c r="H316" s="86">
        <v>1.579</v>
      </c>
      <c r="I316" s="86"/>
      <c r="J316" s="86">
        <v>5</v>
      </c>
      <c r="K316" s="86"/>
      <c r="L316" s="4"/>
      <c r="M316" s="4"/>
      <c r="N316" s="4"/>
      <c r="O316" s="4"/>
      <c r="P316" s="4"/>
      <c r="Q316" s="4"/>
      <c r="R316" s="4"/>
      <c r="S316" s="4"/>
      <c r="T316" s="4"/>
      <c r="AC316" s="98" t="s">
        <v>14</v>
      </c>
      <c r="AD316" s="99"/>
      <c r="AE316" s="83">
        <v>0.3</v>
      </c>
      <c r="AF316" s="84"/>
      <c r="AG316" s="12" t="s">
        <v>21</v>
      </c>
      <c r="AH316" s="13" t="s">
        <v>96</v>
      </c>
      <c r="AI316" s="14"/>
      <c r="AJ316" s="14"/>
      <c r="AK316" s="14"/>
      <c r="AL316" s="14"/>
      <c r="AM316" s="14"/>
      <c r="AN316" s="14"/>
      <c r="AO316" s="14"/>
      <c r="AP316" s="14"/>
      <c r="AQ316" s="12"/>
      <c r="AR316" s="4"/>
      <c r="AS316" s="5"/>
    </row>
    <row r="317" spans="2:45" x14ac:dyDescent="0.25">
      <c r="B317" s="3"/>
      <c r="C317" s="4"/>
      <c r="D317" s="85" t="s">
        <v>5</v>
      </c>
      <c r="E317" s="85"/>
      <c r="F317" s="85">
        <f>-F316</f>
        <v>-1.9319999999999999</v>
      </c>
      <c r="G317" s="85"/>
      <c r="H317" s="85">
        <f>+H316</f>
        <v>1.579</v>
      </c>
      <c r="I317" s="85"/>
      <c r="J317" s="89">
        <f>+J316</f>
        <v>5</v>
      </c>
      <c r="K317" s="89"/>
      <c r="L317" s="4"/>
      <c r="M317" s="4"/>
      <c r="N317" s="4"/>
      <c r="O317" s="4"/>
      <c r="P317" s="4"/>
      <c r="Q317" s="4"/>
      <c r="R317" s="4"/>
      <c r="S317" s="4"/>
      <c r="T317" s="4"/>
      <c r="AC317" s="98" t="s">
        <v>13</v>
      </c>
      <c r="AD317" s="99"/>
      <c r="AE317" s="83">
        <v>0.02</v>
      </c>
      <c r="AF317" s="84"/>
      <c r="AG317" s="12" t="s">
        <v>21</v>
      </c>
      <c r="AH317" s="13" t="s">
        <v>97</v>
      </c>
      <c r="AI317" s="14"/>
      <c r="AJ317" s="14"/>
      <c r="AK317" s="14"/>
      <c r="AL317" s="14"/>
      <c r="AM317" s="14"/>
      <c r="AN317" s="14"/>
      <c r="AO317" s="14"/>
      <c r="AP317" s="14"/>
      <c r="AQ317" s="12"/>
      <c r="AR317" s="4"/>
      <c r="AS317" s="5"/>
    </row>
    <row r="318" spans="2:45" x14ac:dyDescent="0.25">
      <c r="B318" s="3"/>
      <c r="C318" s="4"/>
      <c r="D318" s="85" t="s">
        <v>3</v>
      </c>
      <c r="E318" s="85"/>
      <c r="F318" s="86">
        <v>1.06</v>
      </c>
      <c r="G318" s="86"/>
      <c r="H318" s="86">
        <v>1.36</v>
      </c>
      <c r="I318" s="86"/>
      <c r="J318" s="86">
        <v>2</v>
      </c>
      <c r="K318" s="86"/>
      <c r="L318" s="4"/>
      <c r="M318" s="4"/>
      <c r="N318" s="4"/>
      <c r="O318" s="4"/>
      <c r="P318" s="4"/>
      <c r="Q318" s="4"/>
      <c r="R318" s="4"/>
      <c r="S318" s="4"/>
      <c r="T318" s="4"/>
      <c r="AC318" s="98" t="s">
        <v>12</v>
      </c>
      <c r="AD318" s="99"/>
      <c r="AE318" s="83">
        <v>0.05</v>
      </c>
      <c r="AF318" s="84"/>
      <c r="AG318" s="12" t="s">
        <v>21</v>
      </c>
      <c r="AH318" s="13" t="s">
        <v>105</v>
      </c>
      <c r="AI318" s="14"/>
      <c r="AJ318" s="14"/>
      <c r="AK318" s="14"/>
      <c r="AL318" s="14"/>
      <c r="AM318" s="14"/>
      <c r="AN318" s="14"/>
      <c r="AO318" s="14"/>
      <c r="AP318" s="14"/>
      <c r="AQ318" s="12"/>
      <c r="AR318" s="4"/>
      <c r="AS318" s="5"/>
    </row>
    <row r="319" spans="2:45" x14ac:dyDescent="0.25">
      <c r="B319" s="3"/>
      <c r="C319" s="4"/>
      <c r="D319" s="85" t="s">
        <v>2</v>
      </c>
      <c r="E319" s="85"/>
      <c r="F319" s="85">
        <f>-F318</f>
        <v>-1.06</v>
      </c>
      <c r="G319" s="85"/>
      <c r="H319" s="85">
        <f>+H318</f>
        <v>1.36</v>
      </c>
      <c r="I319" s="85"/>
      <c r="J319" s="89">
        <f>+J318</f>
        <v>2</v>
      </c>
      <c r="K319" s="89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C319" s="98" t="s">
        <v>11</v>
      </c>
      <c r="AD319" s="99"/>
      <c r="AE319" s="83">
        <v>0.4</v>
      </c>
      <c r="AF319" s="84"/>
      <c r="AG319" s="12" t="s">
        <v>21</v>
      </c>
      <c r="AH319" s="13" t="s">
        <v>98</v>
      </c>
      <c r="AI319" s="14"/>
      <c r="AJ319" s="14"/>
      <c r="AK319" s="14"/>
      <c r="AL319" s="14"/>
      <c r="AM319" s="14"/>
      <c r="AN319" s="14"/>
      <c r="AO319" s="14"/>
      <c r="AP319" s="14"/>
      <c r="AQ319" s="12"/>
      <c r="AR319" s="4"/>
      <c r="AS319" s="5"/>
    </row>
    <row r="320" spans="2:45" x14ac:dyDescent="0.25">
      <c r="B320" s="3"/>
      <c r="C320" s="4"/>
      <c r="D320" s="85" t="s">
        <v>6</v>
      </c>
      <c r="E320" s="85"/>
      <c r="F320" s="89">
        <v>0</v>
      </c>
      <c r="G320" s="89"/>
      <c r="H320" s="86">
        <v>6.2460000000000004</v>
      </c>
      <c r="I320" s="86"/>
      <c r="J320" s="86">
        <v>7</v>
      </c>
      <c r="K320" s="86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5"/>
    </row>
    <row r="321" spans="2:73" x14ac:dyDescent="0.25">
      <c r="B321" s="3"/>
      <c r="C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5"/>
    </row>
    <row r="322" spans="2:73" x14ac:dyDescent="0.25">
      <c r="B322" s="3"/>
      <c r="C322" s="4"/>
      <c r="D322" s="15" t="s">
        <v>119</v>
      </c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5"/>
    </row>
    <row r="323" spans="2:73" x14ac:dyDescent="0.25">
      <c r="B323" s="3"/>
      <c r="C323" s="4"/>
      <c r="D323" s="16" t="s">
        <v>16</v>
      </c>
      <c r="E323" s="4"/>
      <c r="F323" s="4"/>
      <c r="G323" s="4"/>
      <c r="H323" s="4"/>
      <c r="I323" s="4"/>
      <c r="J323" s="50">
        <f>+AE315</f>
        <v>0.1</v>
      </c>
      <c r="K323" s="50"/>
      <c r="L323" s="4" t="s">
        <v>21</v>
      </c>
      <c r="M323" s="4"/>
      <c r="N323" s="4"/>
      <c r="O323" s="4"/>
      <c r="P323" s="100" t="s">
        <v>28</v>
      </c>
      <c r="Q323" s="101"/>
      <c r="R323" s="101"/>
      <c r="S323" s="101"/>
      <c r="T323" s="101"/>
      <c r="U323" s="101"/>
      <c r="V323" s="101"/>
      <c r="W323" s="101"/>
      <c r="X323" s="101"/>
      <c r="Y323" s="102"/>
      <c r="Z323" s="69" t="s">
        <v>1</v>
      </c>
      <c r="AA323" s="70"/>
      <c r="AB323" s="71"/>
      <c r="AC323" s="69" t="s">
        <v>4</v>
      </c>
      <c r="AD323" s="70"/>
      <c r="AE323" s="71"/>
      <c r="AF323" s="69" t="s">
        <v>5</v>
      </c>
      <c r="AG323" s="70"/>
      <c r="AH323" s="71"/>
      <c r="AI323" s="69" t="s">
        <v>3</v>
      </c>
      <c r="AJ323" s="70"/>
      <c r="AK323" s="71"/>
      <c r="AL323" s="69" t="s">
        <v>2</v>
      </c>
      <c r="AM323" s="70"/>
      <c r="AN323" s="71"/>
      <c r="AO323" s="69" t="s">
        <v>6</v>
      </c>
      <c r="AP323" s="70"/>
      <c r="AQ323" s="71"/>
      <c r="AR323" s="4"/>
      <c r="AS323" s="5"/>
    </row>
    <row r="324" spans="2:73" ht="12" thickBot="1" x14ac:dyDescent="0.3">
      <c r="B324" s="3"/>
      <c r="C324" s="4"/>
      <c r="D324" s="16" t="s">
        <v>17</v>
      </c>
      <c r="E324" s="4"/>
      <c r="F324" s="4"/>
      <c r="G324" s="4"/>
      <c r="H324" s="4"/>
      <c r="I324" s="4"/>
      <c r="J324" s="50">
        <f>+AE316</f>
        <v>0.3</v>
      </c>
      <c r="K324" s="50"/>
      <c r="L324" s="4" t="s">
        <v>21</v>
      </c>
      <c r="M324" s="4"/>
      <c r="N324" s="4"/>
      <c r="O324" s="4"/>
      <c r="P324" s="103"/>
      <c r="Q324" s="104"/>
      <c r="R324" s="104"/>
      <c r="S324" s="104"/>
      <c r="T324" s="104"/>
      <c r="U324" s="104"/>
      <c r="V324" s="104"/>
      <c r="W324" s="104"/>
      <c r="X324" s="104"/>
      <c r="Y324" s="105"/>
      <c r="Z324" s="72"/>
      <c r="AA324" s="73"/>
      <c r="AB324" s="74"/>
      <c r="AC324" s="72"/>
      <c r="AD324" s="73"/>
      <c r="AE324" s="74"/>
      <c r="AF324" s="72"/>
      <c r="AG324" s="73"/>
      <c r="AH324" s="74"/>
      <c r="AI324" s="72"/>
      <c r="AJ324" s="73"/>
      <c r="AK324" s="74"/>
      <c r="AL324" s="72"/>
      <c r="AM324" s="73"/>
      <c r="AN324" s="74"/>
      <c r="AO324" s="72"/>
      <c r="AP324" s="73"/>
      <c r="AQ324" s="74"/>
      <c r="AR324" s="4"/>
      <c r="AS324" s="5"/>
    </row>
    <row r="325" spans="2:73" ht="12" thickTop="1" x14ac:dyDescent="0.25">
      <c r="B325" s="3"/>
      <c r="C325" s="4"/>
      <c r="D325" s="16" t="s">
        <v>22</v>
      </c>
      <c r="E325" s="4"/>
      <c r="F325" s="4"/>
      <c r="G325" s="4"/>
      <c r="H325" s="4"/>
      <c r="I325" s="4"/>
      <c r="J325" s="50">
        <f>+AE317</f>
        <v>0.02</v>
      </c>
      <c r="K325" s="50"/>
      <c r="L325" s="4" t="s">
        <v>21</v>
      </c>
      <c r="M325" s="4"/>
      <c r="N325" s="4"/>
      <c r="O325" s="4"/>
      <c r="P325" s="10" t="s">
        <v>23</v>
      </c>
      <c r="Q325" s="11"/>
      <c r="R325" s="11"/>
      <c r="S325" s="11"/>
      <c r="T325" s="11"/>
      <c r="U325" s="11"/>
      <c r="V325" s="11"/>
      <c r="W325" s="11"/>
      <c r="X325" s="11"/>
      <c r="Y325" s="9"/>
      <c r="Z325" s="62">
        <f>180-2*(ATAN((H315-H316)/F316)*180/PI())</f>
        <v>150.03751441614895</v>
      </c>
      <c r="AA325" s="62"/>
      <c r="AB325" s="62"/>
      <c r="AC325" s="62">
        <f>(ATAN((H315-H316)/F316)*180/PI())+(ATAN((H316-H318)/(F316+F318))*180/PI())</f>
        <v>19.167552647135842</v>
      </c>
      <c r="AD325" s="62"/>
      <c r="AE325" s="62"/>
      <c r="AF325" s="62">
        <f>+AC325</f>
        <v>19.167552647135842</v>
      </c>
      <c r="AG325" s="62"/>
      <c r="AH325" s="62"/>
      <c r="AI325" s="62">
        <f>90-AO325/2-(ATAN((H316-H318)/(F316+F318))*180/PI())</f>
        <v>73.57326071917349</v>
      </c>
      <c r="AJ325" s="62"/>
      <c r="AK325" s="62"/>
      <c r="AL325" s="62">
        <f>+AI325</f>
        <v>73.57326071917349</v>
      </c>
      <c r="AM325" s="62"/>
      <c r="AN325" s="62"/>
      <c r="AO325" s="62">
        <f>2*ATAN(F318/(H320-H318))*180/PI()</f>
        <v>24.480858851232373</v>
      </c>
      <c r="AP325" s="62"/>
      <c r="AQ325" s="62"/>
      <c r="AR325" s="4"/>
      <c r="AS325" s="5"/>
    </row>
    <row r="326" spans="2:73" x14ac:dyDescent="0.25">
      <c r="B326" s="3"/>
      <c r="C326" s="4"/>
      <c r="D326" s="16" t="s">
        <v>18</v>
      </c>
      <c r="E326" s="4"/>
      <c r="F326" s="4"/>
      <c r="G326" s="4"/>
      <c r="H326" s="4"/>
      <c r="I326" s="4"/>
      <c r="J326" s="50">
        <f>+AE318</f>
        <v>0.05</v>
      </c>
      <c r="K326" s="50"/>
      <c r="L326" s="4" t="s">
        <v>21</v>
      </c>
      <c r="M326" s="4"/>
      <c r="N326" s="4"/>
      <c r="O326" s="4"/>
      <c r="P326" s="13" t="s">
        <v>24</v>
      </c>
      <c r="Q326" s="14"/>
      <c r="R326" s="14"/>
      <c r="S326" s="14"/>
      <c r="T326" s="14"/>
      <c r="U326" s="14"/>
      <c r="V326" s="14"/>
      <c r="W326" s="14"/>
      <c r="X326" s="14"/>
      <c r="Y326" s="12"/>
      <c r="Z326" s="54">
        <f>+J315</f>
        <v>3</v>
      </c>
      <c r="AA326" s="54"/>
      <c r="AB326" s="54"/>
      <c r="AC326" s="54">
        <f>+J316</f>
        <v>5</v>
      </c>
      <c r="AD326" s="54"/>
      <c r="AE326" s="54"/>
      <c r="AF326" s="54">
        <f>+J317</f>
        <v>5</v>
      </c>
      <c r="AG326" s="54"/>
      <c r="AH326" s="54"/>
      <c r="AI326" s="54">
        <f>+J318</f>
        <v>2</v>
      </c>
      <c r="AJ326" s="54"/>
      <c r="AK326" s="54"/>
      <c r="AL326" s="54">
        <f>+J319</f>
        <v>2</v>
      </c>
      <c r="AM326" s="54"/>
      <c r="AN326" s="54"/>
      <c r="AO326" s="54">
        <f>+J320</f>
        <v>7</v>
      </c>
      <c r="AP326" s="54"/>
      <c r="AQ326" s="54"/>
      <c r="AR326" s="4"/>
      <c r="AS326" s="5"/>
    </row>
    <row r="327" spans="2:73" x14ac:dyDescent="0.25">
      <c r="B327" s="3"/>
      <c r="C327" s="4"/>
      <c r="D327" s="16" t="s">
        <v>19</v>
      </c>
      <c r="E327" s="4"/>
      <c r="F327" s="4"/>
      <c r="G327" s="4"/>
      <c r="H327" s="4"/>
      <c r="I327" s="4"/>
      <c r="J327" s="63">
        <f>+AE319</f>
        <v>0.4</v>
      </c>
      <c r="K327" s="63"/>
      <c r="L327" s="11" t="s">
        <v>21</v>
      </c>
      <c r="M327" s="4"/>
      <c r="N327" s="4"/>
      <c r="O327" s="4"/>
      <c r="P327" s="13" t="s">
        <v>25</v>
      </c>
      <c r="Q327" s="14"/>
      <c r="R327" s="14"/>
      <c r="S327" s="14"/>
      <c r="T327" s="14"/>
      <c r="U327" s="14"/>
      <c r="V327" s="14"/>
      <c r="W327" s="14"/>
      <c r="X327" s="14"/>
      <c r="Y327" s="12"/>
      <c r="Z327" s="54">
        <f>+Z326+J328</f>
        <v>3.87</v>
      </c>
      <c r="AA327" s="54"/>
      <c r="AB327" s="54"/>
      <c r="AC327" s="54">
        <f>+AC326+J328</f>
        <v>5.87</v>
      </c>
      <c r="AD327" s="54"/>
      <c r="AE327" s="54"/>
      <c r="AF327" s="54">
        <f>+AF326+J328</f>
        <v>5.87</v>
      </c>
      <c r="AG327" s="54"/>
      <c r="AH327" s="54"/>
      <c r="AI327" s="54">
        <f>+AI326+J328</f>
        <v>2.87</v>
      </c>
      <c r="AJ327" s="54"/>
      <c r="AK327" s="54"/>
      <c r="AL327" s="54">
        <f>+J328+AL326</f>
        <v>2.87</v>
      </c>
      <c r="AM327" s="54"/>
      <c r="AN327" s="54"/>
      <c r="AO327" s="54">
        <f>+J328+AO326</f>
        <v>7.87</v>
      </c>
      <c r="AP327" s="54"/>
      <c r="AQ327" s="54"/>
      <c r="AR327" s="4"/>
      <c r="AS327" s="5"/>
    </row>
    <row r="328" spans="2:73" x14ac:dyDescent="0.25">
      <c r="B328" s="3"/>
      <c r="C328" s="4"/>
      <c r="D328" s="16" t="s">
        <v>20</v>
      </c>
      <c r="E328" s="4"/>
      <c r="F328" s="4"/>
      <c r="G328" s="4"/>
      <c r="H328" s="4"/>
      <c r="I328" s="4"/>
      <c r="J328" s="50">
        <f>SUM(J323:K327)</f>
        <v>0.87000000000000011</v>
      </c>
      <c r="K328" s="50"/>
      <c r="L328" s="4" t="s">
        <v>21</v>
      </c>
      <c r="M328" s="4"/>
      <c r="N328" s="4"/>
      <c r="O328" s="4"/>
      <c r="P328" s="13" t="s">
        <v>26</v>
      </c>
      <c r="Q328" s="14"/>
      <c r="R328" s="14"/>
      <c r="S328" s="14"/>
      <c r="T328" s="14"/>
      <c r="U328" s="14"/>
      <c r="V328" s="14"/>
      <c r="W328" s="14"/>
      <c r="X328" s="14"/>
      <c r="Y328" s="12"/>
      <c r="Z328" s="54">
        <f>PI()*Z327^2*Z325/360</f>
        <v>19.609619318872717</v>
      </c>
      <c r="AA328" s="54"/>
      <c r="AB328" s="54"/>
      <c r="AC328" s="54">
        <f t="shared" ref="AC328" si="51">PI()*AC327^2*AC325/360</f>
        <v>5.763552310657488</v>
      </c>
      <c r="AD328" s="54"/>
      <c r="AE328" s="54"/>
      <c r="AF328" s="54">
        <f t="shared" ref="AF328" si="52">PI()*AF327^2*AF325/360</f>
        <v>5.763552310657488</v>
      </c>
      <c r="AG328" s="54"/>
      <c r="AH328" s="54"/>
      <c r="AI328" s="54">
        <f t="shared" ref="AI328" si="53">PI()*AI327^2*AI325/360</f>
        <v>5.2884836925849728</v>
      </c>
      <c r="AJ328" s="54"/>
      <c r="AK328" s="54"/>
      <c r="AL328" s="54">
        <f t="shared" ref="AL328" si="54">PI()*AL327^2*AL325/360</f>
        <v>5.2884836925849728</v>
      </c>
      <c r="AM328" s="54"/>
      <c r="AN328" s="54"/>
      <c r="AO328" s="54">
        <f t="shared" ref="AO328" si="55">PI()*AO327^2*AO325/360</f>
        <v>13.231938892084409</v>
      </c>
      <c r="AP328" s="54"/>
      <c r="AQ328" s="54"/>
      <c r="AR328" s="4"/>
      <c r="AS328" s="5"/>
    </row>
    <row r="329" spans="2:73" x14ac:dyDescent="0.25">
      <c r="B329" s="3"/>
      <c r="C329" s="4"/>
      <c r="M329" s="4"/>
      <c r="N329" s="4"/>
      <c r="O329" s="4"/>
      <c r="P329" s="13" t="s">
        <v>27</v>
      </c>
      <c r="Q329" s="14"/>
      <c r="R329" s="14"/>
      <c r="S329" s="14"/>
      <c r="T329" s="14"/>
      <c r="U329" s="14"/>
      <c r="V329" s="14"/>
      <c r="W329" s="14"/>
      <c r="X329" s="14"/>
      <c r="Y329" s="12"/>
      <c r="Z329" s="46">
        <f>SUM(Z328:AQ328)</f>
        <v>54.945630217442051</v>
      </c>
      <c r="AA329" s="47"/>
      <c r="AB329" s="47"/>
      <c r="AC329" s="47"/>
      <c r="AD329" s="47"/>
      <c r="AE329" s="47"/>
      <c r="AF329" s="47"/>
      <c r="AG329" s="47"/>
      <c r="AH329" s="47"/>
      <c r="AI329" s="47"/>
      <c r="AJ329" s="47"/>
      <c r="AK329" s="47"/>
      <c r="AL329" s="47"/>
      <c r="AM329" s="47"/>
      <c r="AN329" s="47"/>
      <c r="AO329" s="47"/>
      <c r="AP329" s="47"/>
      <c r="AQ329" s="48"/>
      <c r="AR329" s="4"/>
      <c r="AS329" s="5"/>
    </row>
    <row r="330" spans="2:73" x14ac:dyDescent="0.25">
      <c r="B330" s="3" t="s">
        <v>29</v>
      </c>
      <c r="C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5"/>
    </row>
    <row r="331" spans="2:73" x14ac:dyDescent="0.25">
      <c r="B331" s="106">
        <f>+N277</f>
        <v>1.7018546278389217</v>
      </c>
      <c r="C331" s="107"/>
      <c r="D331" s="37" t="s">
        <v>30</v>
      </c>
      <c r="E331" s="107">
        <f>+B287</f>
        <v>4.1500000000000004</v>
      </c>
      <c r="F331" s="107"/>
      <c r="G331" s="37" t="s">
        <v>31</v>
      </c>
      <c r="H331" s="17">
        <v>2</v>
      </c>
      <c r="I331" s="34" t="s">
        <v>33</v>
      </c>
      <c r="J331" s="107">
        <f>+B295</f>
        <v>0.65841310160427813</v>
      </c>
      <c r="K331" s="107"/>
      <c r="L331" s="37" t="s">
        <v>30</v>
      </c>
      <c r="M331" s="107">
        <f>2*F316</f>
        <v>3.8639999999999999</v>
      </c>
      <c r="N331" s="107"/>
      <c r="O331" s="37" t="s">
        <v>31</v>
      </c>
      <c r="P331" s="17">
        <v>2</v>
      </c>
      <c r="Q331" s="18" t="s">
        <v>125</v>
      </c>
      <c r="R331" s="108">
        <f>+N277</f>
        <v>1.7018546278389217</v>
      </c>
      <c r="S331" s="108"/>
      <c r="T331" s="38" t="s">
        <v>33</v>
      </c>
      <c r="U331" s="108">
        <f>2*F318</f>
        <v>2.12</v>
      </c>
      <c r="V331" s="108"/>
      <c r="W331" s="17" t="s">
        <v>34</v>
      </c>
      <c r="X331" s="38">
        <v>2</v>
      </c>
      <c r="Y331" s="18" t="s">
        <v>30</v>
      </c>
      <c r="Z331" s="49">
        <f>+Y295</f>
        <v>0.96370673980142929</v>
      </c>
      <c r="AA331" s="108"/>
      <c r="AB331" s="34" t="s">
        <v>39</v>
      </c>
      <c r="AC331" s="107">
        <f>+N277</f>
        <v>1.7018546278389217</v>
      </c>
      <c r="AD331" s="107"/>
      <c r="AE331" s="37" t="s">
        <v>30</v>
      </c>
      <c r="AF331" s="107">
        <f>+C294</f>
        <v>0.22770673980142933</v>
      </c>
      <c r="AG331" s="107"/>
      <c r="AH331" s="37" t="s">
        <v>31</v>
      </c>
      <c r="AI331" s="17">
        <v>2</v>
      </c>
      <c r="AJ331" s="34" t="s">
        <v>39</v>
      </c>
      <c r="AK331" s="107">
        <f>2*F318</f>
        <v>2.12</v>
      </c>
      <c r="AL331" s="107"/>
      <c r="AM331" s="37" t="s">
        <v>30</v>
      </c>
      <c r="AN331" s="107">
        <f>+C297</f>
        <v>7.7586898395721873E-2</v>
      </c>
      <c r="AO331" s="107"/>
      <c r="AP331" s="37" t="s">
        <v>31</v>
      </c>
      <c r="AQ331" s="17">
        <v>2</v>
      </c>
      <c r="AR331" s="16" t="s">
        <v>36</v>
      </c>
      <c r="AS331" s="5"/>
    </row>
    <row r="332" spans="2:73" x14ac:dyDescent="0.25">
      <c r="B332" s="36" t="s">
        <v>38</v>
      </c>
      <c r="C332" s="107">
        <f>B331*E331/H331+J331*M331/P331+((R331+U331)/X331*Z331-AC331*AF331/AI331-AK331*AN331/AQ331)</f>
        <v>6.3689720000000012</v>
      </c>
      <c r="D332" s="107"/>
      <c r="E332" s="16" t="s">
        <v>37</v>
      </c>
      <c r="F332" s="37"/>
      <c r="G332" s="37"/>
      <c r="H332" s="17"/>
      <c r="T332" s="17"/>
      <c r="U332" s="108"/>
      <c r="V332" s="108"/>
      <c r="W332" s="38"/>
      <c r="X332" s="108"/>
      <c r="Y332" s="108"/>
      <c r="Z332" s="17"/>
      <c r="AA332" s="38"/>
      <c r="AB332" s="35"/>
      <c r="AC332" s="49"/>
      <c r="AD332" s="108"/>
      <c r="AE332" s="17"/>
      <c r="AF332" s="108"/>
      <c r="AG332" s="108"/>
      <c r="AH332" s="38"/>
      <c r="AI332" s="108"/>
      <c r="AJ332" s="108"/>
      <c r="AK332" s="17"/>
      <c r="AL332" s="38"/>
      <c r="AM332" s="35"/>
      <c r="AN332" s="49"/>
      <c r="AO332" s="108"/>
      <c r="AP332" s="16"/>
      <c r="AS332" s="5"/>
    </row>
    <row r="333" spans="2:73" x14ac:dyDescent="0.2">
      <c r="B333" s="3"/>
      <c r="C333" s="20" t="s">
        <v>117</v>
      </c>
      <c r="D333" s="16"/>
      <c r="E333" s="16"/>
      <c r="F333" s="16"/>
      <c r="G333" s="16"/>
      <c r="I333" s="49">
        <f>+Z329</f>
        <v>54.945630217442051</v>
      </c>
      <c r="J333" s="49"/>
      <c r="K333" s="49"/>
      <c r="L333" s="37" t="s">
        <v>39</v>
      </c>
      <c r="M333" s="49">
        <f>C332</f>
        <v>6.3689720000000012</v>
      </c>
      <c r="N333" s="49"/>
      <c r="O333" s="37" t="s">
        <v>38</v>
      </c>
      <c r="P333" s="64">
        <f>+I333-M333</f>
        <v>48.576658217442052</v>
      </c>
      <c r="Q333" s="64"/>
      <c r="R333" s="20" t="s">
        <v>102</v>
      </c>
      <c r="T333" s="2" t="s">
        <v>103</v>
      </c>
      <c r="W333" s="21"/>
      <c r="X333" s="21"/>
      <c r="Y333" s="16"/>
      <c r="Z333" s="16"/>
      <c r="AA333" s="16"/>
      <c r="AB333" s="16"/>
      <c r="AC333" s="21"/>
      <c r="AD333" s="21"/>
      <c r="AE333" s="21"/>
      <c r="AF333" s="21"/>
      <c r="AG333" s="21"/>
      <c r="AH333" s="21"/>
      <c r="AI333" s="21"/>
      <c r="AJ333" s="21"/>
      <c r="AK333" s="21"/>
      <c r="AL333" s="21"/>
      <c r="AM333" s="17"/>
      <c r="AN333" s="17"/>
      <c r="AO333" s="17"/>
      <c r="AP333" s="17"/>
      <c r="AQ333" s="22"/>
      <c r="AR333" s="22"/>
      <c r="AS333" s="23"/>
      <c r="AW333" s="44"/>
      <c r="AX333" s="44"/>
      <c r="AY333" s="44"/>
      <c r="AZ333" s="44"/>
      <c r="BA333" s="44"/>
      <c r="BB333" s="44"/>
      <c r="BC333" s="44"/>
      <c r="BD333" s="44"/>
      <c r="BE333" s="44"/>
      <c r="BF333" s="44"/>
      <c r="BG333" s="44"/>
      <c r="BH333" s="44"/>
      <c r="BI333" s="44"/>
      <c r="BJ333" s="44"/>
      <c r="BK333" s="44"/>
      <c r="BL333" s="44"/>
      <c r="BM333" s="44"/>
      <c r="BN333" s="44"/>
      <c r="BO333" s="44"/>
      <c r="BP333" s="44"/>
      <c r="BQ333" s="44"/>
      <c r="BR333" s="44"/>
      <c r="BS333" s="44"/>
      <c r="BT333" s="44"/>
      <c r="BU333" s="44"/>
    </row>
    <row r="334" spans="2:73" x14ac:dyDescent="0.2">
      <c r="B334" s="3"/>
      <c r="C334" s="20"/>
      <c r="D334" s="16"/>
      <c r="E334" s="16"/>
      <c r="F334" s="16"/>
      <c r="G334" s="16"/>
      <c r="I334" s="35"/>
      <c r="J334" s="35"/>
      <c r="K334" s="35"/>
      <c r="L334" s="37"/>
      <c r="M334" s="35"/>
      <c r="N334" s="35"/>
      <c r="O334" s="37"/>
      <c r="P334" s="39"/>
      <c r="Q334" s="39"/>
      <c r="R334" s="20"/>
      <c r="W334" s="21"/>
      <c r="X334" s="21"/>
      <c r="Y334" s="16"/>
      <c r="Z334" s="16"/>
      <c r="AA334" s="16"/>
      <c r="AB334" s="16"/>
      <c r="AC334" s="21"/>
      <c r="AD334" s="21"/>
      <c r="AE334" s="21"/>
      <c r="AF334" s="21"/>
      <c r="AG334" s="21"/>
      <c r="AH334" s="21"/>
      <c r="AI334" s="21"/>
      <c r="AJ334" s="21"/>
      <c r="AK334" s="21"/>
      <c r="AL334" s="21"/>
      <c r="AM334" s="17"/>
      <c r="AN334" s="17"/>
      <c r="AO334" s="17"/>
      <c r="AP334" s="17"/>
      <c r="AQ334" s="22"/>
      <c r="AR334" s="22"/>
      <c r="AS334" s="23"/>
      <c r="AW334" s="44"/>
      <c r="AX334" s="44"/>
      <c r="AY334" s="44"/>
      <c r="AZ334" s="44"/>
      <c r="BA334" s="44"/>
      <c r="BB334" s="44"/>
      <c r="BC334" s="44"/>
      <c r="BD334" s="44"/>
      <c r="BE334" s="44"/>
      <c r="BF334" s="44"/>
      <c r="BG334" s="44"/>
      <c r="BH334" s="44"/>
      <c r="BI334" s="44"/>
      <c r="BJ334" s="44"/>
      <c r="BK334" s="44"/>
      <c r="BL334" s="44"/>
      <c r="BM334" s="44"/>
      <c r="BN334" s="44"/>
      <c r="BO334" s="44"/>
      <c r="BP334" s="44"/>
      <c r="BQ334" s="44"/>
      <c r="BR334" s="44"/>
      <c r="BS334" s="44"/>
      <c r="BT334" s="44"/>
      <c r="BU334" s="44"/>
    </row>
    <row r="335" spans="2:73" x14ac:dyDescent="0.25">
      <c r="B335" s="3"/>
      <c r="C335" s="4"/>
      <c r="D335" s="15" t="s">
        <v>118</v>
      </c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5"/>
    </row>
    <row r="336" spans="2:73" x14ac:dyDescent="0.25">
      <c r="B336" s="3"/>
      <c r="C336" s="4"/>
      <c r="D336" s="16" t="s">
        <v>41</v>
      </c>
      <c r="L336" s="50">
        <f>+AE316/2</f>
        <v>0.15</v>
      </c>
      <c r="M336" s="50"/>
      <c r="N336" s="4" t="s">
        <v>21</v>
      </c>
      <c r="P336" s="55" t="s">
        <v>42</v>
      </c>
      <c r="Q336" s="56"/>
      <c r="R336" s="56"/>
      <c r="S336" s="56"/>
      <c r="T336" s="56"/>
      <c r="U336" s="56"/>
      <c r="V336" s="56"/>
      <c r="W336" s="56"/>
      <c r="X336" s="56"/>
      <c r="Y336" s="57"/>
      <c r="Z336" s="69" t="s">
        <v>1</v>
      </c>
      <c r="AA336" s="70"/>
      <c r="AB336" s="71"/>
      <c r="AC336" s="69" t="s">
        <v>4</v>
      </c>
      <c r="AD336" s="70"/>
      <c r="AE336" s="71"/>
      <c r="AF336" s="69" t="s">
        <v>5</v>
      </c>
      <c r="AG336" s="70"/>
      <c r="AH336" s="71"/>
      <c r="AI336" s="69" t="s">
        <v>3</v>
      </c>
      <c r="AJ336" s="70"/>
      <c r="AK336" s="71"/>
      <c r="AL336" s="69" t="s">
        <v>2</v>
      </c>
      <c r="AM336" s="70"/>
      <c r="AN336" s="71"/>
      <c r="AO336" s="69" t="s">
        <v>6</v>
      </c>
      <c r="AP336" s="70"/>
      <c r="AQ336" s="71"/>
      <c r="AS336" s="5"/>
    </row>
    <row r="337" spans="2:45" ht="10.15" customHeight="1" thickBot="1" x14ac:dyDescent="0.3">
      <c r="B337" s="3"/>
      <c r="C337" s="4"/>
      <c r="D337" s="16" t="s">
        <v>22</v>
      </c>
      <c r="L337" s="50">
        <f>+AE317</f>
        <v>0.02</v>
      </c>
      <c r="M337" s="50"/>
      <c r="N337" s="4" t="s">
        <v>21</v>
      </c>
      <c r="P337" s="66"/>
      <c r="Q337" s="67"/>
      <c r="R337" s="67"/>
      <c r="S337" s="67"/>
      <c r="T337" s="67"/>
      <c r="U337" s="67"/>
      <c r="V337" s="67"/>
      <c r="W337" s="67"/>
      <c r="X337" s="67"/>
      <c r="Y337" s="68"/>
      <c r="Z337" s="72"/>
      <c r="AA337" s="73"/>
      <c r="AB337" s="74"/>
      <c r="AC337" s="72"/>
      <c r="AD337" s="73"/>
      <c r="AE337" s="74"/>
      <c r="AF337" s="72"/>
      <c r="AG337" s="73"/>
      <c r="AH337" s="74"/>
      <c r="AI337" s="72"/>
      <c r="AJ337" s="73"/>
      <c r="AK337" s="74"/>
      <c r="AL337" s="72"/>
      <c r="AM337" s="73"/>
      <c r="AN337" s="74"/>
      <c r="AO337" s="72"/>
      <c r="AP337" s="73"/>
      <c r="AQ337" s="74"/>
      <c r="AS337" s="5"/>
    </row>
    <row r="338" spans="2:45" ht="12" thickTop="1" x14ac:dyDescent="0.25">
      <c r="B338" s="3"/>
      <c r="C338" s="4"/>
      <c r="D338" s="16" t="s">
        <v>18</v>
      </c>
      <c r="E338" s="4"/>
      <c r="F338" s="4"/>
      <c r="G338" s="4"/>
      <c r="H338" s="4"/>
      <c r="I338" s="4"/>
      <c r="J338" s="4"/>
      <c r="L338" s="50">
        <f>+AE318</f>
        <v>0.05</v>
      </c>
      <c r="M338" s="50"/>
      <c r="N338" s="4" t="s">
        <v>21</v>
      </c>
      <c r="O338" s="4"/>
      <c r="P338" s="10" t="s">
        <v>23</v>
      </c>
      <c r="Q338" s="11"/>
      <c r="R338" s="11"/>
      <c r="S338" s="11"/>
      <c r="T338" s="11"/>
      <c r="U338" s="11"/>
      <c r="V338" s="11"/>
      <c r="W338" s="11"/>
      <c r="X338" s="11"/>
      <c r="Y338" s="9"/>
      <c r="Z338" s="62">
        <f>+Z325</f>
        <v>150.03751441614895</v>
      </c>
      <c r="AA338" s="62"/>
      <c r="AB338" s="62"/>
      <c r="AC338" s="62">
        <f>+AC325</f>
        <v>19.167552647135842</v>
      </c>
      <c r="AD338" s="62"/>
      <c r="AE338" s="62"/>
      <c r="AF338" s="62">
        <f>+AF325</f>
        <v>19.167552647135842</v>
      </c>
      <c r="AG338" s="62"/>
      <c r="AH338" s="62"/>
      <c r="AI338" s="62">
        <f>+AI325</f>
        <v>73.57326071917349</v>
      </c>
      <c r="AJ338" s="62"/>
      <c r="AK338" s="62"/>
      <c r="AL338" s="62">
        <f>+AL325</f>
        <v>73.57326071917349</v>
      </c>
      <c r="AM338" s="62"/>
      <c r="AN338" s="62"/>
      <c r="AO338" s="62">
        <f>+AO325</f>
        <v>24.480858851232373</v>
      </c>
      <c r="AP338" s="62"/>
      <c r="AQ338" s="62"/>
      <c r="AR338" s="4"/>
      <c r="AS338" s="5"/>
    </row>
    <row r="339" spans="2:45" x14ac:dyDescent="0.25">
      <c r="B339" s="3"/>
      <c r="C339" s="4"/>
      <c r="D339" s="16" t="s">
        <v>40</v>
      </c>
      <c r="E339" s="4"/>
      <c r="F339" s="4"/>
      <c r="G339" s="4"/>
      <c r="H339" s="4"/>
      <c r="I339" s="4"/>
      <c r="J339" s="4"/>
      <c r="L339" s="63">
        <f>+AE319</f>
        <v>0.4</v>
      </c>
      <c r="M339" s="63"/>
      <c r="N339" s="11" t="s">
        <v>21</v>
      </c>
      <c r="O339" s="4"/>
      <c r="P339" s="13" t="s">
        <v>24</v>
      </c>
      <c r="Q339" s="14"/>
      <c r="R339" s="14"/>
      <c r="S339" s="14"/>
      <c r="T339" s="14"/>
      <c r="U339" s="14"/>
      <c r="V339" s="14"/>
      <c r="W339" s="14"/>
      <c r="X339" s="14"/>
      <c r="Y339" s="12"/>
      <c r="Z339" s="54">
        <f>+Z326</f>
        <v>3</v>
      </c>
      <c r="AA339" s="54"/>
      <c r="AB339" s="54"/>
      <c r="AC339" s="54">
        <f>+AC326</f>
        <v>5</v>
      </c>
      <c r="AD339" s="54"/>
      <c r="AE339" s="54"/>
      <c r="AF339" s="54">
        <f>+AF326</f>
        <v>5</v>
      </c>
      <c r="AG339" s="54"/>
      <c r="AH339" s="54"/>
      <c r="AI339" s="54">
        <f>+AI326</f>
        <v>2</v>
      </c>
      <c r="AJ339" s="54"/>
      <c r="AK339" s="54"/>
      <c r="AL339" s="54">
        <f>+AL326</f>
        <v>2</v>
      </c>
      <c r="AM339" s="54"/>
      <c r="AN339" s="54"/>
      <c r="AO339" s="54">
        <f>+AO326</f>
        <v>7</v>
      </c>
      <c r="AP339" s="54"/>
      <c r="AQ339" s="54"/>
      <c r="AR339" s="4"/>
      <c r="AS339" s="5"/>
    </row>
    <row r="340" spans="2:45" x14ac:dyDescent="0.25">
      <c r="B340" s="3"/>
      <c r="C340" s="4"/>
      <c r="D340" s="16" t="s">
        <v>86</v>
      </c>
      <c r="E340" s="4"/>
      <c r="F340" s="4"/>
      <c r="G340" s="4"/>
      <c r="H340" s="4"/>
      <c r="I340" s="4"/>
      <c r="J340" s="4"/>
      <c r="L340" s="50">
        <f>SUM(L336:M339)</f>
        <v>0.62</v>
      </c>
      <c r="M340" s="50"/>
      <c r="N340" s="4" t="s">
        <v>21</v>
      </c>
      <c r="O340" s="4"/>
      <c r="P340" s="13" t="s">
        <v>43</v>
      </c>
      <c r="Q340" s="14"/>
      <c r="R340" s="14"/>
      <c r="S340" s="14"/>
      <c r="T340" s="14"/>
      <c r="U340" s="14"/>
      <c r="V340" s="14"/>
      <c r="W340" s="14"/>
      <c r="X340" s="14"/>
      <c r="Y340" s="12"/>
      <c r="Z340" s="54">
        <f>+Z339+L340</f>
        <v>3.62</v>
      </c>
      <c r="AA340" s="54"/>
      <c r="AB340" s="54"/>
      <c r="AC340" s="54">
        <f>+AC339+L340</f>
        <v>5.62</v>
      </c>
      <c r="AD340" s="54"/>
      <c r="AE340" s="54"/>
      <c r="AF340" s="54">
        <f>+AF339+L340</f>
        <v>5.62</v>
      </c>
      <c r="AG340" s="54"/>
      <c r="AH340" s="54"/>
      <c r="AI340" s="54">
        <f>+AI339+L340</f>
        <v>2.62</v>
      </c>
      <c r="AJ340" s="54"/>
      <c r="AK340" s="54"/>
      <c r="AL340" s="54">
        <f>+L340+AL339</f>
        <v>2.62</v>
      </c>
      <c r="AM340" s="54"/>
      <c r="AN340" s="54"/>
      <c r="AO340" s="54">
        <f>+L340+AO339</f>
        <v>7.62</v>
      </c>
      <c r="AP340" s="54"/>
      <c r="AQ340" s="54"/>
      <c r="AR340" s="4"/>
      <c r="AS340" s="5"/>
    </row>
    <row r="341" spans="2:45" x14ac:dyDescent="0.25">
      <c r="B341" s="3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55" t="s">
        <v>44</v>
      </c>
      <c r="Q341" s="56"/>
      <c r="R341" s="56"/>
      <c r="S341" s="56"/>
      <c r="T341" s="56"/>
      <c r="U341" s="56"/>
      <c r="V341" s="56"/>
      <c r="W341" s="56"/>
      <c r="X341" s="56"/>
      <c r="Y341" s="57"/>
      <c r="Z341" s="61">
        <f>2*PI()*Z340*Z338/360</f>
        <v>9.4795080336143283</v>
      </c>
      <c r="AA341" s="61"/>
      <c r="AB341" s="61"/>
      <c r="AC341" s="61">
        <f t="shared" ref="AC341" si="56">2*PI()*AC340*AC338/360</f>
        <v>1.880097396219339</v>
      </c>
      <c r="AD341" s="61"/>
      <c r="AE341" s="61"/>
      <c r="AF341" s="61">
        <f t="shared" ref="AF341" si="57">2*PI()*AF340*AF338/360</f>
        <v>1.880097396219339</v>
      </c>
      <c r="AG341" s="61"/>
      <c r="AH341" s="61"/>
      <c r="AI341" s="61">
        <f t="shared" ref="AI341" si="58">2*PI()*AI340*AI338/360</f>
        <v>3.3643305793618059</v>
      </c>
      <c r="AJ341" s="61"/>
      <c r="AK341" s="61"/>
      <c r="AL341" s="61">
        <f t="shared" ref="AL341" si="59">2*PI()*AL340*AL338/360</f>
        <v>3.3643305793618059</v>
      </c>
      <c r="AM341" s="61"/>
      <c r="AN341" s="61"/>
      <c r="AO341" s="61">
        <f t="shared" ref="AO341" si="60">2*PI()*AO340*AO338/360</f>
        <v>3.2558095209054119</v>
      </c>
      <c r="AP341" s="61"/>
      <c r="AQ341" s="61"/>
      <c r="AR341" s="4"/>
      <c r="AS341" s="5"/>
    </row>
    <row r="342" spans="2:45" ht="10.15" customHeight="1" x14ac:dyDescent="0.25">
      <c r="B342" s="3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58"/>
      <c r="Q342" s="59"/>
      <c r="R342" s="59"/>
      <c r="S342" s="59"/>
      <c r="T342" s="59"/>
      <c r="U342" s="59"/>
      <c r="V342" s="59"/>
      <c r="W342" s="59"/>
      <c r="X342" s="59"/>
      <c r="Y342" s="60"/>
      <c r="Z342" s="61"/>
      <c r="AA342" s="61"/>
      <c r="AB342" s="61"/>
      <c r="AC342" s="61"/>
      <c r="AD342" s="61"/>
      <c r="AE342" s="61"/>
      <c r="AF342" s="61"/>
      <c r="AG342" s="61"/>
      <c r="AH342" s="61"/>
      <c r="AI342" s="61"/>
      <c r="AJ342" s="61"/>
      <c r="AK342" s="61"/>
      <c r="AL342" s="61"/>
      <c r="AM342" s="61"/>
      <c r="AN342" s="61"/>
      <c r="AO342" s="61"/>
      <c r="AP342" s="61"/>
      <c r="AQ342" s="61"/>
      <c r="AR342" s="4"/>
      <c r="AS342" s="5"/>
    </row>
    <row r="343" spans="2:45" x14ac:dyDescent="0.25">
      <c r="B343" s="3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13" t="s">
        <v>45</v>
      </c>
      <c r="Q343" s="14"/>
      <c r="R343" s="14"/>
      <c r="S343" s="14"/>
      <c r="T343" s="14"/>
      <c r="U343" s="14"/>
      <c r="V343" s="14"/>
      <c r="W343" s="14"/>
      <c r="X343" s="14"/>
      <c r="Y343" s="12"/>
      <c r="Z343" s="46">
        <f>SUM(Z341:AQ342)</f>
        <v>23.224173505682032</v>
      </c>
      <c r="AA343" s="47"/>
      <c r="AB343" s="47"/>
      <c r="AC343" s="47"/>
      <c r="AD343" s="47"/>
      <c r="AE343" s="47"/>
      <c r="AF343" s="47"/>
      <c r="AG343" s="47"/>
      <c r="AH343" s="47"/>
      <c r="AI343" s="47"/>
      <c r="AJ343" s="47"/>
      <c r="AK343" s="47"/>
      <c r="AL343" s="47"/>
      <c r="AM343" s="47"/>
      <c r="AN343" s="47"/>
      <c r="AO343" s="47"/>
      <c r="AP343" s="47"/>
      <c r="AQ343" s="48"/>
      <c r="AR343" s="4"/>
      <c r="AS343" s="5"/>
    </row>
    <row r="344" spans="2:45" x14ac:dyDescent="0.25">
      <c r="B344" s="3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AR344" s="4"/>
      <c r="AS344" s="5"/>
    </row>
    <row r="345" spans="2:45" x14ac:dyDescent="0.25">
      <c r="B345" s="3"/>
      <c r="C345" s="20" t="s">
        <v>116</v>
      </c>
      <c r="D345" s="4"/>
      <c r="E345" s="4"/>
      <c r="F345" s="4"/>
      <c r="G345" s="4"/>
      <c r="H345" s="4"/>
      <c r="I345" s="4"/>
      <c r="J345" s="4"/>
      <c r="K345" s="4"/>
      <c r="M345" s="49">
        <f>+Z343</f>
        <v>23.224173505682032</v>
      </c>
      <c r="N345" s="50"/>
      <c r="O345" s="33" t="s">
        <v>30</v>
      </c>
      <c r="P345" s="50">
        <f>+AE316</f>
        <v>0.3</v>
      </c>
      <c r="Q345" s="50"/>
      <c r="R345" s="34" t="s">
        <v>38</v>
      </c>
      <c r="S345" s="51">
        <f>+M345*P345</f>
        <v>6.9672520517046097</v>
      </c>
      <c r="T345" s="51"/>
      <c r="U345" s="24" t="s">
        <v>102</v>
      </c>
      <c r="W345" s="2" t="s">
        <v>103</v>
      </c>
      <c r="AR345" s="4"/>
      <c r="AS345" s="5"/>
    </row>
    <row r="346" spans="2:45" x14ac:dyDescent="0.25">
      <c r="B346" s="3"/>
      <c r="C346" s="4"/>
      <c r="D346" s="4"/>
      <c r="E346" s="4"/>
      <c r="F346" s="4"/>
      <c r="G346" s="4"/>
      <c r="H346" s="4"/>
      <c r="I346" s="4"/>
      <c r="J346" s="4"/>
      <c r="K346" s="4"/>
      <c r="L346" s="4"/>
      <c r="AR346" s="4"/>
      <c r="AS346" s="5"/>
    </row>
    <row r="347" spans="2:45" x14ac:dyDescent="0.25">
      <c r="B347" s="3"/>
      <c r="C347" s="4"/>
      <c r="D347" s="15" t="s">
        <v>49</v>
      </c>
      <c r="E347" s="4"/>
      <c r="F347" s="4"/>
      <c r="G347" s="4"/>
      <c r="H347" s="4"/>
      <c r="I347" s="4"/>
      <c r="J347" s="4"/>
      <c r="K347" s="32" t="s">
        <v>113</v>
      </c>
      <c r="L347" s="4"/>
      <c r="M347" s="4"/>
      <c r="N347" s="4"/>
      <c r="O347" s="4"/>
      <c r="P347" s="4"/>
      <c r="AR347" s="4"/>
      <c r="AS347" s="5"/>
    </row>
    <row r="348" spans="2:45" x14ac:dyDescent="0.25">
      <c r="B348" s="3"/>
      <c r="C348" s="4"/>
      <c r="D348" s="4" t="s">
        <v>47</v>
      </c>
      <c r="E348" s="4"/>
      <c r="F348" s="4"/>
      <c r="G348" s="4"/>
      <c r="H348" s="4"/>
      <c r="I348" s="4"/>
      <c r="J348" s="4"/>
      <c r="L348" s="4"/>
      <c r="M348" s="4"/>
      <c r="N348" s="4"/>
      <c r="O348" s="4"/>
      <c r="P348" s="4"/>
      <c r="AR348" s="4"/>
      <c r="AS348" s="5"/>
    </row>
    <row r="349" spans="2:45" x14ac:dyDescent="0.25">
      <c r="B349" s="3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R349" s="79">
        <v>0.08</v>
      </c>
      <c r="S349" s="79"/>
      <c r="T349" s="80" t="s">
        <v>21</v>
      </c>
      <c r="U349" s="80"/>
      <c r="Y349" s="4" t="s">
        <v>56</v>
      </c>
      <c r="Z349" s="4"/>
      <c r="AA349" s="4"/>
      <c r="AB349" s="4"/>
      <c r="AC349" s="4"/>
      <c r="AD349" s="53">
        <v>3.48</v>
      </c>
      <c r="AE349" s="53"/>
      <c r="AF349" s="4" t="s">
        <v>57</v>
      </c>
      <c r="AH349" s="2" t="s">
        <v>108</v>
      </c>
      <c r="AR349" s="4"/>
      <c r="AS349" s="5"/>
    </row>
    <row r="350" spans="2:45" x14ac:dyDescent="0.25">
      <c r="B350" s="3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R350" s="79"/>
      <c r="S350" s="79"/>
      <c r="T350" s="80"/>
      <c r="U350" s="80"/>
      <c r="Y350" s="4" t="s">
        <v>54</v>
      </c>
      <c r="Z350" s="4"/>
      <c r="AA350" s="4"/>
      <c r="AB350" s="4"/>
      <c r="AC350" s="4"/>
      <c r="AD350" s="53">
        <v>0.3</v>
      </c>
      <c r="AE350" s="53"/>
      <c r="AF350" s="4" t="s">
        <v>21</v>
      </c>
      <c r="AG350" s="2" t="s">
        <v>73</v>
      </c>
      <c r="AR350" s="4"/>
      <c r="AS350" s="5"/>
    </row>
    <row r="351" spans="2:45" x14ac:dyDescent="0.25">
      <c r="B351" s="3"/>
      <c r="C351" s="4" t="s">
        <v>48</v>
      </c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S351" s="7" t="s">
        <v>21</v>
      </c>
      <c r="U351" s="7" t="s">
        <v>21</v>
      </c>
      <c r="Y351" s="4" t="s">
        <v>54</v>
      </c>
      <c r="Z351" s="4"/>
      <c r="AA351" s="4"/>
      <c r="AB351" s="4"/>
      <c r="AC351" s="4"/>
      <c r="AD351" s="53">
        <v>0.45</v>
      </c>
      <c r="AE351" s="53"/>
      <c r="AF351" s="4" t="s">
        <v>21</v>
      </c>
      <c r="AG351" s="2" t="s">
        <v>74</v>
      </c>
      <c r="AR351" s="4"/>
      <c r="AS351" s="5"/>
    </row>
    <row r="352" spans="2:45" x14ac:dyDescent="0.25">
      <c r="B352" s="3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S352" s="78">
        <f>+U352-R349-R356</f>
        <v>0.16999999999999998</v>
      </c>
      <c r="U352" s="78">
        <f>+AE316</f>
        <v>0.3</v>
      </c>
      <c r="Y352" s="2" t="s">
        <v>72</v>
      </c>
      <c r="AB352" s="79">
        <v>1.5</v>
      </c>
      <c r="AC352" s="79"/>
      <c r="AD352" s="2" t="s">
        <v>21</v>
      </c>
      <c r="AE352" s="2" t="s">
        <v>76</v>
      </c>
      <c r="AR352" s="4"/>
      <c r="AS352" s="5"/>
    </row>
    <row r="353" spans="2:45" ht="10.15" customHeight="1" x14ac:dyDescent="0.25">
      <c r="B353" s="3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S353" s="78"/>
      <c r="U353" s="78"/>
      <c r="AR353" s="4"/>
      <c r="AS353" s="5"/>
    </row>
    <row r="354" spans="2:45" x14ac:dyDescent="0.25">
      <c r="B354" s="3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S354" s="78"/>
      <c r="U354" s="78"/>
      <c r="AG354" s="2" t="s">
        <v>51</v>
      </c>
      <c r="AK354" s="2" t="s">
        <v>52</v>
      </c>
      <c r="AR354" s="4"/>
      <c r="AS354" s="5"/>
    </row>
    <row r="355" spans="2:45" ht="12" x14ac:dyDescent="0.2">
      <c r="B355" s="3"/>
      <c r="C355" s="4"/>
      <c r="D355" s="4" t="s">
        <v>112</v>
      </c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Y355" s="2" t="s">
        <v>94</v>
      </c>
      <c r="AG355" s="76">
        <v>5</v>
      </c>
      <c r="AH355" s="76"/>
      <c r="AI355" s="25" t="s">
        <v>21</v>
      </c>
      <c r="AJ355" s="26" t="s">
        <v>30</v>
      </c>
      <c r="AK355" s="77">
        <v>2.15</v>
      </c>
      <c r="AL355" s="77"/>
      <c r="AM355" s="27" t="s">
        <v>21</v>
      </c>
      <c r="AR355" s="4"/>
      <c r="AS355" s="5"/>
    </row>
    <row r="356" spans="2:45" x14ac:dyDescent="0.25">
      <c r="B356" s="3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R356" s="79">
        <v>0.05</v>
      </c>
      <c r="S356" s="79"/>
      <c r="T356" s="80" t="s">
        <v>21</v>
      </c>
      <c r="U356" s="80"/>
      <c r="AR356" s="4"/>
      <c r="AS356" s="5"/>
    </row>
    <row r="357" spans="2:45" x14ac:dyDescent="0.25">
      <c r="B357" s="3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R357" s="79"/>
      <c r="S357" s="79"/>
      <c r="T357" s="80"/>
      <c r="U357" s="80"/>
      <c r="AR357" s="4"/>
      <c r="AS357" s="5"/>
    </row>
    <row r="358" spans="2:45" x14ac:dyDescent="0.25">
      <c r="B358" s="3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AR358" s="4"/>
      <c r="AS358" s="5"/>
    </row>
    <row r="359" spans="2:45" x14ac:dyDescent="0.25">
      <c r="B359" s="3"/>
      <c r="C359" s="4"/>
      <c r="D359" s="4"/>
      <c r="E359" s="4"/>
      <c r="F359" s="4" t="s">
        <v>46</v>
      </c>
      <c r="G359" s="4"/>
      <c r="H359" s="4"/>
      <c r="I359" s="4"/>
      <c r="J359" s="4"/>
      <c r="K359" s="4"/>
      <c r="L359" s="4"/>
      <c r="M359" s="4"/>
      <c r="N359" s="4"/>
      <c r="O359" s="4"/>
      <c r="P359" s="4"/>
      <c r="AR359" s="4"/>
      <c r="AS359" s="5"/>
    </row>
    <row r="360" spans="2:45" x14ac:dyDescent="0.25">
      <c r="B360" s="3"/>
      <c r="C360" s="4"/>
      <c r="D360" s="4"/>
      <c r="E360" s="4"/>
      <c r="F360" s="4"/>
      <c r="G360" s="4"/>
      <c r="H360" s="4"/>
      <c r="I360" s="4"/>
      <c r="J360" s="4"/>
      <c r="K360" s="4"/>
      <c r="L360" s="4" t="s">
        <v>75</v>
      </c>
      <c r="M360" s="4"/>
      <c r="N360" s="4"/>
      <c r="O360" s="4"/>
      <c r="P360" s="4"/>
      <c r="AR360" s="4"/>
      <c r="AS360" s="5"/>
    </row>
    <row r="361" spans="2:45" x14ac:dyDescent="0.25">
      <c r="B361" s="3"/>
      <c r="C361" s="4"/>
      <c r="D361" s="4"/>
      <c r="E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AR361" s="4"/>
      <c r="AS361" s="5"/>
    </row>
    <row r="362" spans="2:45" x14ac:dyDescent="0.25">
      <c r="B362" s="3"/>
      <c r="C362" s="4"/>
      <c r="D362" s="16" t="s">
        <v>50</v>
      </c>
      <c r="M362" s="50">
        <f>+R356</f>
        <v>0.05</v>
      </c>
      <c r="N362" s="50"/>
      <c r="O362" s="4" t="s">
        <v>21</v>
      </c>
      <c r="Q362" s="55" t="s">
        <v>61</v>
      </c>
      <c r="R362" s="56"/>
      <c r="S362" s="56"/>
      <c r="T362" s="56"/>
      <c r="U362" s="56"/>
      <c r="V362" s="56"/>
      <c r="W362" s="56"/>
      <c r="X362" s="56"/>
      <c r="Y362" s="56"/>
      <c r="Z362" s="57"/>
      <c r="AA362" s="69" t="s">
        <v>1</v>
      </c>
      <c r="AB362" s="70"/>
      <c r="AC362" s="71"/>
      <c r="AD362" s="69" t="s">
        <v>4</v>
      </c>
      <c r="AE362" s="70"/>
      <c r="AF362" s="71"/>
      <c r="AG362" s="69" t="s">
        <v>5</v>
      </c>
      <c r="AH362" s="70"/>
      <c r="AI362" s="71"/>
      <c r="AJ362" s="69" t="s">
        <v>3</v>
      </c>
      <c r="AK362" s="70"/>
      <c r="AL362" s="71"/>
      <c r="AM362" s="69" t="s">
        <v>2</v>
      </c>
      <c r="AN362" s="70"/>
      <c r="AO362" s="71"/>
      <c r="AP362" s="69" t="s">
        <v>6</v>
      </c>
      <c r="AQ362" s="70"/>
      <c r="AR362" s="71"/>
      <c r="AS362" s="5"/>
    </row>
    <row r="363" spans="2:45" ht="10.15" customHeight="1" thickBot="1" x14ac:dyDescent="0.3">
      <c r="B363" s="3"/>
      <c r="C363" s="4"/>
      <c r="D363" s="16" t="s">
        <v>22</v>
      </c>
      <c r="M363" s="50">
        <f>+AE317</f>
        <v>0.02</v>
      </c>
      <c r="N363" s="50"/>
      <c r="O363" s="4" t="s">
        <v>21</v>
      </c>
      <c r="Q363" s="66"/>
      <c r="R363" s="67"/>
      <c r="S363" s="67"/>
      <c r="T363" s="67"/>
      <c r="U363" s="67"/>
      <c r="V363" s="67"/>
      <c r="W363" s="67"/>
      <c r="X363" s="67"/>
      <c r="Y363" s="67"/>
      <c r="Z363" s="68"/>
      <c r="AA363" s="72"/>
      <c r="AB363" s="73"/>
      <c r="AC363" s="74"/>
      <c r="AD363" s="72"/>
      <c r="AE363" s="73"/>
      <c r="AF363" s="74"/>
      <c r="AG363" s="72"/>
      <c r="AH363" s="73"/>
      <c r="AI363" s="74"/>
      <c r="AJ363" s="72"/>
      <c r="AK363" s="73"/>
      <c r="AL363" s="74"/>
      <c r="AM363" s="72"/>
      <c r="AN363" s="73"/>
      <c r="AO363" s="74"/>
      <c r="AP363" s="72"/>
      <c r="AQ363" s="73"/>
      <c r="AR363" s="74"/>
      <c r="AS363" s="5"/>
    </row>
    <row r="364" spans="2:45" ht="12" thickTop="1" x14ac:dyDescent="0.25">
      <c r="B364" s="3"/>
      <c r="C364" s="4"/>
      <c r="D364" s="16" t="s">
        <v>18</v>
      </c>
      <c r="E364" s="4"/>
      <c r="F364" s="4"/>
      <c r="G364" s="4"/>
      <c r="H364" s="4"/>
      <c r="I364" s="4"/>
      <c r="J364" s="4"/>
      <c r="M364" s="50">
        <f>+AE318</f>
        <v>0.05</v>
      </c>
      <c r="N364" s="50"/>
      <c r="O364" s="4" t="s">
        <v>21</v>
      </c>
      <c r="P364" s="4"/>
      <c r="Q364" s="10" t="s">
        <v>23</v>
      </c>
      <c r="R364" s="11"/>
      <c r="S364" s="11"/>
      <c r="T364" s="11"/>
      <c r="U364" s="11"/>
      <c r="V364" s="11"/>
      <c r="W364" s="11"/>
      <c r="X364" s="11"/>
      <c r="Y364" s="11"/>
      <c r="Z364" s="9"/>
      <c r="AA364" s="62">
        <f>+Z325</f>
        <v>150.03751441614895</v>
      </c>
      <c r="AB364" s="62"/>
      <c r="AC364" s="62"/>
      <c r="AD364" s="62">
        <f>+AC325</f>
        <v>19.167552647135842</v>
      </c>
      <c r="AE364" s="62"/>
      <c r="AF364" s="62"/>
      <c r="AG364" s="62">
        <f>+AF325</f>
        <v>19.167552647135842</v>
      </c>
      <c r="AH364" s="62"/>
      <c r="AI364" s="62"/>
      <c r="AJ364" s="62">
        <f>+AI325</f>
        <v>73.57326071917349</v>
      </c>
      <c r="AK364" s="62"/>
      <c r="AL364" s="62"/>
      <c r="AM364" s="62">
        <f>+AL325</f>
        <v>73.57326071917349</v>
      </c>
      <c r="AN364" s="62"/>
      <c r="AO364" s="62"/>
      <c r="AP364" s="62">
        <f>+AO325</f>
        <v>24.480858851232373</v>
      </c>
      <c r="AQ364" s="62"/>
      <c r="AR364" s="62"/>
      <c r="AS364" s="5"/>
    </row>
    <row r="365" spans="2:45" x14ac:dyDescent="0.25">
      <c r="B365" s="3"/>
      <c r="C365" s="4"/>
      <c r="D365" s="16" t="s">
        <v>40</v>
      </c>
      <c r="E365" s="4"/>
      <c r="F365" s="4"/>
      <c r="G365" s="4"/>
      <c r="H365" s="4"/>
      <c r="I365" s="4"/>
      <c r="J365" s="4"/>
      <c r="M365" s="63">
        <f>+AE319</f>
        <v>0.4</v>
      </c>
      <c r="N365" s="63"/>
      <c r="O365" s="11" t="s">
        <v>21</v>
      </c>
      <c r="P365" s="4"/>
      <c r="Q365" s="13" t="s">
        <v>24</v>
      </c>
      <c r="R365" s="14"/>
      <c r="S365" s="14"/>
      <c r="T365" s="14"/>
      <c r="U365" s="14"/>
      <c r="V365" s="14"/>
      <c r="W365" s="14"/>
      <c r="X365" s="14"/>
      <c r="Y365" s="14"/>
      <c r="Z365" s="12"/>
      <c r="AA365" s="54">
        <f>+Z326</f>
        <v>3</v>
      </c>
      <c r="AB365" s="54"/>
      <c r="AC365" s="54"/>
      <c r="AD365" s="54">
        <f>+AC326</f>
        <v>5</v>
      </c>
      <c r="AE365" s="54"/>
      <c r="AF365" s="54"/>
      <c r="AG365" s="54">
        <f>+AF326</f>
        <v>5</v>
      </c>
      <c r="AH365" s="54"/>
      <c r="AI365" s="54"/>
      <c r="AJ365" s="54">
        <f>+AI326</f>
        <v>2</v>
      </c>
      <c r="AK365" s="54"/>
      <c r="AL365" s="54"/>
      <c r="AM365" s="54">
        <f>+AL326</f>
        <v>2</v>
      </c>
      <c r="AN365" s="54"/>
      <c r="AO365" s="54"/>
      <c r="AP365" s="54">
        <f>+AO326</f>
        <v>7</v>
      </c>
      <c r="AQ365" s="54"/>
      <c r="AR365" s="54"/>
      <c r="AS365" s="5"/>
    </row>
    <row r="366" spans="2:45" x14ac:dyDescent="0.25">
      <c r="B366" s="3"/>
      <c r="C366" s="4"/>
      <c r="D366" s="16" t="s">
        <v>85</v>
      </c>
      <c r="E366" s="4"/>
      <c r="F366" s="4"/>
      <c r="G366" s="4"/>
      <c r="H366" s="4"/>
      <c r="I366" s="4"/>
      <c r="J366" s="4"/>
      <c r="M366" s="50">
        <f>SUM(M362:N365)</f>
        <v>0.52</v>
      </c>
      <c r="N366" s="50"/>
      <c r="O366" s="4" t="s">
        <v>21</v>
      </c>
      <c r="P366" s="4"/>
      <c r="Q366" s="13" t="s">
        <v>63</v>
      </c>
      <c r="R366" s="14"/>
      <c r="S366" s="14"/>
      <c r="T366" s="14"/>
      <c r="U366" s="14"/>
      <c r="V366" s="14"/>
      <c r="W366" s="14"/>
      <c r="X366" s="14"/>
      <c r="Y366" s="14"/>
      <c r="Z366" s="12"/>
      <c r="AA366" s="54">
        <f>+AA365+M366</f>
        <v>3.52</v>
      </c>
      <c r="AB366" s="54"/>
      <c r="AC366" s="54"/>
      <c r="AD366" s="54">
        <f>+AD365+M366</f>
        <v>5.52</v>
      </c>
      <c r="AE366" s="54"/>
      <c r="AF366" s="54"/>
      <c r="AG366" s="54">
        <f>+AG365+M366</f>
        <v>5.52</v>
      </c>
      <c r="AH366" s="54"/>
      <c r="AI366" s="54"/>
      <c r="AJ366" s="54">
        <f>+AJ365+M366</f>
        <v>2.52</v>
      </c>
      <c r="AK366" s="54"/>
      <c r="AL366" s="54"/>
      <c r="AM366" s="54">
        <f>+M366+AM365</f>
        <v>2.52</v>
      </c>
      <c r="AN366" s="54"/>
      <c r="AO366" s="54"/>
      <c r="AP366" s="54">
        <f>+M366+AP365</f>
        <v>7.52</v>
      </c>
      <c r="AQ366" s="54"/>
      <c r="AR366" s="54"/>
      <c r="AS366" s="5"/>
    </row>
    <row r="367" spans="2:45" x14ac:dyDescent="0.25">
      <c r="B367" s="3"/>
      <c r="C367" s="4"/>
      <c r="L367" s="4"/>
      <c r="M367" s="4"/>
      <c r="N367" s="4"/>
      <c r="O367" s="4"/>
      <c r="P367" s="4"/>
      <c r="Q367" s="55" t="s">
        <v>62</v>
      </c>
      <c r="R367" s="56"/>
      <c r="S367" s="56"/>
      <c r="T367" s="56"/>
      <c r="U367" s="56"/>
      <c r="V367" s="56"/>
      <c r="W367" s="56"/>
      <c r="X367" s="56"/>
      <c r="Y367" s="56"/>
      <c r="Z367" s="57"/>
      <c r="AA367" s="61">
        <f>2*PI()*AA366*AA364/360</f>
        <v>9.2176431708073032</v>
      </c>
      <c r="AB367" s="61"/>
      <c r="AC367" s="61"/>
      <c r="AD367" s="61">
        <f t="shared" ref="AD367" si="61">2*PI()*AD366*AD364/360</f>
        <v>1.8466437058951515</v>
      </c>
      <c r="AE367" s="61"/>
      <c r="AF367" s="61"/>
      <c r="AG367" s="61">
        <f t="shared" ref="AG367" si="62">2*PI()*AG366*AG364/360</f>
        <v>1.8466437058951515</v>
      </c>
      <c r="AH367" s="61"/>
      <c r="AI367" s="61"/>
      <c r="AJ367" s="61">
        <f t="shared" ref="AJ367" si="63">2*PI()*AJ366*AJ364/360</f>
        <v>3.2359210152640268</v>
      </c>
      <c r="AK367" s="61"/>
      <c r="AL367" s="61"/>
      <c r="AM367" s="61">
        <f t="shared" ref="AM367" si="64">2*PI()*AM366*AM364/360</f>
        <v>3.2359210152640268</v>
      </c>
      <c r="AN367" s="61"/>
      <c r="AO367" s="61"/>
      <c r="AP367" s="61">
        <f t="shared" ref="AP367" si="65">2*PI()*AP366*AP364/360</f>
        <v>3.2130823618384112</v>
      </c>
      <c r="AQ367" s="61"/>
      <c r="AR367" s="61"/>
      <c r="AS367" s="5"/>
    </row>
    <row r="368" spans="2:45" ht="10.15" customHeight="1" x14ac:dyDescent="0.25">
      <c r="B368" s="3"/>
      <c r="C368" s="4"/>
      <c r="L368" s="4"/>
      <c r="M368" s="4"/>
      <c r="N368" s="4"/>
      <c r="O368" s="4"/>
      <c r="P368" s="4"/>
      <c r="Q368" s="58"/>
      <c r="R368" s="59"/>
      <c r="S368" s="59"/>
      <c r="T368" s="59"/>
      <c r="U368" s="59"/>
      <c r="V368" s="59"/>
      <c r="W368" s="59"/>
      <c r="X368" s="59"/>
      <c r="Y368" s="59"/>
      <c r="Z368" s="60"/>
      <c r="AA368" s="61"/>
      <c r="AB368" s="61"/>
      <c r="AC368" s="61"/>
      <c r="AD368" s="61"/>
      <c r="AE368" s="61"/>
      <c r="AF368" s="61"/>
      <c r="AG368" s="61"/>
      <c r="AH368" s="61"/>
      <c r="AI368" s="61"/>
      <c r="AJ368" s="61"/>
      <c r="AK368" s="61"/>
      <c r="AL368" s="61"/>
      <c r="AM368" s="61"/>
      <c r="AN368" s="61"/>
      <c r="AO368" s="61"/>
      <c r="AP368" s="61"/>
      <c r="AQ368" s="61"/>
      <c r="AR368" s="61"/>
      <c r="AS368" s="5"/>
    </row>
    <row r="369" spans="2:45" x14ac:dyDescent="0.25">
      <c r="B369" s="3"/>
      <c r="C369" s="4"/>
      <c r="D369" s="4" t="s">
        <v>53</v>
      </c>
      <c r="E369" s="4"/>
      <c r="F369" s="4"/>
      <c r="G369" s="4"/>
      <c r="H369" s="4">
        <f>INT(AA369/AG355)-1</f>
        <v>3</v>
      </c>
      <c r="I369" s="4" t="s">
        <v>55</v>
      </c>
      <c r="K369" s="4"/>
      <c r="L369" s="4"/>
      <c r="M369" s="4"/>
      <c r="N369" s="4"/>
      <c r="O369" s="4"/>
      <c r="P369" s="4"/>
      <c r="Q369" s="13" t="s">
        <v>64</v>
      </c>
      <c r="R369" s="14"/>
      <c r="S369" s="14"/>
      <c r="T369" s="14"/>
      <c r="U369" s="14"/>
      <c r="V369" s="14"/>
      <c r="W369" s="14"/>
      <c r="X369" s="14"/>
      <c r="Y369" s="14"/>
      <c r="Z369" s="12"/>
      <c r="AA369" s="46">
        <f>SUM(AA367:AR368)</f>
        <v>22.595854974964066</v>
      </c>
      <c r="AB369" s="47"/>
      <c r="AC369" s="47"/>
      <c r="AD369" s="47"/>
      <c r="AE369" s="47"/>
      <c r="AF369" s="47"/>
      <c r="AG369" s="47"/>
      <c r="AH369" s="47"/>
      <c r="AI369" s="47"/>
      <c r="AJ369" s="47"/>
      <c r="AK369" s="47"/>
      <c r="AL369" s="47"/>
      <c r="AM369" s="47"/>
      <c r="AN369" s="47"/>
      <c r="AO369" s="47"/>
      <c r="AP369" s="47"/>
      <c r="AQ369" s="47"/>
      <c r="AR369" s="48"/>
      <c r="AS369" s="5"/>
    </row>
    <row r="370" spans="2:45" x14ac:dyDescent="0.25">
      <c r="B370" s="3"/>
      <c r="C370" s="4"/>
      <c r="D370" s="4" t="s">
        <v>101</v>
      </c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AR370" s="4"/>
      <c r="AS370" s="5"/>
    </row>
    <row r="371" spans="2:45" x14ac:dyDescent="0.25">
      <c r="B371" s="3"/>
      <c r="C371" s="4"/>
      <c r="D371" s="4" t="s">
        <v>59</v>
      </c>
      <c r="E371" s="4"/>
      <c r="F371" s="4"/>
      <c r="G371" s="4"/>
      <c r="H371" s="4"/>
      <c r="I371" s="4"/>
      <c r="J371" s="4"/>
      <c r="L371" s="4">
        <f>+H369</f>
        <v>3</v>
      </c>
      <c r="M371" s="33" t="s">
        <v>30</v>
      </c>
      <c r="N371" s="50">
        <f>+AD350</f>
        <v>0.3</v>
      </c>
      <c r="O371" s="50"/>
      <c r="P371" s="33" t="s">
        <v>33</v>
      </c>
      <c r="Q371" s="49">
        <f>+AA369</f>
        <v>22.595854974964066</v>
      </c>
      <c r="R371" s="50"/>
      <c r="S371" s="34" t="s">
        <v>38</v>
      </c>
      <c r="T371" s="75">
        <f>+L371*N371+Q371</f>
        <v>23.495854974964065</v>
      </c>
      <c r="U371" s="75"/>
      <c r="V371" s="2" t="s">
        <v>21</v>
      </c>
      <c r="AR371" s="4"/>
      <c r="AS371" s="5"/>
    </row>
    <row r="372" spans="2:45" x14ac:dyDescent="0.25">
      <c r="B372" s="3"/>
      <c r="C372" s="4"/>
      <c r="D372" s="4" t="s">
        <v>60</v>
      </c>
      <c r="E372" s="4"/>
      <c r="F372" s="4"/>
      <c r="G372" s="4"/>
      <c r="H372" s="4"/>
      <c r="I372" s="4"/>
      <c r="J372" s="4"/>
      <c r="L372" s="50">
        <f>+T371</f>
        <v>23.495854974964065</v>
      </c>
      <c r="M372" s="50"/>
      <c r="N372" s="33" t="s">
        <v>30</v>
      </c>
      <c r="O372" s="50">
        <f>+AD349</f>
        <v>3.48</v>
      </c>
      <c r="P372" s="50"/>
      <c r="Q372" s="33" t="s">
        <v>33</v>
      </c>
      <c r="R372" s="50">
        <f>+L372</f>
        <v>23.495854974964065</v>
      </c>
      <c r="S372" s="50"/>
      <c r="T372" s="33" t="s">
        <v>30</v>
      </c>
      <c r="U372" s="75">
        <f>AD351/AB352</f>
        <v>0.3</v>
      </c>
      <c r="V372" s="75"/>
      <c r="W372" s="33" t="s">
        <v>30</v>
      </c>
      <c r="X372" s="50">
        <f>+O372</f>
        <v>3.48</v>
      </c>
      <c r="Y372" s="50"/>
      <c r="Z372" s="33" t="s">
        <v>38</v>
      </c>
      <c r="AA372" s="75">
        <f>+L372*O372+R372*U372*X372</f>
        <v>106.29524790673743</v>
      </c>
      <c r="AB372" s="75"/>
      <c r="AC372" s="2" t="s">
        <v>58</v>
      </c>
      <c r="AE372" s="2" t="s">
        <v>103</v>
      </c>
      <c r="AR372" s="4"/>
      <c r="AS372" s="5"/>
    </row>
    <row r="373" spans="2:45" x14ac:dyDescent="0.25">
      <c r="B373" s="3"/>
      <c r="C373" s="4"/>
      <c r="D373" s="4"/>
      <c r="E373" s="4"/>
      <c r="F373" s="4"/>
      <c r="G373" s="4"/>
      <c r="H373" s="4"/>
      <c r="I373" s="4"/>
      <c r="J373" s="4"/>
      <c r="AR373" s="4"/>
      <c r="AS373" s="5"/>
    </row>
    <row r="374" spans="2:45" x14ac:dyDescent="0.25">
      <c r="B374" s="3"/>
      <c r="C374" s="4"/>
      <c r="D374" s="16" t="s">
        <v>65</v>
      </c>
      <c r="M374" s="50">
        <f>+R356+S352</f>
        <v>0.21999999999999997</v>
      </c>
      <c r="N374" s="50"/>
      <c r="O374" s="4" t="s">
        <v>21</v>
      </c>
      <c r="Q374" s="55" t="s">
        <v>68</v>
      </c>
      <c r="R374" s="56"/>
      <c r="S374" s="56"/>
      <c r="T374" s="56"/>
      <c r="U374" s="56"/>
      <c r="V374" s="56"/>
      <c r="W374" s="56"/>
      <c r="X374" s="56"/>
      <c r="Y374" s="56"/>
      <c r="Z374" s="57"/>
      <c r="AA374" s="69" t="s">
        <v>1</v>
      </c>
      <c r="AB374" s="70"/>
      <c r="AC374" s="71"/>
      <c r="AD374" s="69" t="s">
        <v>4</v>
      </c>
      <c r="AE374" s="70"/>
      <c r="AF374" s="71"/>
      <c r="AG374" s="69" t="s">
        <v>5</v>
      </c>
      <c r="AH374" s="70"/>
      <c r="AI374" s="71"/>
      <c r="AJ374" s="69" t="s">
        <v>3</v>
      </c>
      <c r="AK374" s="70"/>
      <c r="AL374" s="71"/>
      <c r="AM374" s="69" t="s">
        <v>2</v>
      </c>
      <c r="AN374" s="70"/>
      <c r="AO374" s="71"/>
      <c r="AP374" s="69" t="s">
        <v>6</v>
      </c>
      <c r="AQ374" s="70"/>
      <c r="AR374" s="71"/>
      <c r="AS374" s="5"/>
    </row>
    <row r="375" spans="2:45" ht="12" thickBot="1" x14ac:dyDescent="0.3">
      <c r="B375" s="3"/>
      <c r="C375" s="4"/>
      <c r="D375" s="16" t="s">
        <v>22</v>
      </c>
      <c r="M375" s="50">
        <f>+M363</f>
        <v>0.02</v>
      </c>
      <c r="N375" s="50"/>
      <c r="O375" s="4" t="s">
        <v>21</v>
      </c>
      <c r="Q375" s="66"/>
      <c r="R375" s="67"/>
      <c r="S375" s="67"/>
      <c r="T375" s="67"/>
      <c r="U375" s="67"/>
      <c r="V375" s="67"/>
      <c r="W375" s="67"/>
      <c r="X375" s="67"/>
      <c r="Y375" s="67"/>
      <c r="Z375" s="68"/>
      <c r="AA375" s="72"/>
      <c r="AB375" s="73"/>
      <c r="AC375" s="74"/>
      <c r="AD375" s="72"/>
      <c r="AE375" s="73"/>
      <c r="AF375" s="74"/>
      <c r="AG375" s="72"/>
      <c r="AH375" s="73"/>
      <c r="AI375" s="74"/>
      <c r="AJ375" s="72"/>
      <c r="AK375" s="73"/>
      <c r="AL375" s="74"/>
      <c r="AM375" s="72"/>
      <c r="AN375" s="73"/>
      <c r="AO375" s="74"/>
      <c r="AP375" s="72"/>
      <c r="AQ375" s="73"/>
      <c r="AR375" s="74"/>
      <c r="AS375" s="5"/>
    </row>
    <row r="376" spans="2:45" ht="12" thickTop="1" x14ac:dyDescent="0.25">
      <c r="B376" s="3"/>
      <c r="C376" s="4"/>
      <c r="D376" s="16" t="s">
        <v>18</v>
      </c>
      <c r="E376" s="4"/>
      <c r="F376" s="4"/>
      <c r="G376" s="4"/>
      <c r="H376" s="4"/>
      <c r="I376" s="4"/>
      <c r="J376" s="4"/>
      <c r="M376" s="50">
        <f>+M364</f>
        <v>0.05</v>
      </c>
      <c r="N376" s="50"/>
      <c r="O376" s="4" t="s">
        <v>21</v>
      </c>
      <c r="P376" s="4"/>
      <c r="Q376" s="10" t="s">
        <v>23</v>
      </c>
      <c r="R376" s="11"/>
      <c r="S376" s="11"/>
      <c r="T376" s="11"/>
      <c r="U376" s="11"/>
      <c r="V376" s="11"/>
      <c r="W376" s="11"/>
      <c r="X376" s="11"/>
      <c r="Y376" s="11"/>
      <c r="Z376" s="9"/>
      <c r="AA376" s="62">
        <f>+AA364</f>
        <v>150.03751441614895</v>
      </c>
      <c r="AB376" s="62"/>
      <c r="AC376" s="62"/>
      <c r="AD376" s="62">
        <f>+AD364</f>
        <v>19.167552647135842</v>
      </c>
      <c r="AE376" s="62"/>
      <c r="AF376" s="62"/>
      <c r="AG376" s="62">
        <f>+AG364</f>
        <v>19.167552647135842</v>
      </c>
      <c r="AH376" s="62"/>
      <c r="AI376" s="62"/>
      <c r="AJ376" s="62">
        <f>+AJ364</f>
        <v>73.57326071917349</v>
      </c>
      <c r="AK376" s="62"/>
      <c r="AL376" s="62"/>
      <c r="AM376" s="62">
        <f>+AM364</f>
        <v>73.57326071917349</v>
      </c>
      <c r="AN376" s="62"/>
      <c r="AO376" s="62"/>
      <c r="AP376" s="62">
        <f>+AP364</f>
        <v>24.480858851232373</v>
      </c>
      <c r="AQ376" s="62"/>
      <c r="AR376" s="62"/>
      <c r="AS376" s="5"/>
    </row>
    <row r="377" spans="2:45" x14ac:dyDescent="0.25">
      <c r="B377" s="3"/>
      <c r="C377" s="4"/>
      <c r="D377" s="16" t="s">
        <v>40</v>
      </c>
      <c r="E377" s="4"/>
      <c r="F377" s="4"/>
      <c r="G377" s="4"/>
      <c r="H377" s="4"/>
      <c r="I377" s="4"/>
      <c r="J377" s="4"/>
      <c r="M377" s="63">
        <f>+M365</f>
        <v>0.4</v>
      </c>
      <c r="N377" s="63"/>
      <c r="O377" s="11" t="s">
        <v>21</v>
      </c>
      <c r="P377" s="4"/>
      <c r="Q377" s="13" t="s">
        <v>24</v>
      </c>
      <c r="R377" s="14"/>
      <c r="S377" s="14"/>
      <c r="T377" s="14"/>
      <c r="U377" s="14"/>
      <c r="V377" s="14"/>
      <c r="W377" s="14"/>
      <c r="X377" s="14"/>
      <c r="Y377" s="14"/>
      <c r="Z377" s="12"/>
      <c r="AA377" s="54">
        <f>+AA365</f>
        <v>3</v>
      </c>
      <c r="AB377" s="54"/>
      <c r="AC377" s="54"/>
      <c r="AD377" s="54">
        <f>+AD365</f>
        <v>5</v>
      </c>
      <c r="AE377" s="54"/>
      <c r="AF377" s="54"/>
      <c r="AG377" s="54">
        <f>+AG365</f>
        <v>5</v>
      </c>
      <c r="AH377" s="54"/>
      <c r="AI377" s="54"/>
      <c r="AJ377" s="54">
        <f>+AJ365</f>
        <v>2</v>
      </c>
      <c r="AK377" s="54"/>
      <c r="AL377" s="54"/>
      <c r="AM377" s="54">
        <f>+AM365</f>
        <v>2</v>
      </c>
      <c r="AN377" s="54"/>
      <c r="AO377" s="54"/>
      <c r="AP377" s="54">
        <f>+AP365</f>
        <v>7</v>
      </c>
      <c r="AQ377" s="54"/>
      <c r="AR377" s="54"/>
      <c r="AS377" s="5"/>
    </row>
    <row r="378" spans="2:45" x14ac:dyDescent="0.25">
      <c r="B378" s="3"/>
      <c r="C378" s="4"/>
      <c r="D378" s="16" t="s">
        <v>84</v>
      </c>
      <c r="E378" s="4"/>
      <c r="F378" s="4"/>
      <c r="G378" s="4"/>
      <c r="H378" s="4"/>
      <c r="I378" s="4"/>
      <c r="J378" s="4"/>
      <c r="M378" s="50">
        <f>SUM(M374:N377)</f>
        <v>0.69</v>
      </c>
      <c r="N378" s="50"/>
      <c r="O378" s="4" t="s">
        <v>21</v>
      </c>
      <c r="P378" s="4"/>
      <c r="Q378" s="13" t="s">
        <v>69</v>
      </c>
      <c r="R378" s="14"/>
      <c r="S378" s="14"/>
      <c r="T378" s="14"/>
      <c r="U378" s="14"/>
      <c r="V378" s="14"/>
      <c r="W378" s="14"/>
      <c r="X378" s="14"/>
      <c r="Y378" s="14"/>
      <c r="Z378" s="12"/>
      <c r="AA378" s="54">
        <f>+AA377+M378</f>
        <v>3.69</v>
      </c>
      <c r="AB378" s="54"/>
      <c r="AC378" s="54"/>
      <c r="AD378" s="54">
        <f>+AD377+M378</f>
        <v>5.6899999999999995</v>
      </c>
      <c r="AE378" s="54"/>
      <c r="AF378" s="54"/>
      <c r="AG378" s="54">
        <f>+AG377+M378</f>
        <v>5.6899999999999995</v>
      </c>
      <c r="AH378" s="54"/>
      <c r="AI378" s="54"/>
      <c r="AJ378" s="54">
        <f>+AJ377+M378</f>
        <v>2.69</v>
      </c>
      <c r="AK378" s="54"/>
      <c r="AL378" s="54"/>
      <c r="AM378" s="54">
        <f>+M378+AM377</f>
        <v>2.69</v>
      </c>
      <c r="AN378" s="54"/>
      <c r="AO378" s="54"/>
      <c r="AP378" s="54">
        <f>+M378+AP377</f>
        <v>7.6899999999999995</v>
      </c>
      <c r="AQ378" s="54"/>
      <c r="AR378" s="54"/>
      <c r="AS378" s="5"/>
    </row>
    <row r="379" spans="2:45" x14ac:dyDescent="0.25">
      <c r="B379" s="3"/>
      <c r="C379" s="4"/>
      <c r="L379" s="4"/>
      <c r="M379" s="4"/>
      <c r="N379" s="4"/>
      <c r="O379" s="4"/>
      <c r="P379" s="4"/>
      <c r="Q379" s="55" t="s">
        <v>70</v>
      </c>
      <c r="R379" s="56"/>
      <c r="S379" s="56"/>
      <c r="T379" s="56"/>
      <c r="U379" s="56"/>
      <c r="V379" s="56"/>
      <c r="W379" s="56"/>
      <c r="X379" s="56"/>
      <c r="Y379" s="56"/>
      <c r="Z379" s="57"/>
      <c r="AA379" s="61">
        <f>2*PI()*AA378*AA376/360</f>
        <v>9.6628134375792474</v>
      </c>
      <c r="AB379" s="61"/>
      <c r="AC379" s="61"/>
      <c r="AD379" s="61">
        <f t="shared" ref="AD379" si="66">2*PI()*AD378*AD376/360</f>
        <v>1.9035149794462705</v>
      </c>
      <c r="AE379" s="61"/>
      <c r="AF379" s="61"/>
      <c r="AG379" s="61">
        <f t="shared" ref="AG379" si="67">2*PI()*AG378*AG376/360</f>
        <v>1.9035149794462705</v>
      </c>
      <c r="AH379" s="61"/>
      <c r="AI379" s="61"/>
      <c r="AJ379" s="61">
        <f t="shared" ref="AJ379" si="68">2*PI()*AJ378*AJ376/360</f>
        <v>3.4542172742302513</v>
      </c>
      <c r="AK379" s="61"/>
      <c r="AL379" s="61"/>
      <c r="AM379" s="61">
        <f t="shared" ref="AM379" si="69">2*PI()*AM378*AM376/360</f>
        <v>3.4542172742302513</v>
      </c>
      <c r="AN379" s="61"/>
      <c r="AO379" s="61"/>
      <c r="AP379" s="61">
        <f t="shared" ref="AP379" si="70">2*PI()*AP378*AP376/360</f>
        <v>3.2857185322523117</v>
      </c>
      <c r="AQ379" s="61"/>
      <c r="AR379" s="61"/>
      <c r="AS379" s="5"/>
    </row>
    <row r="380" spans="2:45" x14ac:dyDescent="0.25">
      <c r="B380" s="3"/>
      <c r="C380" s="4"/>
      <c r="L380" s="4"/>
      <c r="M380" s="4"/>
      <c r="N380" s="4"/>
      <c r="O380" s="4"/>
      <c r="P380" s="4"/>
      <c r="Q380" s="58"/>
      <c r="R380" s="59"/>
      <c r="S380" s="59"/>
      <c r="T380" s="59"/>
      <c r="U380" s="59"/>
      <c r="V380" s="59"/>
      <c r="W380" s="59"/>
      <c r="X380" s="59"/>
      <c r="Y380" s="59"/>
      <c r="Z380" s="60"/>
      <c r="AA380" s="61"/>
      <c r="AB380" s="61"/>
      <c r="AC380" s="61"/>
      <c r="AD380" s="61"/>
      <c r="AE380" s="61"/>
      <c r="AF380" s="61"/>
      <c r="AG380" s="61"/>
      <c r="AH380" s="61"/>
      <c r="AI380" s="61"/>
      <c r="AJ380" s="61"/>
      <c r="AK380" s="61"/>
      <c r="AL380" s="61"/>
      <c r="AM380" s="61"/>
      <c r="AN380" s="61"/>
      <c r="AO380" s="61"/>
      <c r="AP380" s="61"/>
      <c r="AQ380" s="61"/>
      <c r="AR380" s="61"/>
      <c r="AS380" s="5"/>
    </row>
    <row r="381" spans="2:45" x14ac:dyDescent="0.25">
      <c r="B381" s="3"/>
      <c r="C381" s="4"/>
      <c r="D381" s="4" t="s">
        <v>53</v>
      </c>
      <c r="E381" s="4"/>
      <c r="F381" s="4"/>
      <c r="G381" s="4"/>
      <c r="H381" s="4">
        <f>INT(AA381/AG355)-1</f>
        <v>3</v>
      </c>
      <c r="I381" s="4" t="s">
        <v>55</v>
      </c>
      <c r="K381" s="4"/>
      <c r="L381" s="4"/>
      <c r="M381" s="4"/>
      <c r="N381" s="4"/>
      <c r="O381" s="4"/>
      <c r="P381" s="4"/>
      <c r="Q381" s="13" t="s">
        <v>71</v>
      </c>
      <c r="R381" s="14"/>
      <c r="S381" s="14"/>
      <c r="T381" s="14"/>
      <c r="U381" s="14"/>
      <c r="V381" s="14"/>
      <c r="W381" s="14"/>
      <c r="X381" s="14"/>
      <c r="Y381" s="14"/>
      <c r="Z381" s="12"/>
      <c r="AA381" s="46">
        <f>SUM(AA379:AR380)</f>
        <v>23.663996477184604</v>
      </c>
      <c r="AB381" s="47"/>
      <c r="AC381" s="47"/>
      <c r="AD381" s="47"/>
      <c r="AE381" s="47"/>
      <c r="AF381" s="47"/>
      <c r="AG381" s="47"/>
      <c r="AH381" s="47"/>
      <c r="AI381" s="47"/>
      <c r="AJ381" s="47"/>
      <c r="AK381" s="47"/>
      <c r="AL381" s="47"/>
      <c r="AM381" s="47"/>
      <c r="AN381" s="47"/>
      <c r="AO381" s="47"/>
      <c r="AP381" s="47"/>
      <c r="AQ381" s="47"/>
      <c r="AR381" s="48"/>
      <c r="AS381" s="5"/>
    </row>
    <row r="382" spans="2:45" x14ac:dyDescent="0.25">
      <c r="B382" s="3"/>
      <c r="C382" s="4"/>
      <c r="D382" s="4" t="s">
        <v>101</v>
      </c>
      <c r="E382" s="4"/>
      <c r="F382" s="4"/>
      <c r="G382" s="4"/>
      <c r="H382" s="4"/>
      <c r="I382" s="4"/>
      <c r="J382" s="4"/>
      <c r="K382" s="4"/>
      <c r="AR382" s="4"/>
      <c r="AS382" s="5"/>
    </row>
    <row r="383" spans="2:45" x14ac:dyDescent="0.25">
      <c r="B383" s="3"/>
      <c r="C383" s="4"/>
      <c r="D383" s="4" t="s">
        <v>66</v>
      </c>
      <c r="E383" s="4"/>
      <c r="F383" s="4"/>
      <c r="G383" s="4"/>
      <c r="H383" s="4"/>
      <c r="I383" s="4"/>
      <c r="J383" s="4"/>
      <c r="M383" s="4">
        <f>+H381</f>
        <v>3</v>
      </c>
      <c r="N383" s="33" t="s">
        <v>30</v>
      </c>
      <c r="O383" s="50">
        <f>+AD350</f>
        <v>0.3</v>
      </c>
      <c r="P383" s="50"/>
      <c r="Q383" s="33" t="s">
        <v>33</v>
      </c>
      <c r="R383" s="49">
        <f>+AA381</f>
        <v>23.663996477184604</v>
      </c>
      <c r="S383" s="50"/>
      <c r="T383" s="34" t="s">
        <v>38</v>
      </c>
      <c r="U383" s="75">
        <f>+M383*O383+R383</f>
        <v>24.563996477184602</v>
      </c>
      <c r="V383" s="75"/>
      <c r="W383" s="2" t="s">
        <v>21</v>
      </c>
      <c r="AR383" s="4"/>
      <c r="AS383" s="5"/>
    </row>
    <row r="384" spans="2:45" x14ac:dyDescent="0.25">
      <c r="B384" s="3"/>
      <c r="C384" s="4"/>
      <c r="D384" s="4" t="s">
        <v>67</v>
      </c>
      <c r="E384" s="4"/>
      <c r="F384" s="4"/>
      <c r="G384" s="4"/>
      <c r="H384" s="4"/>
      <c r="I384" s="4"/>
      <c r="J384" s="4"/>
      <c r="L384" s="50">
        <f>+U383</f>
        <v>24.563996477184602</v>
      </c>
      <c r="M384" s="50"/>
      <c r="N384" s="33" t="s">
        <v>30</v>
      </c>
      <c r="O384" s="50">
        <f>+AD349</f>
        <v>3.48</v>
      </c>
      <c r="P384" s="50"/>
      <c r="Q384" s="33" t="s">
        <v>33</v>
      </c>
      <c r="R384" s="50">
        <f>+L384</f>
        <v>24.563996477184602</v>
      </c>
      <c r="S384" s="50"/>
      <c r="T384" s="33" t="s">
        <v>30</v>
      </c>
      <c r="U384" s="75">
        <f>+AD351/AB352</f>
        <v>0.3</v>
      </c>
      <c r="V384" s="75"/>
      <c r="W384" s="33" t="s">
        <v>30</v>
      </c>
      <c r="X384" s="50">
        <f>+O384</f>
        <v>3.48</v>
      </c>
      <c r="Y384" s="50"/>
      <c r="Z384" s="33" t="s">
        <v>38</v>
      </c>
      <c r="AA384" s="75">
        <f>+L384*O384+R384*U384*X384</f>
        <v>111.12752006278315</v>
      </c>
      <c r="AB384" s="75"/>
      <c r="AC384" s="2" t="s">
        <v>58</v>
      </c>
      <c r="AE384" s="2" t="s">
        <v>103</v>
      </c>
      <c r="AR384" s="4"/>
      <c r="AS384" s="5"/>
    </row>
    <row r="385" spans="2:45" x14ac:dyDescent="0.25">
      <c r="B385" s="3"/>
      <c r="C385" s="4"/>
      <c r="D385" s="4"/>
      <c r="E385" s="4"/>
      <c r="F385" s="4"/>
      <c r="G385" s="4"/>
      <c r="H385" s="4"/>
      <c r="I385" s="4"/>
      <c r="J385" s="4"/>
      <c r="AR385" s="4"/>
      <c r="AS385" s="5"/>
    </row>
    <row r="386" spans="2:45" x14ac:dyDescent="0.25">
      <c r="B386" s="3"/>
      <c r="C386" s="4"/>
      <c r="D386" s="4"/>
      <c r="E386" s="28" t="s">
        <v>107</v>
      </c>
      <c r="G386" s="4"/>
      <c r="H386" s="4"/>
      <c r="I386" s="4"/>
      <c r="J386" s="4"/>
      <c r="K386" s="4"/>
      <c r="L386" s="4"/>
      <c r="N386" s="50">
        <f>+AA372</f>
        <v>106.29524790673743</v>
      </c>
      <c r="O386" s="50"/>
      <c r="P386" s="33" t="s">
        <v>33</v>
      </c>
      <c r="Q386" s="50">
        <f>+AA384</f>
        <v>111.12752006278315</v>
      </c>
      <c r="R386" s="50"/>
      <c r="S386" s="34" t="s">
        <v>38</v>
      </c>
      <c r="T386" s="51">
        <f>+N386+Q386</f>
        <v>217.42276796952058</v>
      </c>
      <c r="U386" s="51"/>
      <c r="V386" s="24" t="s">
        <v>58</v>
      </c>
      <c r="X386" s="2" t="s">
        <v>103</v>
      </c>
      <c r="AR386" s="4"/>
      <c r="AS386" s="5"/>
    </row>
    <row r="387" spans="2:45" x14ac:dyDescent="0.25">
      <c r="B387" s="3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5"/>
    </row>
    <row r="388" spans="2:45" x14ac:dyDescent="0.25">
      <c r="B388" s="3"/>
      <c r="C388" s="4"/>
      <c r="D388" s="15" t="s">
        <v>120</v>
      </c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5"/>
    </row>
    <row r="389" spans="2:45" x14ac:dyDescent="0.25">
      <c r="B389" s="3"/>
      <c r="C389" s="4"/>
      <c r="D389" s="16" t="s">
        <v>78</v>
      </c>
      <c r="E389" s="4"/>
      <c r="F389" s="4"/>
      <c r="G389" s="4"/>
      <c r="H389" s="4"/>
      <c r="I389" s="4"/>
      <c r="J389" s="4"/>
      <c r="K389" s="4"/>
      <c r="M389" s="50">
        <f>+AE317/2</f>
        <v>0.01</v>
      </c>
      <c r="N389" s="50"/>
      <c r="O389" s="4" t="s">
        <v>21</v>
      </c>
      <c r="P389" s="4"/>
      <c r="Q389" s="55" t="s">
        <v>82</v>
      </c>
      <c r="R389" s="56"/>
      <c r="S389" s="56"/>
      <c r="T389" s="56"/>
      <c r="U389" s="56"/>
      <c r="V389" s="56"/>
      <c r="W389" s="56"/>
      <c r="X389" s="56"/>
      <c r="Y389" s="56"/>
      <c r="Z389" s="57"/>
      <c r="AA389" s="69" t="s">
        <v>1</v>
      </c>
      <c r="AB389" s="70"/>
      <c r="AC389" s="71"/>
      <c r="AD389" s="69" t="s">
        <v>4</v>
      </c>
      <c r="AE389" s="70"/>
      <c r="AF389" s="71"/>
      <c r="AG389" s="69" t="s">
        <v>5</v>
      </c>
      <c r="AH389" s="70"/>
      <c r="AI389" s="71"/>
      <c r="AJ389" s="69" t="s">
        <v>3</v>
      </c>
      <c r="AK389" s="70"/>
      <c r="AL389" s="71"/>
      <c r="AM389" s="69" t="s">
        <v>2</v>
      </c>
      <c r="AN389" s="70"/>
      <c r="AO389" s="71"/>
      <c r="AP389" s="69" t="s">
        <v>6</v>
      </c>
      <c r="AQ389" s="70"/>
      <c r="AR389" s="71"/>
      <c r="AS389" s="5"/>
    </row>
    <row r="390" spans="2:45" ht="12" thickBot="1" x14ac:dyDescent="0.3">
      <c r="B390" s="3"/>
      <c r="C390" s="4"/>
      <c r="D390" s="16" t="s">
        <v>18</v>
      </c>
      <c r="E390" s="4"/>
      <c r="F390" s="4"/>
      <c r="G390" s="4"/>
      <c r="H390" s="4"/>
      <c r="I390" s="4"/>
      <c r="J390" s="4"/>
      <c r="K390" s="4"/>
      <c r="M390" s="50">
        <f>+AE318</f>
        <v>0.05</v>
      </c>
      <c r="N390" s="50"/>
      <c r="O390" s="4" t="s">
        <v>21</v>
      </c>
      <c r="P390" s="4"/>
      <c r="Q390" s="66"/>
      <c r="R390" s="67"/>
      <c r="S390" s="67"/>
      <c r="T390" s="67"/>
      <c r="U390" s="67"/>
      <c r="V390" s="67"/>
      <c r="W390" s="67"/>
      <c r="X390" s="67"/>
      <c r="Y390" s="67"/>
      <c r="Z390" s="68"/>
      <c r="AA390" s="72"/>
      <c r="AB390" s="73"/>
      <c r="AC390" s="74"/>
      <c r="AD390" s="72"/>
      <c r="AE390" s="73"/>
      <c r="AF390" s="74"/>
      <c r="AG390" s="72"/>
      <c r="AH390" s="73"/>
      <c r="AI390" s="74"/>
      <c r="AJ390" s="72"/>
      <c r="AK390" s="73"/>
      <c r="AL390" s="74"/>
      <c r="AM390" s="72"/>
      <c r="AN390" s="73"/>
      <c r="AO390" s="74"/>
      <c r="AP390" s="72"/>
      <c r="AQ390" s="73"/>
      <c r="AR390" s="74"/>
      <c r="AS390" s="5"/>
    </row>
    <row r="391" spans="2:45" ht="12" thickTop="1" x14ac:dyDescent="0.25">
      <c r="B391" s="3"/>
      <c r="C391" s="4"/>
      <c r="D391" s="16" t="s">
        <v>40</v>
      </c>
      <c r="E391" s="4"/>
      <c r="F391" s="4"/>
      <c r="G391" s="4"/>
      <c r="H391" s="4"/>
      <c r="I391" s="4"/>
      <c r="J391" s="4"/>
      <c r="K391" s="4"/>
      <c r="M391" s="63">
        <f>+AE319</f>
        <v>0.4</v>
      </c>
      <c r="N391" s="63"/>
      <c r="O391" s="11" t="s">
        <v>21</v>
      </c>
      <c r="P391" s="4"/>
      <c r="Q391" s="10" t="s">
        <v>23</v>
      </c>
      <c r="R391" s="11"/>
      <c r="S391" s="11"/>
      <c r="T391" s="11"/>
      <c r="U391" s="11"/>
      <c r="V391" s="11"/>
      <c r="W391" s="11"/>
      <c r="X391" s="11"/>
      <c r="Y391" s="11"/>
      <c r="Z391" s="9"/>
      <c r="AA391" s="62">
        <f>+Z325</f>
        <v>150.03751441614895</v>
      </c>
      <c r="AB391" s="62"/>
      <c r="AC391" s="62"/>
      <c r="AD391" s="62">
        <f>+AC325</f>
        <v>19.167552647135842</v>
      </c>
      <c r="AE391" s="62"/>
      <c r="AF391" s="62"/>
      <c r="AG391" s="62">
        <f>+AF325</f>
        <v>19.167552647135842</v>
      </c>
      <c r="AH391" s="62"/>
      <c r="AI391" s="62"/>
      <c r="AJ391" s="62">
        <f>+AI325</f>
        <v>73.57326071917349</v>
      </c>
      <c r="AK391" s="62"/>
      <c r="AL391" s="62"/>
      <c r="AM391" s="62">
        <f>+AL325</f>
        <v>73.57326071917349</v>
      </c>
      <c r="AN391" s="62"/>
      <c r="AO391" s="62"/>
      <c r="AP391" s="62">
        <f>+AO325</f>
        <v>24.480858851232373</v>
      </c>
      <c r="AQ391" s="62"/>
      <c r="AR391" s="62"/>
      <c r="AS391" s="5"/>
    </row>
    <row r="392" spans="2:45" x14ac:dyDescent="0.25">
      <c r="B392" s="3"/>
      <c r="C392" s="4"/>
      <c r="D392" s="16" t="s">
        <v>83</v>
      </c>
      <c r="E392" s="4"/>
      <c r="F392" s="4"/>
      <c r="G392" s="4"/>
      <c r="H392" s="4"/>
      <c r="I392" s="4"/>
      <c r="J392" s="4"/>
      <c r="K392" s="4"/>
      <c r="M392" s="50">
        <f>SUM(M389:N391)</f>
        <v>0.46</v>
      </c>
      <c r="N392" s="50"/>
      <c r="O392" s="4" t="s">
        <v>21</v>
      </c>
      <c r="P392" s="4"/>
      <c r="Q392" s="13" t="s">
        <v>24</v>
      </c>
      <c r="R392" s="14"/>
      <c r="S392" s="14"/>
      <c r="T392" s="14"/>
      <c r="U392" s="14"/>
      <c r="V392" s="14"/>
      <c r="W392" s="14"/>
      <c r="X392" s="14"/>
      <c r="Y392" s="14"/>
      <c r="Z392" s="12"/>
      <c r="AA392" s="54">
        <f>+Z326</f>
        <v>3</v>
      </c>
      <c r="AB392" s="54"/>
      <c r="AC392" s="54"/>
      <c r="AD392" s="54">
        <f>+AC326</f>
        <v>5</v>
      </c>
      <c r="AE392" s="54"/>
      <c r="AF392" s="54"/>
      <c r="AG392" s="54">
        <f>+AF326</f>
        <v>5</v>
      </c>
      <c r="AH392" s="54"/>
      <c r="AI392" s="54"/>
      <c r="AJ392" s="54">
        <f>+AI326</f>
        <v>2</v>
      </c>
      <c r="AK392" s="54"/>
      <c r="AL392" s="54"/>
      <c r="AM392" s="54">
        <f>+AL326</f>
        <v>2</v>
      </c>
      <c r="AN392" s="54"/>
      <c r="AO392" s="54"/>
      <c r="AP392" s="54">
        <f>+AO326</f>
        <v>7</v>
      </c>
      <c r="AQ392" s="54"/>
      <c r="AR392" s="54"/>
      <c r="AS392" s="5"/>
    </row>
    <row r="393" spans="2:45" x14ac:dyDescent="0.25">
      <c r="B393" s="3"/>
      <c r="C393" s="4"/>
      <c r="P393" s="4"/>
      <c r="Q393" s="13" t="s">
        <v>79</v>
      </c>
      <c r="R393" s="14"/>
      <c r="S393" s="14"/>
      <c r="T393" s="14"/>
      <c r="U393" s="14"/>
      <c r="V393" s="14"/>
      <c r="W393" s="14"/>
      <c r="X393" s="14"/>
      <c r="Y393" s="14"/>
      <c r="Z393" s="12"/>
      <c r="AA393" s="54">
        <f>+AA392+M392</f>
        <v>3.46</v>
      </c>
      <c r="AB393" s="54"/>
      <c r="AC393" s="54"/>
      <c r="AD393" s="54">
        <f>+AD392+M392</f>
        <v>5.46</v>
      </c>
      <c r="AE393" s="54"/>
      <c r="AF393" s="54"/>
      <c r="AG393" s="54">
        <f>+AG392+M392</f>
        <v>5.46</v>
      </c>
      <c r="AH393" s="54"/>
      <c r="AI393" s="54"/>
      <c r="AJ393" s="54">
        <f>+AJ392+M392</f>
        <v>2.46</v>
      </c>
      <c r="AK393" s="54"/>
      <c r="AL393" s="54"/>
      <c r="AM393" s="54">
        <f>+M392+AM392</f>
        <v>2.46</v>
      </c>
      <c r="AN393" s="54"/>
      <c r="AO393" s="54"/>
      <c r="AP393" s="54">
        <f>+M392+AP392</f>
        <v>7.46</v>
      </c>
      <c r="AQ393" s="54"/>
      <c r="AR393" s="54"/>
      <c r="AS393" s="5"/>
    </row>
    <row r="394" spans="2:45" x14ac:dyDescent="0.25">
      <c r="B394" s="3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55" t="s">
        <v>80</v>
      </c>
      <c r="R394" s="56"/>
      <c r="S394" s="56"/>
      <c r="T394" s="56"/>
      <c r="U394" s="56"/>
      <c r="V394" s="56"/>
      <c r="W394" s="56"/>
      <c r="X394" s="56"/>
      <c r="Y394" s="56"/>
      <c r="Z394" s="57"/>
      <c r="AA394" s="61">
        <f>2*PI()*AA393*AA391/360</f>
        <v>9.0605242531230896</v>
      </c>
      <c r="AB394" s="61"/>
      <c r="AC394" s="61"/>
      <c r="AD394" s="61">
        <f t="shared" ref="AD394" si="71">2*PI()*AD393*AD391/360</f>
        <v>1.8265714917006393</v>
      </c>
      <c r="AE394" s="61"/>
      <c r="AF394" s="61"/>
      <c r="AG394" s="61">
        <f t="shared" ref="AG394" si="72">2*PI()*AG393*AG391/360</f>
        <v>1.8265714917006393</v>
      </c>
      <c r="AH394" s="61"/>
      <c r="AI394" s="61"/>
      <c r="AJ394" s="61">
        <f t="shared" ref="AJ394" si="73">2*PI()*AJ393*AJ391/360</f>
        <v>3.1588752768053596</v>
      </c>
      <c r="AK394" s="61"/>
      <c r="AL394" s="61"/>
      <c r="AM394" s="61">
        <f t="shared" ref="AM394" si="74">2*PI()*AM393*AM391/360</f>
        <v>3.1588752768053596</v>
      </c>
      <c r="AN394" s="61"/>
      <c r="AO394" s="61"/>
      <c r="AP394" s="61">
        <f t="shared" ref="AP394" si="75">2*PI()*AP393*AP391/360</f>
        <v>3.1874460663982114</v>
      </c>
      <c r="AQ394" s="61"/>
      <c r="AR394" s="61"/>
      <c r="AS394" s="5"/>
    </row>
    <row r="395" spans="2:45" x14ac:dyDescent="0.25">
      <c r="B395" s="3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58"/>
      <c r="R395" s="59"/>
      <c r="S395" s="59"/>
      <c r="T395" s="59"/>
      <c r="U395" s="59"/>
      <c r="V395" s="59"/>
      <c r="W395" s="59"/>
      <c r="X395" s="59"/>
      <c r="Y395" s="59"/>
      <c r="Z395" s="60"/>
      <c r="AA395" s="61"/>
      <c r="AB395" s="61"/>
      <c r="AC395" s="61"/>
      <c r="AD395" s="61"/>
      <c r="AE395" s="61"/>
      <c r="AF395" s="61"/>
      <c r="AG395" s="61"/>
      <c r="AH395" s="61"/>
      <c r="AI395" s="61"/>
      <c r="AJ395" s="61"/>
      <c r="AK395" s="61"/>
      <c r="AL395" s="61"/>
      <c r="AM395" s="61"/>
      <c r="AN395" s="61"/>
      <c r="AO395" s="61"/>
      <c r="AP395" s="61"/>
      <c r="AQ395" s="61"/>
      <c r="AR395" s="61"/>
      <c r="AS395" s="5"/>
    </row>
    <row r="396" spans="2:45" x14ac:dyDescent="0.25">
      <c r="B396" s="3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13" t="s">
        <v>81</v>
      </c>
      <c r="R396" s="14"/>
      <c r="S396" s="14"/>
      <c r="T396" s="14"/>
      <c r="U396" s="14"/>
      <c r="V396" s="14"/>
      <c r="W396" s="14"/>
      <c r="X396" s="14"/>
      <c r="Y396" s="14"/>
      <c r="Z396" s="12"/>
      <c r="AA396" s="46">
        <f>SUM(AA394:AR395)</f>
        <v>22.2188638565333</v>
      </c>
      <c r="AB396" s="47"/>
      <c r="AC396" s="47"/>
      <c r="AD396" s="47"/>
      <c r="AE396" s="47"/>
      <c r="AF396" s="47"/>
      <c r="AG396" s="47"/>
      <c r="AH396" s="47"/>
      <c r="AI396" s="47"/>
      <c r="AJ396" s="47"/>
      <c r="AK396" s="47"/>
      <c r="AL396" s="47"/>
      <c r="AM396" s="47"/>
      <c r="AN396" s="47"/>
      <c r="AO396" s="47"/>
      <c r="AP396" s="47"/>
      <c r="AQ396" s="47"/>
      <c r="AR396" s="48"/>
      <c r="AS396" s="5"/>
    </row>
    <row r="397" spans="2:45" x14ac:dyDescent="0.25">
      <c r="B397" s="3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5"/>
    </row>
    <row r="398" spans="2:45" x14ac:dyDescent="0.25">
      <c r="B398" s="3"/>
      <c r="D398" s="20" t="s">
        <v>115</v>
      </c>
      <c r="E398" s="4"/>
      <c r="F398" s="4"/>
      <c r="G398" s="4"/>
      <c r="H398" s="4"/>
      <c r="I398" s="4"/>
      <c r="J398" s="4"/>
      <c r="K398" s="4"/>
      <c r="M398" s="64">
        <f>+AA396</f>
        <v>22.2188638565333</v>
      </c>
      <c r="N398" s="65"/>
      <c r="O398" s="28" t="s">
        <v>37</v>
      </c>
      <c r="P398" s="2" t="s">
        <v>103</v>
      </c>
      <c r="Q398" s="4"/>
      <c r="R398" s="4"/>
      <c r="S398" s="4"/>
      <c r="T398" s="4"/>
      <c r="V398" s="4" t="s">
        <v>109</v>
      </c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5"/>
    </row>
    <row r="399" spans="2:45" x14ac:dyDescent="0.25">
      <c r="B399" s="3"/>
      <c r="C399" s="4"/>
      <c r="D399" s="4"/>
      <c r="E399" s="4"/>
      <c r="F399" s="4"/>
      <c r="G399" s="4"/>
      <c r="H399" s="4"/>
      <c r="I399" s="4"/>
      <c r="J399" s="4"/>
      <c r="K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5"/>
    </row>
    <row r="400" spans="2:45" x14ac:dyDescent="0.25">
      <c r="B400" s="3"/>
      <c r="C400" s="4"/>
      <c r="D400" s="15" t="s">
        <v>121</v>
      </c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5"/>
    </row>
    <row r="401" spans="2:45" x14ac:dyDescent="0.25">
      <c r="B401" s="3"/>
      <c r="C401" s="4"/>
      <c r="D401" s="16" t="s">
        <v>100</v>
      </c>
      <c r="E401" s="4"/>
      <c r="F401" s="4"/>
      <c r="G401" s="4"/>
      <c r="H401" s="4"/>
      <c r="I401" s="4"/>
      <c r="J401" s="4"/>
      <c r="M401" s="50">
        <f>IF(L405="evet",AE318/2/2,0)</f>
        <v>1.2500000000000001E-2</v>
      </c>
      <c r="N401" s="50"/>
      <c r="O401" s="4" t="s">
        <v>21</v>
      </c>
      <c r="Q401" s="55" t="s">
        <v>87</v>
      </c>
      <c r="R401" s="56"/>
      <c r="S401" s="56"/>
      <c r="T401" s="56"/>
      <c r="U401" s="56"/>
      <c r="V401" s="56"/>
      <c r="W401" s="56"/>
      <c r="X401" s="56"/>
      <c r="Y401" s="56"/>
      <c r="Z401" s="57"/>
      <c r="AA401" s="69" t="s">
        <v>1</v>
      </c>
      <c r="AB401" s="70"/>
      <c r="AC401" s="71"/>
      <c r="AD401" s="69" t="s">
        <v>4</v>
      </c>
      <c r="AE401" s="70"/>
      <c r="AF401" s="71"/>
      <c r="AG401" s="69" t="s">
        <v>5</v>
      </c>
      <c r="AH401" s="70"/>
      <c r="AI401" s="71"/>
      <c r="AJ401" s="69" t="s">
        <v>3</v>
      </c>
      <c r="AK401" s="70"/>
      <c r="AL401" s="71"/>
      <c r="AM401" s="69" t="s">
        <v>2</v>
      </c>
      <c r="AN401" s="70"/>
      <c r="AO401" s="71"/>
      <c r="AP401" s="69" t="s">
        <v>6</v>
      </c>
      <c r="AQ401" s="70"/>
      <c r="AR401" s="71"/>
      <c r="AS401" s="5"/>
    </row>
    <row r="402" spans="2:45" ht="12" thickBot="1" x14ac:dyDescent="0.3">
      <c r="B402" s="3"/>
      <c r="C402" s="4"/>
      <c r="D402" s="16" t="s">
        <v>106</v>
      </c>
      <c r="E402" s="4"/>
      <c r="F402" s="4"/>
      <c r="G402" s="4"/>
      <c r="H402" s="4"/>
      <c r="I402" s="4"/>
      <c r="J402" s="4"/>
      <c r="M402" s="63">
        <f>+AE319/2</f>
        <v>0.2</v>
      </c>
      <c r="N402" s="63"/>
      <c r="O402" s="11" t="s">
        <v>21</v>
      </c>
      <c r="Q402" s="66"/>
      <c r="R402" s="67"/>
      <c r="S402" s="67"/>
      <c r="T402" s="67"/>
      <c r="U402" s="67"/>
      <c r="V402" s="67"/>
      <c r="W402" s="67"/>
      <c r="X402" s="67"/>
      <c r="Y402" s="67"/>
      <c r="Z402" s="68"/>
      <c r="AA402" s="72"/>
      <c r="AB402" s="73"/>
      <c r="AC402" s="74"/>
      <c r="AD402" s="72"/>
      <c r="AE402" s="73"/>
      <c r="AF402" s="74"/>
      <c r="AG402" s="72"/>
      <c r="AH402" s="73"/>
      <c r="AI402" s="74"/>
      <c r="AJ402" s="72"/>
      <c r="AK402" s="73"/>
      <c r="AL402" s="74"/>
      <c r="AM402" s="72"/>
      <c r="AN402" s="73"/>
      <c r="AO402" s="74"/>
      <c r="AP402" s="72"/>
      <c r="AQ402" s="73"/>
      <c r="AR402" s="74"/>
      <c r="AS402" s="5"/>
    </row>
    <row r="403" spans="2:45" ht="12" thickTop="1" x14ac:dyDescent="0.25">
      <c r="B403" s="3"/>
      <c r="C403" s="4"/>
      <c r="D403" s="16"/>
      <c r="E403" s="4"/>
      <c r="F403" s="4"/>
      <c r="G403" s="4"/>
      <c r="H403" s="4"/>
      <c r="I403" s="4"/>
      <c r="J403" s="4"/>
      <c r="M403" s="50">
        <f>SUM(M401:N402)</f>
        <v>0.21250000000000002</v>
      </c>
      <c r="N403" s="50"/>
      <c r="O403" s="4" t="s">
        <v>21</v>
      </c>
      <c r="P403" s="4"/>
      <c r="Q403" s="10" t="s">
        <v>23</v>
      </c>
      <c r="R403" s="11"/>
      <c r="S403" s="11"/>
      <c r="T403" s="11"/>
      <c r="U403" s="11"/>
      <c r="V403" s="11"/>
      <c r="W403" s="11"/>
      <c r="X403" s="11"/>
      <c r="Y403" s="11"/>
      <c r="Z403" s="9"/>
      <c r="AA403" s="62">
        <f>+Z325</f>
        <v>150.03751441614895</v>
      </c>
      <c r="AB403" s="62"/>
      <c r="AC403" s="62"/>
      <c r="AD403" s="62">
        <f>+AC325</f>
        <v>19.167552647135842</v>
      </c>
      <c r="AE403" s="62"/>
      <c r="AF403" s="62"/>
      <c r="AG403" s="62">
        <f>+AF325</f>
        <v>19.167552647135842</v>
      </c>
      <c r="AH403" s="62"/>
      <c r="AI403" s="62"/>
      <c r="AJ403" s="62">
        <f>+AI325</f>
        <v>73.57326071917349</v>
      </c>
      <c r="AK403" s="62"/>
      <c r="AL403" s="62"/>
      <c r="AM403" s="62">
        <f>+AL325</f>
        <v>73.57326071917349</v>
      </c>
      <c r="AN403" s="62"/>
      <c r="AO403" s="62"/>
      <c r="AP403" s="62">
        <f>+AO325</f>
        <v>24.480858851232373</v>
      </c>
      <c r="AQ403" s="62"/>
      <c r="AR403" s="62"/>
      <c r="AS403" s="5"/>
    </row>
    <row r="404" spans="2:45" x14ac:dyDescent="0.25">
      <c r="B404" s="3"/>
      <c r="C404" s="4"/>
      <c r="D404" s="52" t="s">
        <v>91</v>
      </c>
      <c r="E404" s="52"/>
      <c r="F404" s="52"/>
      <c r="G404" s="52"/>
      <c r="H404" s="52"/>
      <c r="I404" s="52"/>
      <c r="J404" s="52"/>
      <c r="K404" s="52"/>
      <c r="L404" s="4"/>
      <c r="M404" s="4"/>
      <c r="O404" s="4"/>
      <c r="P404" s="4"/>
      <c r="Q404" s="13" t="s">
        <v>24</v>
      </c>
      <c r="R404" s="14"/>
      <c r="S404" s="14"/>
      <c r="T404" s="14"/>
      <c r="U404" s="14"/>
      <c r="V404" s="14"/>
      <c r="W404" s="14"/>
      <c r="X404" s="14"/>
      <c r="Y404" s="14"/>
      <c r="Z404" s="12"/>
      <c r="AA404" s="54">
        <f>+Z326</f>
        <v>3</v>
      </c>
      <c r="AB404" s="54"/>
      <c r="AC404" s="54"/>
      <c r="AD404" s="54">
        <f>+AC326</f>
        <v>5</v>
      </c>
      <c r="AE404" s="54"/>
      <c r="AF404" s="54"/>
      <c r="AG404" s="54">
        <f>+AF326</f>
        <v>5</v>
      </c>
      <c r="AH404" s="54"/>
      <c r="AI404" s="54"/>
      <c r="AJ404" s="54">
        <f>+AI326</f>
        <v>2</v>
      </c>
      <c r="AK404" s="54"/>
      <c r="AL404" s="54"/>
      <c r="AM404" s="54">
        <f>+AL326</f>
        <v>2</v>
      </c>
      <c r="AN404" s="54"/>
      <c r="AO404" s="54"/>
      <c r="AP404" s="54">
        <f>+AO326</f>
        <v>7</v>
      </c>
      <c r="AQ404" s="54"/>
      <c r="AR404" s="54"/>
      <c r="AS404" s="5"/>
    </row>
    <row r="405" spans="2:45" x14ac:dyDescent="0.25">
      <c r="B405" s="3"/>
      <c r="C405" s="4"/>
      <c r="D405" s="52"/>
      <c r="E405" s="52"/>
      <c r="F405" s="52"/>
      <c r="G405" s="52"/>
      <c r="H405" s="52"/>
      <c r="I405" s="52"/>
      <c r="J405" s="52"/>
      <c r="K405" s="52"/>
      <c r="L405" s="53" t="s">
        <v>92</v>
      </c>
      <c r="M405" s="53"/>
      <c r="O405" s="4"/>
      <c r="P405" s="4"/>
      <c r="Q405" s="13" t="s">
        <v>88</v>
      </c>
      <c r="R405" s="14"/>
      <c r="S405" s="14"/>
      <c r="T405" s="14"/>
      <c r="U405" s="14"/>
      <c r="V405" s="14"/>
      <c r="W405" s="14"/>
      <c r="X405" s="14"/>
      <c r="Y405" s="14"/>
      <c r="Z405" s="12"/>
      <c r="AA405" s="54">
        <f>+AA404+M403</f>
        <v>3.2124999999999999</v>
      </c>
      <c r="AB405" s="54"/>
      <c r="AC405" s="54"/>
      <c r="AD405" s="54">
        <f>+AD404+M403</f>
        <v>5.2125000000000004</v>
      </c>
      <c r="AE405" s="54"/>
      <c r="AF405" s="54"/>
      <c r="AG405" s="54">
        <f>+AG404+M403</f>
        <v>5.2125000000000004</v>
      </c>
      <c r="AH405" s="54"/>
      <c r="AI405" s="54"/>
      <c r="AJ405" s="54">
        <f>+AJ404+M403</f>
        <v>2.2124999999999999</v>
      </c>
      <c r="AK405" s="54"/>
      <c r="AL405" s="54"/>
      <c r="AM405" s="54">
        <f>+M403+AM404</f>
        <v>2.2124999999999999</v>
      </c>
      <c r="AN405" s="54"/>
      <c r="AO405" s="54"/>
      <c r="AP405" s="54">
        <f>+M403+AP404</f>
        <v>7.2125000000000004</v>
      </c>
      <c r="AQ405" s="54"/>
      <c r="AR405" s="54"/>
      <c r="AS405" s="5"/>
    </row>
    <row r="406" spans="2:45" x14ac:dyDescent="0.25">
      <c r="B406" s="3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55" t="s">
        <v>89</v>
      </c>
      <c r="R406" s="56"/>
      <c r="S406" s="56"/>
      <c r="T406" s="56"/>
      <c r="U406" s="56"/>
      <c r="V406" s="56"/>
      <c r="W406" s="56"/>
      <c r="X406" s="56"/>
      <c r="Y406" s="56"/>
      <c r="Z406" s="57"/>
      <c r="AA406" s="61">
        <f>2*PI()*AA405*AA403/360</f>
        <v>8.4124087176757012</v>
      </c>
      <c r="AB406" s="61"/>
      <c r="AC406" s="61"/>
      <c r="AD406" s="61">
        <f t="shared" ref="AD406" si="76">2*PI()*AD405*AD403/360</f>
        <v>1.7437736081482753</v>
      </c>
      <c r="AE406" s="61"/>
      <c r="AF406" s="61"/>
      <c r="AG406" s="61">
        <f t="shared" ref="AG406" si="77">2*PI()*AG405*AG403/360</f>
        <v>1.7437736081482753</v>
      </c>
      <c r="AH406" s="61"/>
      <c r="AI406" s="61"/>
      <c r="AJ406" s="61">
        <f t="shared" ref="AJ406" si="78">2*PI()*AJ405*AJ403/360</f>
        <v>2.8410616056633566</v>
      </c>
      <c r="AK406" s="61"/>
      <c r="AL406" s="61"/>
      <c r="AM406" s="61">
        <f t="shared" ref="AM406" si="79">2*PI()*AM405*AM403/360</f>
        <v>2.8410616056633566</v>
      </c>
      <c r="AN406" s="61"/>
      <c r="AO406" s="61"/>
      <c r="AP406" s="61">
        <f t="shared" ref="AP406" si="80">2*PI()*AP405*AP403/360</f>
        <v>3.0816963477073864</v>
      </c>
      <c r="AQ406" s="61"/>
      <c r="AR406" s="61"/>
      <c r="AS406" s="5"/>
    </row>
    <row r="407" spans="2:45" x14ac:dyDescent="0.25">
      <c r="B407" s="3"/>
      <c r="C407" s="4"/>
      <c r="N407" s="4"/>
      <c r="O407" s="4"/>
      <c r="P407" s="4"/>
      <c r="Q407" s="58"/>
      <c r="R407" s="59"/>
      <c r="S407" s="59"/>
      <c r="T407" s="59"/>
      <c r="U407" s="59"/>
      <c r="V407" s="59"/>
      <c r="W407" s="59"/>
      <c r="X407" s="59"/>
      <c r="Y407" s="59"/>
      <c r="Z407" s="60"/>
      <c r="AA407" s="61"/>
      <c r="AB407" s="61"/>
      <c r="AC407" s="61"/>
      <c r="AD407" s="61"/>
      <c r="AE407" s="61"/>
      <c r="AF407" s="61"/>
      <c r="AG407" s="61"/>
      <c r="AH407" s="61"/>
      <c r="AI407" s="61"/>
      <c r="AJ407" s="61"/>
      <c r="AK407" s="61"/>
      <c r="AL407" s="61"/>
      <c r="AM407" s="61"/>
      <c r="AN407" s="61"/>
      <c r="AO407" s="61"/>
      <c r="AP407" s="61"/>
      <c r="AQ407" s="61"/>
      <c r="AR407" s="61"/>
      <c r="AS407" s="5"/>
    </row>
    <row r="408" spans="2:45" x14ac:dyDescent="0.25">
      <c r="B408" s="3"/>
      <c r="C408" s="4"/>
      <c r="N408" s="4"/>
      <c r="O408" s="4"/>
      <c r="P408" s="4"/>
      <c r="Q408" s="13" t="s">
        <v>90</v>
      </c>
      <c r="R408" s="14"/>
      <c r="S408" s="14"/>
      <c r="T408" s="14"/>
      <c r="U408" s="14"/>
      <c r="V408" s="14"/>
      <c r="W408" s="14"/>
      <c r="X408" s="14"/>
      <c r="Y408" s="14"/>
      <c r="Z408" s="12"/>
      <c r="AA408" s="46">
        <f>SUM(AA406:AR407)</f>
        <v>20.663775493006352</v>
      </c>
      <c r="AB408" s="47"/>
      <c r="AC408" s="47"/>
      <c r="AD408" s="47"/>
      <c r="AE408" s="47"/>
      <c r="AF408" s="47"/>
      <c r="AG408" s="47"/>
      <c r="AH408" s="47"/>
      <c r="AI408" s="47"/>
      <c r="AJ408" s="47"/>
      <c r="AK408" s="47"/>
      <c r="AL408" s="47"/>
      <c r="AM408" s="47"/>
      <c r="AN408" s="47"/>
      <c r="AO408" s="47"/>
      <c r="AP408" s="47"/>
      <c r="AQ408" s="47"/>
      <c r="AR408" s="48"/>
      <c r="AS408" s="5"/>
    </row>
    <row r="409" spans="2:45" x14ac:dyDescent="0.25">
      <c r="B409" s="3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AR409" s="4"/>
      <c r="AS409" s="5"/>
    </row>
    <row r="410" spans="2:45" x14ac:dyDescent="0.25">
      <c r="B410" s="3"/>
      <c r="C410" s="20" t="s">
        <v>114</v>
      </c>
      <c r="D410" s="4"/>
      <c r="E410" s="4"/>
      <c r="F410" s="4"/>
      <c r="G410" s="4"/>
      <c r="H410" s="4"/>
      <c r="I410" s="4"/>
      <c r="J410" s="4"/>
      <c r="K410" s="4"/>
      <c r="Q410" s="49">
        <f>+AA408</f>
        <v>20.663775493006352</v>
      </c>
      <c r="R410" s="50"/>
      <c r="S410" s="33" t="s">
        <v>30</v>
      </c>
      <c r="T410" s="50">
        <f>M402*2+M401*2</f>
        <v>0.42500000000000004</v>
      </c>
      <c r="U410" s="50"/>
      <c r="V410" s="34" t="s">
        <v>38</v>
      </c>
      <c r="W410" s="51">
        <f>+Q410*T410</f>
        <v>8.7821045845276995</v>
      </c>
      <c r="X410" s="51"/>
      <c r="Y410" s="24" t="s">
        <v>102</v>
      </c>
      <c r="AA410" s="2" t="s">
        <v>103</v>
      </c>
      <c r="AR410" s="4"/>
      <c r="AS410" s="5"/>
    </row>
    <row r="411" spans="2:45" ht="12" thickBot="1" x14ac:dyDescent="0.3">
      <c r="B411" s="29"/>
      <c r="C411" s="30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  <c r="Y411" s="30"/>
      <c r="Z411" s="30"/>
      <c r="AA411" s="30"/>
      <c r="AB411" s="30"/>
      <c r="AC411" s="30"/>
      <c r="AD411" s="30"/>
      <c r="AE411" s="30"/>
      <c r="AF411" s="30"/>
      <c r="AG411" s="30"/>
      <c r="AH411" s="30"/>
      <c r="AI411" s="30"/>
      <c r="AJ411" s="30"/>
      <c r="AK411" s="30"/>
      <c r="AL411" s="30"/>
      <c r="AM411" s="30"/>
      <c r="AN411" s="30"/>
      <c r="AO411" s="30"/>
      <c r="AP411" s="30"/>
      <c r="AQ411" s="30"/>
      <c r="AR411" s="30"/>
      <c r="AS411" s="31"/>
    </row>
  </sheetData>
  <sheetProtection algorithmName="SHA-512" hashValue="RqHgqclUVwcngU4HFAURma6YiwFTfmLev6v94awYDaq4E+io10MxvLKyIiFjdt0t4krv1AjwWkCII91Hz3e7rA==" saltValue="vRhudU2sH0vTaFFwj8q/ig==" spinCount="100000" sheet="1" objects="1" scenarios="1"/>
  <mergeCells count="921">
    <mergeCell ref="D404:K405"/>
    <mergeCell ref="L405:M405"/>
    <mergeCell ref="Q406:Z407"/>
    <mergeCell ref="AA406:AC407"/>
    <mergeCell ref="AD406:AF407"/>
    <mergeCell ref="AG406:AI407"/>
    <mergeCell ref="AJ406:AL407"/>
    <mergeCell ref="AM406:AO407"/>
    <mergeCell ref="AP406:AR407"/>
    <mergeCell ref="M389:N389"/>
    <mergeCell ref="Q389:Z390"/>
    <mergeCell ref="AA389:AC390"/>
    <mergeCell ref="AD389:AF390"/>
    <mergeCell ref="AG389:AI390"/>
    <mergeCell ref="AJ389:AL390"/>
    <mergeCell ref="AM389:AO390"/>
    <mergeCell ref="AP389:AR390"/>
    <mergeCell ref="AA391:AC391"/>
    <mergeCell ref="AD391:AF391"/>
    <mergeCell ref="AG391:AI391"/>
    <mergeCell ref="AJ391:AL391"/>
    <mergeCell ref="AM391:AO391"/>
    <mergeCell ref="AP391:AR391"/>
    <mergeCell ref="M390:N390"/>
    <mergeCell ref="M391:N391"/>
    <mergeCell ref="L384:M384"/>
    <mergeCell ref="O384:P384"/>
    <mergeCell ref="R384:S384"/>
    <mergeCell ref="U384:V384"/>
    <mergeCell ref="X384:Y384"/>
    <mergeCell ref="AA384:AB384"/>
    <mergeCell ref="N386:O386"/>
    <mergeCell ref="Q386:R386"/>
    <mergeCell ref="T386:U386"/>
    <mergeCell ref="L372:M372"/>
    <mergeCell ref="X372:Y372"/>
    <mergeCell ref="AA372:AB372"/>
    <mergeCell ref="M374:N374"/>
    <mergeCell ref="Q374:Z375"/>
    <mergeCell ref="AA374:AC375"/>
    <mergeCell ref="AD374:AF375"/>
    <mergeCell ref="AG374:AI375"/>
    <mergeCell ref="AJ374:AL375"/>
    <mergeCell ref="O372:P372"/>
    <mergeCell ref="R372:S372"/>
    <mergeCell ref="U372:V372"/>
    <mergeCell ref="AA408:AR408"/>
    <mergeCell ref="Q410:R410"/>
    <mergeCell ref="T410:U410"/>
    <mergeCell ref="W410:X410"/>
    <mergeCell ref="AA404:AC404"/>
    <mergeCell ref="AD404:AF404"/>
    <mergeCell ref="AG404:AI404"/>
    <mergeCell ref="AJ404:AL404"/>
    <mergeCell ref="AM404:AO404"/>
    <mergeCell ref="AP404:AR404"/>
    <mergeCell ref="AA405:AC405"/>
    <mergeCell ref="AD405:AF405"/>
    <mergeCell ref="AG405:AI405"/>
    <mergeCell ref="AJ405:AL405"/>
    <mergeCell ref="AM405:AO405"/>
    <mergeCell ref="AP405:AR405"/>
    <mergeCell ref="M402:N402"/>
    <mergeCell ref="M403:N403"/>
    <mergeCell ref="M398:N398"/>
    <mergeCell ref="M401:N401"/>
    <mergeCell ref="Q401:Z402"/>
    <mergeCell ref="AA401:AC402"/>
    <mergeCell ref="AD401:AF402"/>
    <mergeCell ref="AG401:AI402"/>
    <mergeCell ref="AJ401:AL402"/>
    <mergeCell ref="AM401:AO402"/>
    <mergeCell ref="AP401:AR402"/>
    <mergeCell ref="AA403:AC403"/>
    <mergeCell ref="AD403:AF403"/>
    <mergeCell ref="AG403:AI403"/>
    <mergeCell ref="AJ403:AL403"/>
    <mergeCell ref="Q394:Z395"/>
    <mergeCell ref="AA394:AC395"/>
    <mergeCell ref="AD394:AF395"/>
    <mergeCell ref="AG394:AI395"/>
    <mergeCell ref="AJ394:AL395"/>
    <mergeCell ref="AM394:AO395"/>
    <mergeCell ref="AP394:AR395"/>
    <mergeCell ref="AA396:AR396"/>
    <mergeCell ref="AM403:AO403"/>
    <mergeCell ref="AP403:AR403"/>
    <mergeCell ref="M392:N392"/>
    <mergeCell ref="AA392:AC392"/>
    <mergeCell ref="AD392:AF392"/>
    <mergeCell ref="AG392:AI392"/>
    <mergeCell ref="AJ392:AL392"/>
    <mergeCell ref="AM392:AO392"/>
    <mergeCell ref="AP392:AR392"/>
    <mergeCell ref="AA393:AC393"/>
    <mergeCell ref="AD393:AF393"/>
    <mergeCell ref="AG393:AI393"/>
    <mergeCell ref="AJ393:AL393"/>
    <mergeCell ref="AM393:AO393"/>
    <mergeCell ref="AP393:AR393"/>
    <mergeCell ref="Q379:Z380"/>
    <mergeCell ref="AA379:AC380"/>
    <mergeCell ref="AD379:AF380"/>
    <mergeCell ref="AG379:AI380"/>
    <mergeCell ref="AJ379:AL380"/>
    <mergeCell ref="AM379:AO380"/>
    <mergeCell ref="AP379:AR380"/>
    <mergeCell ref="AA381:AR381"/>
    <mergeCell ref="O383:P383"/>
    <mergeCell ref="R383:S383"/>
    <mergeCell ref="U383:V383"/>
    <mergeCell ref="M378:N378"/>
    <mergeCell ref="AA378:AC378"/>
    <mergeCell ref="AD378:AF378"/>
    <mergeCell ref="AG378:AI378"/>
    <mergeCell ref="AJ378:AL378"/>
    <mergeCell ref="AM378:AO378"/>
    <mergeCell ref="AP378:AR378"/>
    <mergeCell ref="M376:N376"/>
    <mergeCell ref="M377:N377"/>
    <mergeCell ref="AA377:AC377"/>
    <mergeCell ref="AD377:AF377"/>
    <mergeCell ref="AG377:AI377"/>
    <mergeCell ref="AJ377:AL377"/>
    <mergeCell ref="AM377:AO377"/>
    <mergeCell ref="AP377:AR377"/>
    <mergeCell ref="AM374:AO375"/>
    <mergeCell ref="AP374:AR375"/>
    <mergeCell ref="AA376:AC376"/>
    <mergeCell ref="AD376:AF376"/>
    <mergeCell ref="AG376:AI376"/>
    <mergeCell ref="AJ376:AL376"/>
    <mergeCell ref="AM376:AO376"/>
    <mergeCell ref="AP376:AR376"/>
    <mergeCell ref="M375:N375"/>
    <mergeCell ref="Q367:Z368"/>
    <mergeCell ref="AA367:AC368"/>
    <mergeCell ref="AD367:AF368"/>
    <mergeCell ref="AG367:AI368"/>
    <mergeCell ref="AJ367:AL368"/>
    <mergeCell ref="AM367:AO368"/>
    <mergeCell ref="AP367:AR368"/>
    <mergeCell ref="AA369:AR369"/>
    <mergeCell ref="N371:O371"/>
    <mergeCell ref="Q371:R371"/>
    <mergeCell ref="T371:U371"/>
    <mergeCell ref="AM362:AO363"/>
    <mergeCell ref="AP362:AR363"/>
    <mergeCell ref="AA364:AC364"/>
    <mergeCell ref="AD364:AF364"/>
    <mergeCell ref="AG364:AI364"/>
    <mergeCell ref="AJ364:AL364"/>
    <mergeCell ref="AM364:AO364"/>
    <mergeCell ref="AP364:AR364"/>
    <mergeCell ref="M366:N366"/>
    <mergeCell ref="AA366:AC366"/>
    <mergeCell ref="AD366:AF366"/>
    <mergeCell ref="AG366:AI366"/>
    <mergeCell ref="AJ366:AL366"/>
    <mergeCell ref="AM366:AO366"/>
    <mergeCell ref="AP366:AR366"/>
    <mergeCell ref="M364:N364"/>
    <mergeCell ref="M365:N365"/>
    <mergeCell ref="AA365:AC365"/>
    <mergeCell ref="AD365:AF365"/>
    <mergeCell ref="AG365:AI365"/>
    <mergeCell ref="AJ365:AL365"/>
    <mergeCell ref="AM365:AO365"/>
    <mergeCell ref="AP365:AR365"/>
    <mergeCell ref="M363:N363"/>
    <mergeCell ref="S352:S354"/>
    <mergeCell ref="U352:U354"/>
    <mergeCell ref="AB352:AC352"/>
    <mergeCell ref="AG355:AH355"/>
    <mergeCell ref="AK355:AL355"/>
    <mergeCell ref="R356:S357"/>
    <mergeCell ref="T356:U357"/>
    <mergeCell ref="M362:N362"/>
    <mergeCell ref="Q362:Z363"/>
    <mergeCell ref="AA362:AC363"/>
    <mergeCell ref="AD362:AF363"/>
    <mergeCell ref="AG362:AI363"/>
    <mergeCell ref="AJ362:AL363"/>
    <mergeCell ref="AD350:AE350"/>
    <mergeCell ref="AD351:AE351"/>
    <mergeCell ref="M345:N345"/>
    <mergeCell ref="P345:Q345"/>
    <mergeCell ref="S345:T345"/>
    <mergeCell ref="R349:S350"/>
    <mergeCell ref="T349:U350"/>
    <mergeCell ref="AD349:AE349"/>
    <mergeCell ref="P341:Y342"/>
    <mergeCell ref="Z341:AB342"/>
    <mergeCell ref="AC341:AE342"/>
    <mergeCell ref="AF341:AH342"/>
    <mergeCell ref="AI341:AK342"/>
    <mergeCell ref="AL341:AN342"/>
    <mergeCell ref="AO341:AQ342"/>
    <mergeCell ref="Z343:AQ343"/>
    <mergeCell ref="L339:M339"/>
    <mergeCell ref="Z339:AB339"/>
    <mergeCell ref="AC339:AE339"/>
    <mergeCell ref="AF339:AH339"/>
    <mergeCell ref="AI339:AK339"/>
    <mergeCell ref="AL339:AN339"/>
    <mergeCell ref="AO339:AQ339"/>
    <mergeCell ref="L340:M340"/>
    <mergeCell ref="Z340:AB340"/>
    <mergeCell ref="AC340:AE340"/>
    <mergeCell ref="AF340:AH340"/>
    <mergeCell ref="AI340:AK340"/>
    <mergeCell ref="AL340:AN340"/>
    <mergeCell ref="AO340:AQ340"/>
    <mergeCell ref="AO336:AQ337"/>
    <mergeCell ref="Z338:AB338"/>
    <mergeCell ref="AC338:AE338"/>
    <mergeCell ref="AF338:AH338"/>
    <mergeCell ref="AI338:AK338"/>
    <mergeCell ref="AL338:AN338"/>
    <mergeCell ref="AO338:AQ338"/>
    <mergeCell ref="I333:K333"/>
    <mergeCell ref="M333:N333"/>
    <mergeCell ref="P333:Q333"/>
    <mergeCell ref="L337:M337"/>
    <mergeCell ref="L338:M338"/>
    <mergeCell ref="L336:M336"/>
    <mergeCell ref="P336:Y337"/>
    <mergeCell ref="Z336:AB337"/>
    <mergeCell ref="AC336:AE337"/>
    <mergeCell ref="AF336:AH337"/>
    <mergeCell ref="AI336:AK337"/>
    <mergeCell ref="AL336:AN337"/>
    <mergeCell ref="AC332:AD332"/>
    <mergeCell ref="AF332:AG332"/>
    <mergeCell ref="J331:K331"/>
    <mergeCell ref="M331:N331"/>
    <mergeCell ref="AC331:AD331"/>
    <mergeCell ref="AF331:AG331"/>
    <mergeCell ref="AK331:AL331"/>
    <mergeCell ref="AN331:AO331"/>
    <mergeCell ref="J328:K328"/>
    <mergeCell ref="Z328:AB328"/>
    <mergeCell ref="AC328:AE328"/>
    <mergeCell ref="AF328:AH328"/>
    <mergeCell ref="AI328:AK328"/>
    <mergeCell ref="AL328:AN328"/>
    <mergeCell ref="AO328:AQ328"/>
    <mergeCell ref="Z329:AQ329"/>
    <mergeCell ref="AI332:AJ332"/>
    <mergeCell ref="AN332:AO332"/>
    <mergeCell ref="C332:D332"/>
    <mergeCell ref="J326:K326"/>
    <mergeCell ref="Z326:AB326"/>
    <mergeCell ref="AC326:AE326"/>
    <mergeCell ref="AF326:AH326"/>
    <mergeCell ref="AI326:AK326"/>
    <mergeCell ref="AL326:AN326"/>
    <mergeCell ref="AO326:AQ326"/>
    <mergeCell ref="J327:K327"/>
    <mergeCell ref="Z327:AB327"/>
    <mergeCell ref="AC327:AE327"/>
    <mergeCell ref="AF327:AH327"/>
    <mergeCell ref="AI327:AK327"/>
    <mergeCell ref="AL327:AN327"/>
    <mergeCell ref="AO327:AQ327"/>
    <mergeCell ref="B331:C331"/>
    <mergeCell ref="E331:F331"/>
    <mergeCell ref="R331:S331"/>
    <mergeCell ref="U331:V331"/>
    <mergeCell ref="Z331:AA331"/>
    <mergeCell ref="U332:V332"/>
    <mergeCell ref="X332:Y332"/>
    <mergeCell ref="AI323:AK324"/>
    <mergeCell ref="AL323:AN324"/>
    <mergeCell ref="AO323:AQ324"/>
    <mergeCell ref="J324:K324"/>
    <mergeCell ref="J325:K325"/>
    <mergeCell ref="Z325:AB325"/>
    <mergeCell ref="AC325:AE325"/>
    <mergeCell ref="AF325:AH325"/>
    <mergeCell ref="AI325:AK325"/>
    <mergeCell ref="AL325:AN325"/>
    <mergeCell ref="AO325:AQ325"/>
    <mergeCell ref="D320:E320"/>
    <mergeCell ref="F320:G320"/>
    <mergeCell ref="H320:I320"/>
    <mergeCell ref="J320:K320"/>
    <mergeCell ref="J323:K323"/>
    <mergeCell ref="P323:Y324"/>
    <mergeCell ref="Z323:AB324"/>
    <mergeCell ref="AC323:AE324"/>
    <mergeCell ref="AF323:AH324"/>
    <mergeCell ref="D318:E318"/>
    <mergeCell ref="F318:G318"/>
    <mergeCell ref="H318:I318"/>
    <mergeCell ref="J318:K318"/>
    <mergeCell ref="AC318:AD318"/>
    <mergeCell ref="AE318:AF318"/>
    <mergeCell ref="D319:E319"/>
    <mergeCell ref="F319:G319"/>
    <mergeCell ref="H319:I319"/>
    <mergeCell ref="J319:K319"/>
    <mergeCell ref="AC319:AD319"/>
    <mergeCell ref="AE319:AF319"/>
    <mergeCell ref="D316:E316"/>
    <mergeCell ref="F316:G316"/>
    <mergeCell ref="H316:I316"/>
    <mergeCell ref="J316:K316"/>
    <mergeCell ref="AC316:AD316"/>
    <mergeCell ref="AE316:AF316"/>
    <mergeCell ref="D317:E317"/>
    <mergeCell ref="F317:G317"/>
    <mergeCell ref="H317:I317"/>
    <mergeCell ref="J317:K317"/>
    <mergeCell ref="AC317:AD317"/>
    <mergeCell ref="AE317:AF317"/>
    <mergeCell ref="D313:E314"/>
    <mergeCell ref="F313:G313"/>
    <mergeCell ref="H313:I313"/>
    <mergeCell ref="J313:K313"/>
    <mergeCell ref="AC313:AQ314"/>
    <mergeCell ref="F314:G314"/>
    <mergeCell ref="H314:I314"/>
    <mergeCell ref="J314:K314"/>
    <mergeCell ref="D315:E315"/>
    <mergeCell ref="F315:G315"/>
    <mergeCell ref="H315:I315"/>
    <mergeCell ref="J315:K315"/>
    <mergeCell ref="AC315:AD315"/>
    <mergeCell ref="AE315:AF315"/>
    <mergeCell ref="B270:AS270"/>
    <mergeCell ref="N277:O277"/>
    <mergeCell ref="M310:N310"/>
    <mergeCell ref="B287:B289"/>
    <mergeCell ref="B295:B297"/>
    <mergeCell ref="C294:D294"/>
    <mergeCell ref="C297:D297"/>
    <mergeCell ref="Y295:Y297"/>
    <mergeCell ref="AA294:AA296"/>
    <mergeCell ref="S264:AB265"/>
    <mergeCell ref="AC264:AE265"/>
    <mergeCell ref="AF264:AH265"/>
    <mergeCell ref="AI264:AK265"/>
    <mergeCell ref="AL264:AN265"/>
    <mergeCell ref="Q268:R268"/>
    <mergeCell ref="T268:U268"/>
    <mergeCell ref="W268:X268"/>
    <mergeCell ref="AC266:AN266"/>
    <mergeCell ref="M261:N261"/>
    <mergeCell ref="AC261:AE261"/>
    <mergeCell ref="AF261:AH261"/>
    <mergeCell ref="AI261:AK261"/>
    <mergeCell ref="AL261:AN261"/>
    <mergeCell ref="D262:K263"/>
    <mergeCell ref="AC262:AE262"/>
    <mergeCell ref="AF262:AH262"/>
    <mergeCell ref="AI262:AK262"/>
    <mergeCell ref="AL262:AN262"/>
    <mergeCell ref="L263:M263"/>
    <mergeCell ref="AC263:AE263"/>
    <mergeCell ref="AF263:AH263"/>
    <mergeCell ref="AI263:AK263"/>
    <mergeCell ref="AL263:AN263"/>
    <mergeCell ref="M256:N256"/>
    <mergeCell ref="M259:N259"/>
    <mergeCell ref="S259:AB260"/>
    <mergeCell ref="AC259:AE260"/>
    <mergeCell ref="AF259:AH260"/>
    <mergeCell ref="AI259:AK260"/>
    <mergeCell ref="AL259:AN260"/>
    <mergeCell ref="M260:N260"/>
    <mergeCell ref="AC254:AN254"/>
    <mergeCell ref="AC251:AE251"/>
    <mergeCell ref="AF251:AH251"/>
    <mergeCell ref="AI251:AK251"/>
    <mergeCell ref="AL251:AN251"/>
    <mergeCell ref="S252:AB253"/>
    <mergeCell ref="AC252:AE253"/>
    <mergeCell ref="AF252:AH253"/>
    <mergeCell ref="AI252:AK253"/>
    <mergeCell ref="AL252:AN253"/>
    <mergeCell ref="M249:N249"/>
    <mergeCell ref="AC249:AE249"/>
    <mergeCell ref="AF249:AH249"/>
    <mergeCell ref="AI249:AK249"/>
    <mergeCell ref="AL249:AN249"/>
    <mergeCell ref="M250:N250"/>
    <mergeCell ref="AC250:AE250"/>
    <mergeCell ref="AF250:AH250"/>
    <mergeCell ref="AI250:AK250"/>
    <mergeCell ref="AL250:AN250"/>
    <mergeCell ref="M247:N247"/>
    <mergeCell ref="S247:AB248"/>
    <mergeCell ref="AC247:AE248"/>
    <mergeCell ref="AF247:AH248"/>
    <mergeCell ref="AI247:AK248"/>
    <mergeCell ref="AL247:AN248"/>
    <mergeCell ref="M248:N248"/>
    <mergeCell ref="L242:M242"/>
    <mergeCell ref="O242:P242"/>
    <mergeCell ref="R242:S242"/>
    <mergeCell ref="U242:V242"/>
    <mergeCell ref="X242:Y242"/>
    <mergeCell ref="AA242:AB242"/>
    <mergeCell ref="N244:O244"/>
    <mergeCell ref="Q244:R244"/>
    <mergeCell ref="T244:U244"/>
    <mergeCell ref="S237:AB238"/>
    <mergeCell ref="AC237:AE238"/>
    <mergeCell ref="AF237:AH238"/>
    <mergeCell ref="AI237:AK238"/>
    <mergeCell ref="AL237:AN238"/>
    <mergeCell ref="O241:P241"/>
    <mergeCell ref="R241:S241"/>
    <mergeCell ref="U241:V241"/>
    <mergeCell ref="AC239:AN239"/>
    <mergeCell ref="M235:N235"/>
    <mergeCell ref="AC235:AE235"/>
    <mergeCell ref="AF235:AH235"/>
    <mergeCell ref="AI235:AK235"/>
    <mergeCell ref="AL235:AN235"/>
    <mergeCell ref="M236:N236"/>
    <mergeCell ref="AC236:AE236"/>
    <mergeCell ref="AF236:AH236"/>
    <mergeCell ref="AI236:AK236"/>
    <mergeCell ref="AL236:AN236"/>
    <mergeCell ref="AF232:AH233"/>
    <mergeCell ref="AI232:AK233"/>
    <mergeCell ref="AL232:AN233"/>
    <mergeCell ref="M233:N233"/>
    <mergeCell ref="M234:N234"/>
    <mergeCell ref="AC234:AE234"/>
    <mergeCell ref="AF234:AH234"/>
    <mergeCell ref="AI234:AK234"/>
    <mergeCell ref="AL234:AN234"/>
    <mergeCell ref="L230:M230"/>
    <mergeCell ref="O230:P230"/>
    <mergeCell ref="R230:S230"/>
    <mergeCell ref="U230:V230"/>
    <mergeCell ref="X230:Y230"/>
    <mergeCell ref="AA230:AB230"/>
    <mergeCell ref="M232:N232"/>
    <mergeCell ref="S232:AB233"/>
    <mergeCell ref="AC232:AE233"/>
    <mergeCell ref="S225:AB226"/>
    <mergeCell ref="AC225:AE226"/>
    <mergeCell ref="AF225:AH226"/>
    <mergeCell ref="AI225:AK226"/>
    <mergeCell ref="AL225:AN226"/>
    <mergeCell ref="N229:O229"/>
    <mergeCell ref="Q229:R229"/>
    <mergeCell ref="T229:U229"/>
    <mergeCell ref="AC227:AN227"/>
    <mergeCell ref="M223:N223"/>
    <mergeCell ref="AC223:AE223"/>
    <mergeCell ref="AF223:AH223"/>
    <mergeCell ref="AI223:AK223"/>
    <mergeCell ref="AL223:AN223"/>
    <mergeCell ref="M224:N224"/>
    <mergeCell ref="AC224:AE224"/>
    <mergeCell ref="AF224:AH224"/>
    <mergeCell ref="AI224:AK224"/>
    <mergeCell ref="AL224:AN224"/>
    <mergeCell ref="AL222:AN222"/>
    <mergeCell ref="AK213:AL213"/>
    <mergeCell ref="R214:S215"/>
    <mergeCell ref="T214:U215"/>
    <mergeCell ref="M220:N220"/>
    <mergeCell ref="S220:AB221"/>
    <mergeCell ref="AC220:AE221"/>
    <mergeCell ref="AF220:AH221"/>
    <mergeCell ref="AI220:AK221"/>
    <mergeCell ref="AL220:AN221"/>
    <mergeCell ref="S210:S212"/>
    <mergeCell ref="U210:U212"/>
    <mergeCell ref="AB210:AC210"/>
    <mergeCell ref="AG213:AH213"/>
    <mergeCell ref="M221:N221"/>
    <mergeCell ref="M222:N222"/>
    <mergeCell ref="AC222:AE222"/>
    <mergeCell ref="AF222:AH222"/>
    <mergeCell ref="AI222:AK222"/>
    <mergeCell ref="M203:N203"/>
    <mergeCell ref="P203:Q203"/>
    <mergeCell ref="S203:T203"/>
    <mergeCell ref="Z201:AK201"/>
    <mergeCell ref="R207:S208"/>
    <mergeCell ref="T207:U208"/>
    <mergeCell ref="AD207:AE207"/>
    <mergeCell ref="AD208:AE208"/>
    <mergeCell ref="AD209:AE209"/>
    <mergeCell ref="L198:M198"/>
    <mergeCell ref="Z198:AB198"/>
    <mergeCell ref="AC198:AE198"/>
    <mergeCell ref="AF198:AH198"/>
    <mergeCell ref="AI198:AK198"/>
    <mergeCell ref="P199:Y200"/>
    <mergeCell ref="Z199:AB200"/>
    <mergeCell ref="AC199:AE200"/>
    <mergeCell ref="AF199:AH200"/>
    <mergeCell ref="AI199:AK200"/>
    <mergeCell ref="L196:M196"/>
    <mergeCell ref="Z196:AB196"/>
    <mergeCell ref="AC196:AE196"/>
    <mergeCell ref="AF196:AH196"/>
    <mergeCell ref="AI196:AK196"/>
    <mergeCell ref="I191:K191"/>
    <mergeCell ref="M191:N191"/>
    <mergeCell ref="U191:V191"/>
    <mergeCell ref="L197:M197"/>
    <mergeCell ref="Z197:AB197"/>
    <mergeCell ref="AC197:AE197"/>
    <mergeCell ref="AF197:AH197"/>
    <mergeCell ref="AI197:AK197"/>
    <mergeCell ref="Z189:AK189"/>
    <mergeCell ref="P191:Q191"/>
    <mergeCell ref="L194:M194"/>
    <mergeCell ref="P194:Y195"/>
    <mergeCell ref="Z194:AB195"/>
    <mergeCell ref="AC194:AE195"/>
    <mergeCell ref="AF194:AH195"/>
    <mergeCell ref="AI194:AK195"/>
    <mergeCell ref="AF188:AH188"/>
    <mergeCell ref="AI188:AK188"/>
    <mergeCell ref="L195:M195"/>
    <mergeCell ref="AF186:AH186"/>
    <mergeCell ref="AI186:AK186"/>
    <mergeCell ref="J187:K187"/>
    <mergeCell ref="Z187:AB187"/>
    <mergeCell ref="AC187:AE187"/>
    <mergeCell ref="AF187:AH187"/>
    <mergeCell ref="AI187:AK187"/>
    <mergeCell ref="AF183:AH184"/>
    <mergeCell ref="AI183:AK184"/>
    <mergeCell ref="J184:K184"/>
    <mergeCell ref="J185:K185"/>
    <mergeCell ref="Z185:AB185"/>
    <mergeCell ref="AC185:AE185"/>
    <mergeCell ref="AF185:AH185"/>
    <mergeCell ref="AI185:AK185"/>
    <mergeCell ref="J188:K188"/>
    <mergeCell ref="Z188:AB188"/>
    <mergeCell ref="AC188:AE188"/>
    <mergeCell ref="D179:E179"/>
    <mergeCell ref="F179:G179"/>
    <mergeCell ref="H179:I179"/>
    <mergeCell ref="J179:K179"/>
    <mergeCell ref="AB179:AC179"/>
    <mergeCell ref="AD179:AE179"/>
    <mergeCell ref="D180:E180"/>
    <mergeCell ref="F180:G180"/>
    <mergeCell ref="H180:I180"/>
    <mergeCell ref="J180:K180"/>
    <mergeCell ref="AB180:AC180"/>
    <mergeCell ref="AD180:AE180"/>
    <mergeCell ref="AB181:AC181"/>
    <mergeCell ref="AD181:AE181"/>
    <mergeCell ref="J183:K183"/>
    <mergeCell ref="P183:Y184"/>
    <mergeCell ref="Z183:AB184"/>
    <mergeCell ref="AC183:AE184"/>
    <mergeCell ref="J186:K186"/>
    <mergeCell ref="Z186:AB186"/>
    <mergeCell ref="AC186:AE186"/>
    <mergeCell ref="D177:E177"/>
    <mergeCell ref="F177:G177"/>
    <mergeCell ref="H177:I177"/>
    <mergeCell ref="J177:K177"/>
    <mergeCell ref="AB177:AC177"/>
    <mergeCell ref="AD177:AE177"/>
    <mergeCell ref="D178:E178"/>
    <mergeCell ref="F178:G178"/>
    <mergeCell ref="H178:I178"/>
    <mergeCell ref="J178:K178"/>
    <mergeCell ref="AB178:AC178"/>
    <mergeCell ref="AD178:AE178"/>
    <mergeCell ref="B139:AS139"/>
    <mergeCell ref="O145:P145"/>
    <mergeCell ref="C153:C155"/>
    <mergeCell ref="C160:C162"/>
    <mergeCell ref="AA157:AA159"/>
    <mergeCell ref="N171:O171"/>
    <mergeCell ref="D175:E176"/>
    <mergeCell ref="F175:G175"/>
    <mergeCell ref="H175:I175"/>
    <mergeCell ref="J175:K175"/>
    <mergeCell ref="AB175:AP176"/>
    <mergeCell ref="F176:G176"/>
    <mergeCell ref="H176:I176"/>
    <mergeCell ref="J176:K176"/>
    <mergeCell ref="X98:Y98"/>
    <mergeCell ref="X110:Y110"/>
    <mergeCell ref="AB78:AC78"/>
    <mergeCell ref="R98:S98"/>
    <mergeCell ref="AD77:AE77"/>
    <mergeCell ref="U98:V98"/>
    <mergeCell ref="R110:S110"/>
    <mergeCell ref="U110:V110"/>
    <mergeCell ref="AO52:AQ52"/>
    <mergeCell ref="AI55:AK55"/>
    <mergeCell ref="AL55:AN55"/>
    <mergeCell ref="AO53:AQ53"/>
    <mergeCell ref="Z54:AB54"/>
    <mergeCell ref="AC54:AE54"/>
    <mergeCell ref="AF54:AH54"/>
    <mergeCell ref="AI54:AK54"/>
    <mergeCell ref="AL54:AN54"/>
    <mergeCell ref="AO54:AQ54"/>
    <mergeCell ref="Z53:AB53"/>
    <mergeCell ref="AC53:AE53"/>
    <mergeCell ref="N112:O112"/>
    <mergeCell ref="Q112:R112"/>
    <mergeCell ref="T112:U112"/>
    <mergeCell ref="M90:N90"/>
    <mergeCell ref="AA90:AC90"/>
    <mergeCell ref="AD90:AF90"/>
    <mergeCell ref="AD93:AF94"/>
    <mergeCell ref="AA107:AR107"/>
    <mergeCell ref="O109:P109"/>
    <mergeCell ref="R109:S109"/>
    <mergeCell ref="U109:V109"/>
    <mergeCell ref="L110:M110"/>
    <mergeCell ref="O110:P110"/>
    <mergeCell ref="AA110:AB110"/>
    <mergeCell ref="AM104:AO104"/>
    <mergeCell ref="AP104:AR104"/>
    <mergeCell ref="Q105:Z106"/>
    <mergeCell ref="AA105:AC106"/>
    <mergeCell ref="AG90:AI90"/>
    <mergeCell ref="AJ90:AL90"/>
    <mergeCell ref="AM90:AO90"/>
    <mergeCell ref="AP90:AR90"/>
    <mergeCell ref="AG93:AI94"/>
    <mergeCell ref="AJ93:AL94"/>
    <mergeCell ref="B58:C58"/>
    <mergeCell ref="E58:F58"/>
    <mergeCell ref="J58:K58"/>
    <mergeCell ref="M58:N58"/>
    <mergeCell ref="R58:S58"/>
    <mergeCell ref="AQ58:AR58"/>
    <mergeCell ref="I59:K59"/>
    <mergeCell ref="M59:N59"/>
    <mergeCell ref="P59:Q59"/>
    <mergeCell ref="U58:V58"/>
    <mergeCell ref="X58:Y58"/>
    <mergeCell ref="AC58:AD58"/>
    <mergeCell ref="AF58:AG58"/>
    <mergeCell ref="AI58:AJ58"/>
    <mergeCell ref="AN58:AO58"/>
    <mergeCell ref="AI53:AK53"/>
    <mergeCell ref="AL53:AN53"/>
    <mergeCell ref="AO55:AQ55"/>
    <mergeCell ref="Z55:AB55"/>
    <mergeCell ref="AC55:AE55"/>
    <mergeCell ref="AF55:AH55"/>
    <mergeCell ref="AI50:AK51"/>
    <mergeCell ref="AI52:AK52"/>
    <mergeCell ref="AL52:AN52"/>
    <mergeCell ref="AL50:AN51"/>
    <mergeCell ref="AO50:AQ51"/>
    <mergeCell ref="J50:K50"/>
    <mergeCell ref="J51:K51"/>
    <mergeCell ref="J53:K53"/>
    <mergeCell ref="J54:K54"/>
    <mergeCell ref="J55:K55"/>
    <mergeCell ref="J52:K52"/>
    <mergeCell ref="Z52:AB52"/>
    <mergeCell ref="AC52:AE52"/>
    <mergeCell ref="AF52:AH52"/>
    <mergeCell ref="O50:Y51"/>
    <mergeCell ref="Z50:AB51"/>
    <mergeCell ref="AC50:AE51"/>
    <mergeCell ref="AF50:AH51"/>
    <mergeCell ref="AF53:AH53"/>
    <mergeCell ref="B2:AS2"/>
    <mergeCell ref="D42:E42"/>
    <mergeCell ref="D43:E43"/>
    <mergeCell ref="D44:E44"/>
    <mergeCell ref="D45:E45"/>
    <mergeCell ref="H40:I40"/>
    <mergeCell ref="H41:I41"/>
    <mergeCell ref="H42:I42"/>
    <mergeCell ref="H43:I43"/>
    <mergeCell ref="H44:I44"/>
    <mergeCell ref="H45:I45"/>
    <mergeCell ref="O6:P6"/>
    <mergeCell ref="J44:K44"/>
    <mergeCell ref="J45:K45"/>
    <mergeCell ref="N37:O37"/>
    <mergeCell ref="AA23:AA25"/>
    <mergeCell ref="AD41:AE41"/>
    <mergeCell ref="AD42:AE42"/>
    <mergeCell ref="AD43:AE43"/>
    <mergeCell ref="AD44:AE44"/>
    <mergeCell ref="AD45:AE45"/>
    <mergeCell ref="AD39:AR40"/>
    <mergeCell ref="J46:K46"/>
    <mergeCell ref="J47:K47"/>
    <mergeCell ref="D47:E47"/>
    <mergeCell ref="D40:E41"/>
    <mergeCell ref="F40:G40"/>
    <mergeCell ref="F41:G41"/>
    <mergeCell ref="F42:G42"/>
    <mergeCell ref="F43:G43"/>
    <mergeCell ref="F44:G44"/>
    <mergeCell ref="F45:G45"/>
    <mergeCell ref="F46:G46"/>
    <mergeCell ref="F47:G47"/>
    <mergeCell ref="D46:E46"/>
    <mergeCell ref="Z69:AQ69"/>
    <mergeCell ref="P62:Y63"/>
    <mergeCell ref="Z62:AB63"/>
    <mergeCell ref="P67:Y68"/>
    <mergeCell ref="Z67:AB68"/>
    <mergeCell ref="C19:C21"/>
    <mergeCell ref="D17:D19"/>
    <mergeCell ref="D25:D27"/>
    <mergeCell ref="L62:M62"/>
    <mergeCell ref="L64:M64"/>
    <mergeCell ref="AF41:AG41"/>
    <mergeCell ref="AF45:AG45"/>
    <mergeCell ref="AF44:AG44"/>
    <mergeCell ref="AF43:AG43"/>
    <mergeCell ref="AF42:AG42"/>
    <mergeCell ref="H46:I46"/>
    <mergeCell ref="H47:I47"/>
    <mergeCell ref="J40:K40"/>
    <mergeCell ref="J41:K41"/>
    <mergeCell ref="J42:K42"/>
    <mergeCell ref="J43:K43"/>
    <mergeCell ref="L65:M65"/>
    <mergeCell ref="L66:M66"/>
    <mergeCell ref="L63:M63"/>
    <mergeCell ref="AC64:AE64"/>
    <mergeCell ref="AF64:AH64"/>
    <mergeCell ref="AI64:AK64"/>
    <mergeCell ref="AO65:AQ65"/>
    <mergeCell ref="AC67:AE68"/>
    <mergeCell ref="AF67:AH68"/>
    <mergeCell ref="AI67:AK68"/>
    <mergeCell ref="AL67:AN68"/>
    <mergeCell ref="AO64:AQ64"/>
    <mergeCell ref="AC62:AE63"/>
    <mergeCell ref="AF62:AH63"/>
    <mergeCell ref="AI62:AK63"/>
    <mergeCell ref="AL62:AN63"/>
    <mergeCell ref="AO62:AQ63"/>
    <mergeCell ref="AL64:AN64"/>
    <mergeCell ref="Z56:AQ56"/>
    <mergeCell ref="U78:U80"/>
    <mergeCell ref="R82:S83"/>
    <mergeCell ref="T75:U76"/>
    <mergeCell ref="T82:U83"/>
    <mergeCell ref="AO67:AQ68"/>
    <mergeCell ref="AC66:AE66"/>
    <mergeCell ref="AF66:AH66"/>
    <mergeCell ref="AI66:AK66"/>
    <mergeCell ref="AL66:AN66"/>
    <mergeCell ref="AO66:AQ66"/>
    <mergeCell ref="AC65:AE65"/>
    <mergeCell ref="AF65:AH65"/>
    <mergeCell ref="AI65:AK65"/>
    <mergeCell ref="AL65:AN65"/>
    <mergeCell ref="Z64:AB64"/>
    <mergeCell ref="Z65:AB65"/>
    <mergeCell ref="Z66:AB66"/>
    <mergeCell ref="M88:N88"/>
    <mergeCell ref="Q88:Z89"/>
    <mergeCell ref="M71:N71"/>
    <mergeCell ref="P71:Q71"/>
    <mergeCell ref="S71:T71"/>
    <mergeCell ref="S78:S80"/>
    <mergeCell ref="R75:S76"/>
    <mergeCell ref="AP88:AR89"/>
    <mergeCell ref="M89:N89"/>
    <mergeCell ref="AA88:AC89"/>
    <mergeCell ref="AD88:AF89"/>
    <mergeCell ref="AG88:AI89"/>
    <mergeCell ref="AJ88:AL89"/>
    <mergeCell ref="AM88:AO89"/>
    <mergeCell ref="AM91:AO91"/>
    <mergeCell ref="AP91:AR91"/>
    <mergeCell ref="M92:N92"/>
    <mergeCell ref="AA92:AC92"/>
    <mergeCell ref="AD92:AF92"/>
    <mergeCell ref="AG92:AI92"/>
    <mergeCell ref="AJ92:AL92"/>
    <mergeCell ref="AM92:AO92"/>
    <mergeCell ref="AP92:AR92"/>
    <mergeCell ref="M91:N91"/>
    <mergeCell ref="AA91:AC91"/>
    <mergeCell ref="AD91:AF91"/>
    <mergeCell ref="AG91:AI91"/>
    <mergeCell ref="AJ91:AL91"/>
    <mergeCell ref="AG100:AI101"/>
    <mergeCell ref="AJ100:AL101"/>
    <mergeCell ref="AM100:AO101"/>
    <mergeCell ref="AP100:AR101"/>
    <mergeCell ref="M101:N101"/>
    <mergeCell ref="AD75:AE75"/>
    <mergeCell ref="L98:M98"/>
    <mergeCell ref="O98:P98"/>
    <mergeCell ref="AA98:AB98"/>
    <mergeCell ref="M100:N100"/>
    <mergeCell ref="Q100:Z101"/>
    <mergeCell ref="AA100:AC101"/>
    <mergeCell ref="AD100:AF101"/>
    <mergeCell ref="AD76:AE76"/>
    <mergeCell ref="N97:O97"/>
    <mergeCell ref="Q97:R97"/>
    <mergeCell ref="T97:U97"/>
    <mergeCell ref="AM93:AO94"/>
    <mergeCell ref="AP93:AR94"/>
    <mergeCell ref="AA95:AR95"/>
    <mergeCell ref="AG81:AH81"/>
    <mergeCell ref="AK81:AL81"/>
    <mergeCell ref="Q93:Z94"/>
    <mergeCell ref="AA93:AC94"/>
    <mergeCell ref="AM102:AO102"/>
    <mergeCell ref="AP102:AR102"/>
    <mergeCell ref="M103:N103"/>
    <mergeCell ref="AA103:AC103"/>
    <mergeCell ref="AD103:AF103"/>
    <mergeCell ref="AG103:AI103"/>
    <mergeCell ref="AJ103:AL103"/>
    <mergeCell ref="AM103:AO103"/>
    <mergeCell ref="AP103:AR103"/>
    <mergeCell ref="M102:N102"/>
    <mergeCell ref="AA102:AC102"/>
    <mergeCell ref="AD102:AF102"/>
    <mergeCell ref="AG102:AI102"/>
    <mergeCell ref="AJ102:AL102"/>
    <mergeCell ref="AD105:AF106"/>
    <mergeCell ref="AG105:AI106"/>
    <mergeCell ref="AJ105:AL106"/>
    <mergeCell ref="AM105:AO106"/>
    <mergeCell ref="AP105:AR106"/>
    <mergeCell ref="M104:N104"/>
    <mergeCell ref="AA104:AC104"/>
    <mergeCell ref="AD104:AF104"/>
    <mergeCell ref="AG104:AI104"/>
    <mergeCell ref="AJ104:AL104"/>
    <mergeCell ref="M116:N116"/>
    <mergeCell ref="AA117:AC117"/>
    <mergeCell ref="AD117:AF117"/>
    <mergeCell ref="AG117:AI117"/>
    <mergeCell ref="AJ117:AL117"/>
    <mergeCell ref="AM117:AO117"/>
    <mergeCell ref="AP117:AR117"/>
    <mergeCell ref="M117:N117"/>
    <mergeCell ref="AA118:AC118"/>
    <mergeCell ref="AD118:AF118"/>
    <mergeCell ref="AG118:AI118"/>
    <mergeCell ref="AJ118:AL118"/>
    <mergeCell ref="AM118:AO118"/>
    <mergeCell ref="AP118:AR118"/>
    <mergeCell ref="Q115:Z116"/>
    <mergeCell ref="AA115:AC116"/>
    <mergeCell ref="AD115:AF116"/>
    <mergeCell ref="AG115:AI116"/>
    <mergeCell ref="AJ115:AL116"/>
    <mergeCell ref="AM115:AO116"/>
    <mergeCell ref="AP115:AR116"/>
    <mergeCell ref="M115:N115"/>
    <mergeCell ref="M118:N118"/>
    <mergeCell ref="AA119:AC119"/>
    <mergeCell ref="AD119:AF119"/>
    <mergeCell ref="AG119:AI119"/>
    <mergeCell ref="AJ119:AL119"/>
    <mergeCell ref="AM119:AO119"/>
    <mergeCell ref="AP119:AR119"/>
    <mergeCell ref="Q120:Z121"/>
    <mergeCell ref="AA120:AC121"/>
    <mergeCell ref="AD120:AF121"/>
    <mergeCell ref="AG120:AI121"/>
    <mergeCell ref="AJ120:AL121"/>
    <mergeCell ref="AM120:AO121"/>
    <mergeCell ref="AP120:AR121"/>
    <mergeCell ref="AA122:AR122"/>
    <mergeCell ref="M124:N124"/>
    <mergeCell ref="Q127:Z128"/>
    <mergeCell ref="AA127:AC128"/>
    <mergeCell ref="AD127:AF128"/>
    <mergeCell ref="AG127:AI128"/>
    <mergeCell ref="AJ127:AL128"/>
    <mergeCell ref="AM127:AO128"/>
    <mergeCell ref="AP127:AR128"/>
    <mergeCell ref="M127:N127"/>
    <mergeCell ref="AM129:AO129"/>
    <mergeCell ref="AP129:AR129"/>
    <mergeCell ref="M128:N128"/>
    <mergeCell ref="AA130:AC130"/>
    <mergeCell ref="AD130:AF130"/>
    <mergeCell ref="AG130:AI130"/>
    <mergeCell ref="AJ130:AL130"/>
    <mergeCell ref="AM130:AO130"/>
    <mergeCell ref="AP130:AR130"/>
    <mergeCell ref="AA134:AR134"/>
    <mergeCell ref="Q136:R136"/>
    <mergeCell ref="T136:U136"/>
    <mergeCell ref="W136:X136"/>
    <mergeCell ref="D130:K131"/>
    <mergeCell ref="L131:M131"/>
    <mergeCell ref="M129:N129"/>
    <mergeCell ref="AA131:AC131"/>
    <mergeCell ref="AD131:AF131"/>
    <mergeCell ref="AG131:AI131"/>
    <mergeCell ref="AJ131:AL131"/>
    <mergeCell ref="AM131:AO131"/>
    <mergeCell ref="AP131:AR131"/>
    <mergeCell ref="Q132:Z133"/>
    <mergeCell ref="AA132:AC133"/>
    <mergeCell ref="AD132:AF133"/>
    <mergeCell ref="AG132:AI133"/>
    <mergeCell ref="AJ132:AL133"/>
    <mergeCell ref="AM132:AO133"/>
    <mergeCell ref="AP132:AR133"/>
    <mergeCell ref="AA129:AC129"/>
    <mergeCell ref="AD129:AF129"/>
    <mergeCell ref="AG129:AI129"/>
    <mergeCell ref="AJ129:AL129"/>
  </mergeCells>
  <dataValidations count="1">
    <dataValidation type="list" allowBlank="1" showInputMessage="1" showErrorMessage="1" sqref="L131:M131 L263:M263 L405:M405" xr:uid="{00000000-0002-0000-0000-000000000000}">
      <formula1>"evet,hayır"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77" orientation="portrait" r:id="rId1"/>
  <ignoredErrors>
    <ignoredError sqref="AI5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Gurcan Berberoglu</dc:creator>
  <cp:lastModifiedBy>Gurcan Berberoglu</cp:lastModifiedBy>
  <cp:lastPrinted>2016-05-21T07:04:10Z</cp:lastPrinted>
  <dcterms:created xsi:type="dcterms:W3CDTF">2016-05-13T10:19:37Z</dcterms:created>
  <dcterms:modified xsi:type="dcterms:W3CDTF">2021-06-23T07:24:02Z</dcterms:modified>
</cp:coreProperties>
</file>