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rca\Documents\ozel\satis\yeni_yönetmelige_gore_hesaplar(sifreli)\cesitli_hesaplamalar\"/>
    </mc:Choice>
  </mc:AlternateContent>
  <xr:revisionPtr revIDLastSave="0" documentId="13_ncr:1_{C224FE71-2B0E-4B5F-BCFB-C6DEBBBEDD39}" xr6:coauthVersionLast="46" xr6:coauthVersionMax="46" xr10:uidLastSave="{00000000-0000-0000-0000-000000000000}"/>
  <bookViews>
    <workbookView xWindow="-120" yWindow="-120" windowWidth="29040" windowHeight="15840" xr2:uid="{0CD19FA9-6807-4D9E-8860-352239A4BF47}"/>
  </bookViews>
  <sheets>
    <sheet name="Sheet1" sheetId="1" r:id="rId1"/>
  </sheets>
  <definedNames>
    <definedName name="_xlnm.Print_Area" localSheetId="0">Sheet1!$A$1:$AU$165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9" i="1" l="1"/>
  <c r="L50" i="1"/>
  <c r="J55" i="1"/>
  <c r="J64" i="1"/>
  <c r="J63" i="1"/>
  <c r="D50" i="1"/>
  <c r="AP15" i="1"/>
  <c r="U64" i="1" s="1"/>
  <c r="AM20" i="1"/>
  <c r="AM10" i="1"/>
  <c r="M53" i="1"/>
  <c r="U120" i="1"/>
  <c r="AA265" i="1"/>
  <c r="U265" i="1"/>
  <c r="K263" i="1"/>
  <c r="P263" i="1" s="1"/>
  <c r="L264" i="1" s="1"/>
  <c r="J262" i="1"/>
  <c r="H264" i="1" s="1"/>
  <c r="AF222" i="1"/>
  <c r="AK232" i="1"/>
  <c r="AK231" i="1"/>
  <c r="Z232" i="1" s="1"/>
  <c r="AC231" i="1"/>
  <c r="AF231" i="1" s="1"/>
  <c r="L229" i="1"/>
  <c r="I227" i="1" s="1"/>
  <c r="F225" i="1" s="1"/>
  <c r="AF232" i="1" s="1"/>
  <c r="W227" i="1"/>
  <c r="AA206" i="1"/>
  <c r="P206" i="1"/>
  <c r="S206" i="1" s="1"/>
  <c r="AC204" i="1"/>
  <c r="AC205" i="1" s="1"/>
  <c r="U204" i="1"/>
  <c r="U205" i="1" s="1"/>
  <c r="X205" i="1" s="1"/>
  <c r="S200" i="1"/>
  <c r="P200" i="1"/>
  <c r="H200" i="1"/>
  <c r="S199" i="1"/>
  <c r="M199" i="1"/>
  <c r="M196" i="1"/>
  <c r="P195" i="1"/>
  <c r="H195" i="1"/>
  <c r="M194" i="1"/>
  <c r="M193" i="1"/>
  <c r="M192" i="1"/>
  <c r="P191" i="1"/>
  <c r="P192" i="1" s="1"/>
  <c r="P193" i="1" s="1"/>
  <c r="P194" i="1" s="1"/>
  <c r="M191" i="1"/>
  <c r="S186" i="1"/>
  <c r="K200" i="1" s="1"/>
  <c r="H176" i="1"/>
  <c r="V132" i="1"/>
  <c r="R132" i="1"/>
  <c r="V126" i="1"/>
  <c r="R126" i="1"/>
  <c r="W97" i="1"/>
  <c r="W95" i="1"/>
  <c r="AI6" i="1" l="1"/>
  <c r="S191" i="1"/>
  <c r="V200" i="1"/>
  <c r="AN231" i="1"/>
  <c r="X265" i="1"/>
  <c r="AD265" i="1" s="1"/>
  <c r="K264" i="1"/>
  <c r="X206" i="1"/>
  <c r="AF206" i="1" s="1"/>
  <c r="R232" i="1"/>
  <c r="U232" i="1" s="1"/>
  <c r="AC232" i="1"/>
  <c r="X204" i="1"/>
  <c r="AF204" i="1" s="1"/>
  <c r="R188" i="1"/>
  <c r="K195" i="1"/>
  <c r="S195" i="1" s="1"/>
  <c r="AF205" i="1"/>
  <c r="S193" i="1"/>
  <c r="S194" i="1"/>
  <c r="S192" i="1"/>
  <c r="O72" i="1"/>
  <c r="H72" i="1"/>
  <c r="Q161" i="1"/>
  <c r="S161" i="1"/>
  <c r="U157" i="1"/>
  <c r="U160" i="1" s="1"/>
  <c r="S155" i="1"/>
  <c r="S160" i="1"/>
  <c r="I160" i="1"/>
  <c r="F160" i="1"/>
  <c r="S159" i="1"/>
  <c r="I159" i="1"/>
  <c r="F159" i="1"/>
  <c r="S158" i="1"/>
  <c r="I158" i="1"/>
  <c r="E158" i="1"/>
  <c r="S157" i="1"/>
  <c r="I157" i="1"/>
  <c r="F157" i="1"/>
  <c r="S156" i="1"/>
  <c r="I156" i="1"/>
  <c r="F156" i="1"/>
  <c r="Q155" i="1"/>
  <c r="Q156" i="1" s="1"/>
  <c r="Q157" i="1" s="1"/>
  <c r="Q158" i="1" s="1"/>
  <c r="O155" i="1"/>
  <c r="O156" i="1" s="1"/>
  <c r="O157" i="1" s="1"/>
  <c r="L155" i="1"/>
  <c r="L156" i="1" s="1"/>
  <c r="I155" i="1"/>
  <c r="F155" i="1"/>
  <c r="H136" i="1"/>
  <c r="AA132" i="1"/>
  <c r="AF132" i="1" s="1"/>
  <c r="P133" i="1" s="1"/>
  <c r="U133" i="1" s="1"/>
  <c r="Y81" i="1" s="1"/>
  <c r="T127" i="1"/>
  <c r="H127" i="1"/>
  <c r="C127" i="1"/>
  <c r="AA126" i="1"/>
  <c r="AF126" i="1" s="1"/>
  <c r="U63" i="1"/>
  <c r="X63" i="1"/>
  <c r="X64" i="1" s="1"/>
  <c r="O30" i="1"/>
  <c r="L30" i="1"/>
  <c r="AA57" i="1"/>
  <c r="AA59" i="1" s="1"/>
  <c r="C44" i="1"/>
  <c r="I73" i="1"/>
  <c r="Q58" i="1"/>
  <c r="K58" i="1"/>
  <c r="P36" i="1"/>
  <c r="J36" i="1"/>
  <c r="G36" i="1"/>
  <c r="AB33" i="1"/>
  <c r="Y33" i="1"/>
  <c r="S33" i="1"/>
  <c r="J33" i="1"/>
  <c r="G33" i="1"/>
  <c r="D33" i="1"/>
  <c r="M6" i="1"/>
  <c r="M63" i="1" s="1"/>
  <c r="D40" i="1"/>
  <c r="AD53" i="1"/>
  <c r="AB23" i="1"/>
  <c r="V6" i="1" s="1"/>
  <c r="P64" i="1" l="1"/>
  <c r="AG55" i="1"/>
  <c r="K57" i="1"/>
  <c r="K59" i="1"/>
  <c r="V72" i="1"/>
  <c r="J74" i="1" s="1"/>
  <c r="AF207" i="1"/>
  <c r="AN232" i="1"/>
  <c r="AN233" i="1" s="1"/>
  <c r="P196" i="1"/>
  <c r="S196" i="1" s="1"/>
  <c r="S197" i="1" s="1"/>
  <c r="P199" i="1"/>
  <c r="V199" i="1" s="1"/>
  <c r="V201" i="1" s="1"/>
  <c r="W161" i="1"/>
  <c r="W156" i="1"/>
  <c r="W155" i="1"/>
  <c r="U158" i="1"/>
  <c r="U159" i="1"/>
  <c r="O159" i="1"/>
  <c r="O160" i="1" s="1"/>
  <c r="O158" i="1"/>
  <c r="Q159" i="1"/>
  <c r="Q160" i="1" s="1"/>
  <c r="L157" i="1"/>
  <c r="W157" i="1" s="1"/>
  <c r="E45" i="1"/>
  <c r="I6" i="1"/>
  <c r="P63" i="1" s="1"/>
  <c r="AA63" i="1" s="1"/>
  <c r="I128" i="1"/>
  <c r="L127" i="1"/>
  <c r="Q127" i="1" s="1"/>
  <c r="Y127" i="1"/>
  <c r="AH53" i="1"/>
  <c r="AK49" i="1" s="1"/>
  <c r="E15" i="1"/>
  <c r="V25" i="1"/>
  <c r="AE6" i="1"/>
  <c r="M64" i="1" s="1"/>
  <c r="D36" i="1"/>
  <c r="V33" i="1"/>
  <c r="AA64" i="1" l="1"/>
  <c r="AA65" i="1" s="1"/>
  <c r="H67" i="1" s="1"/>
  <c r="M36" i="1"/>
  <c r="AN15" i="1"/>
  <c r="V59" i="1"/>
  <c r="S59" i="1"/>
  <c r="N59" i="1"/>
  <c r="J129" i="1"/>
  <c r="L159" i="1"/>
  <c r="W159" i="1" s="1"/>
  <c r="L158" i="1"/>
  <c r="W158" i="1" s="1"/>
  <c r="L128" i="1"/>
  <c r="O128" i="1" s="1"/>
  <c r="S127" i="1"/>
  <c r="V4" i="1"/>
  <c r="D30" i="1"/>
  <c r="P33" i="1"/>
  <c r="M33" i="1"/>
  <c r="AE33" i="1"/>
  <c r="N58" i="1"/>
  <c r="T58" i="1" s="1"/>
  <c r="K60" i="1" s="1"/>
  <c r="S36" i="1"/>
  <c r="N57" i="1" l="1"/>
  <c r="H53" i="1"/>
  <c r="G129" i="1"/>
  <c r="L129" i="1" s="1"/>
  <c r="P101" i="1" s="1"/>
  <c r="Y100" i="1"/>
  <c r="W162" i="1"/>
  <c r="L160" i="1"/>
  <c r="AJ33" i="1"/>
  <c r="G30" i="1"/>
  <c r="R30" i="1" s="1"/>
  <c r="C67" i="1" s="1"/>
  <c r="V57" i="1" l="1"/>
  <c r="S57" i="1"/>
  <c r="AD59" i="1"/>
  <c r="O60" i="1" s="1"/>
  <c r="W160" i="1"/>
  <c r="W163" i="1" s="1"/>
  <c r="M67" i="1"/>
  <c r="AD57" i="1" l="1"/>
  <c r="G60" i="1" s="1"/>
  <c r="S60" i="1" s="1"/>
  <c r="C73" i="1"/>
  <c r="O73" i="1" l="1"/>
  <c r="C74" i="1" s="1"/>
  <c r="Q74" i="1" s="1"/>
</calcChain>
</file>

<file path=xl/sharedStrings.xml><?xml version="1.0" encoding="utf-8"?>
<sst xmlns="http://schemas.openxmlformats.org/spreadsheetml/2006/main" count="450" uniqueCount="128">
  <si>
    <t>m</t>
  </si>
  <si>
    <t>a</t>
  </si>
  <si>
    <t>kazı hacmi</t>
  </si>
  <si>
    <t>b1 =</t>
  </si>
  <si>
    <t>b =</t>
  </si>
  <si>
    <t>kutu menfez uzunluğu  L =</t>
  </si>
  <si>
    <t>+</t>
  </si>
  <si>
    <t>=</t>
  </si>
  <si>
    <t xml:space="preserve"> /</t>
  </si>
  <si>
    <t>*</t>
  </si>
  <si>
    <t>)*</t>
  </si>
  <si>
    <t xml:space="preserve"> +(</t>
  </si>
  <si>
    <t>)=</t>
  </si>
  <si>
    <t>m3</t>
  </si>
  <si>
    <t>ahşap kalıp miktarı</t>
  </si>
  <si>
    <t>(</t>
  </si>
  <si>
    <t>-</t>
  </si>
  <si>
    <t>m²</t>
  </si>
  <si>
    <t>beton miktarı</t>
  </si>
  <si>
    <t>ahşap kalıp iskelesi</t>
  </si>
  <si>
    <t>geri dolgu miktarı</t>
  </si>
  <si>
    <t>kazıdan artan malzeme miktarı</t>
  </si>
  <si>
    <t xml:space="preserve">kazıdan artan malzemenin nakliyesinin bedeli </t>
  </si>
  <si>
    <t>toprak  =</t>
  </si>
  <si>
    <t>F =</t>
  </si>
  <si>
    <t>*(</t>
  </si>
  <si>
    <t>TL/ton</t>
  </si>
  <si>
    <t>ton</t>
  </si>
  <si>
    <t>TL</t>
  </si>
  <si>
    <t>Dikkat sadece sarı hücrelere data girilecek.</t>
  </si>
  <si>
    <t>yapı yanları kazıdan çıkan malzeme ile dolgu yapılacak</t>
  </si>
  <si>
    <t>iç iskele kalıbı</t>
  </si>
  <si>
    <t>sol yan iskele kalıbı</t>
  </si>
  <si>
    <t>toplam</t>
  </si>
  <si>
    <t>H / 2 =</t>
  </si>
  <si>
    <t>H =</t>
  </si>
  <si>
    <t>)-</t>
  </si>
  <si>
    <t>((</t>
  </si>
  <si>
    <t>)/</t>
  </si>
  <si>
    <t>m3  *</t>
  </si>
  <si>
    <t>TL / ton</t>
  </si>
  <si>
    <t>ton / m3</t>
  </si>
  <si>
    <t>(kutu menfez giriş ve çıkışında verevli kazı yok)</t>
  </si>
  <si>
    <t>cm</t>
  </si>
  <si>
    <t>cm /</t>
  </si>
  <si>
    <t xml:space="preserve"> = ~</t>
  </si>
  <si>
    <t>adet</t>
  </si>
  <si>
    <t>cm *</t>
  </si>
  <si>
    <t>düz demir sayısı =</t>
  </si>
  <si>
    <t>pilye sayısı =</t>
  </si>
  <si>
    <t>Ana donatı sayısı hesabı</t>
  </si>
  <si>
    <t>Dağıtma ve ilave mesnet donatı sayısı hesabı</t>
  </si>
  <si>
    <t>dağıtma veya ilave mesnet donatısı sayısı =</t>
  </si>
  <si>
    <t>kg/m</t>
  </si>
  <si>
    <t>demir metre ağırlığı</t>
  </si>
  <si>
    <t>işin cinsi</t>
  </si>
  <si>
    <t>miktar</t>
  </si>
  <si>
    <t>analiz süre değeri (saat)</t>
  </si>
  <si>
    <t>kazı</t>
  </si>
  <si>
    <t>blokaj</t>
  </si>
  <si>
    <t>kalıp</t>
  </si>
  <si>
    <t>demir</t>
  </si>
  <si>
    <t>beton</t>
  </si>
  <si>
    <t>T.duvar</t>
  </si>
  <si>
    <t>ahşap kalıp</t>
  </si>
  <si>
    <t>kg</t>
  </si>
  <si>
    <t>katlı bina</t>
  </si>
  <si>
    <t>iş verimi</t>
  </si>
  <si>
    <t>%</t>
  </si>
  <si>
    <t xml:space="preserve">kazı </t>
  </si>
  <si>
    <t>adet iş makinası</t>
  </si>
  <si>
    <t>adet işçi</t>
  </si>
  <si>
    <t>duvar</t>
  </si>
  <si>
    <t xml:space="preserve">günde </t>
  </si>
  <si>
    <t>saat</t>
  </si>
  <si>
    <t xml:space="preserve">haftada </t>
  </si>
  <si>
    <t>gün</t>
  </si>
  <si>
    <t>çalışma süresi</t>
  </si>
  <si>
    <t>hafta</t>
  </si>
  <si>
    <t>toplam =</t>
  </si>
  <si>
    <t xml:space="preserve">beton priz </t>
  </si>
  <si>
    <t>DÖŞEME DEMİR METRAJ HESABI</t>
  </si>
  <si>
    <t>Yapının hafta bazında toplam iş süresi hesabı</t>
  </si>
  <si>
    <t>YAPI METRAJ HESABI</t>
  </si>
  <si>
    <t>K=</t>
  </si>
  <si>
    <t>M=</t>
  </si>
  <si>
    <t>km</t>
  </si>
  <si>
    <t>ana donatı</t>
  </si>
  <si>
    <t>ilave mesnet donatısı</t>
  </si>
  <si>
    <t>kesit a-a</t>
  </si>
  <si>
    <t>mm / cm</t>
  </si>
  <si>
    <t>döşeme temiz açıklık</t>
  </si>
  <si>
    <t>aralık sayısı = döşeme temiz açıklığı / demir aralığı =</t>
  </si>
  <si>
    <t>düz demir</t>
  </si>
  <si>
    <t>pilye</t>
  </si>
  <si>
    <t>YAPI İMALATI İŞ SÜRESİ HESABI</t>
  </si>
  <si>
    <t>ön yüzde</t>
  </si>
  <si>
    <t>arka yüzde</t>
  </si>
  <si>
    <t>ön ce arka kesitte</t>
  </si>
  <si>
    <t>H=</t>
  </si>
  <si>
    <t>yapı uzunluğu =</t>
  </si>
  <si>
    <t>duvar uzunluğu =</t>
  </si>
  <si>
    <t xml:space="preserve">sağ taraf ahşap kalıp iskele </t>
  </si>
  <si>
    <t xml:space="preserve">sol taraf ahşap kalıp iskele </t>
  </si>
  <si>
    <t>Not: Temel yüksekliği 1m den az ise ahşap kalıp iskelesi ödenmez.</t>
  </si>
  <si>
    <t xml:space="preserve">saçak uzunluğu L = </t>
  </si>
  <si>
    <t>Hk =</t>
  </si>
  <si>
    <t>Hk / 2 =</t>
  </si>
  <si>
    <t>balkon boyu kat yüksekliğinin yarısından az ise V = 3 * H * Hk / 2 * L</t>
  </si>
  <si>
    <t>balkon boyu kat yüksekliğinin yarısından fazla ise V = 3 * H * Hk * L</t>
  </si>
  <si>
    <t>YAPI TEMELİ AHŞAP KALIP İSKELE HESABI</t>
  </si>
  <si>
    <r>
      <rPr>
        <b/>
        <sz val="12"/>
        <color theme="7" tint="-0.499984740745262"/>
        <rFont val="Arial"/>
        <family val="2"/>
        <charset val="162"/>
      </rPr>
      <t xml:space="preserve">YAPI METRAJ HESABI
</t>
    </r>
    <r>
      <rPr>
        <b/>
        <sz val="8"/>
        <color theme="7" tint="-0.499984740745262"/>
        <rFont val="Arial"/>
        <family val="2"/>
        <charset val="162"/>
      </rPr>
      <t xml:space="preserve">(inş.müh. Gürcan BERBEROĞLU tel:0532 366 02 04   www.betoncelik.com )                                                                                                                                                                     </t>
    </r>
  </si>
  <si>
    <r>
      <rPr>
        <b/>
        <sz val="12"/>
        <color theme="7" tint="-0.499984740745262"/>
        <rFont val="Arial"/>
        <family val="2"/>
        <charset val="162"/>
      </rPr>
      <t xml:space="preserve">YAPI İMALATI İŞ SÜRESİ HESABI
</t>
    </r>
    <r>
      <rPr>
        <b/>
        <sz val="8"/>
        <color theme="7" tint="-0.499984740745262"/>
        <rFont val="Arial"/>
        <family val="2"/>
        <charset val="162"/>
      </rPr>
      <t xml:space="preserve">(inş.müh. Gürcan BERBEROĞLU tel:0532 366 02 04   www.betoncelik.com )                                                                                                                                                                     </t>
    </r>
  </si>
  <si>
    <t>BALKON DÖŞEMESİ  AHŞAP KALIP İSKELE HESABI</t>
  </si>
  <si>
    <r>
      <rPr>
        <b/>
        <sz val="12"/>
        <color theme="7" tint="-0.499984740745262"/>
        <rFont val="Arial"/>
        <family val="2"/>
        <charset val="162"/>
      </rPr>
      <t xml:space="preserve">BALKON DÖŞEMESİ AHŞAP KALIP İSKELE METRAJ HESABI
</t>
    </r>
    <r>
      <rPr>
        <b/>
        <sz val="8"/>
        <color theme="7" tint="-0.499984740745262"/>
        <rFont val="Arial"/>
        <family val="2"/>
        <charset val="162"/>
      </rPr>
      <t xml:space="preserve">(inş.müh. Gürcan BERBEROĞLU tel:0532 366 02 04   www.betoncelik.com )                                                                                                                                                                     </t>
    </r>
  </si>
  <si>
    <t>balkon döşeme ahşap kalıp iskele</t>
  </si>
  <si>
    <r>
      <rPr>
        <b/>
        <sz val="12"/>
        <color theme="7" tint="-0.499984740745262"/>
        <rFont val="Arial"/>
        <family val="2"/>
        <charset val="162"/>
      </rPr>
      <t xml:space="preserve">YAPI TEMELİ AHŞAP KALIP İSKELE METRAJ HESABI
</t>
    </r>
    <r>
      <rPr>
        <b/>
        <sz val="8"/>
        <color theme="7" tint="-0.499984740745262"/>
        <rFont val="Arial"/>
        <family val="2"/>
        <charset val="162"/>
      </rPr>
      <t xml:space="preserve">(inş.müh. Gürcan BERBEROĞLU tel:0532 366 02 04   www.betoncelik.com )                                                                                                                                                                     </t>
    </r>
  </si>
  <si>
    <t>kalıp ve demir işi birlikte tamamlanacaktır.o yüzden çıkarılacaktır.</t>
  </si>
  <si>
    <t>bölme işlemi sonucunda tam sayı elde ediliyorsa bulunan sayı düz demir sayısını vermektedir.betonarme döşemelerde demirler yerleştirilirken düz demirle başlanıp yine düz demirle bitirilir.Pilye demir sayısı düz demir sayısının bir eksiğidir.</t>
  </si>
  <si>
    <r>
      <rPr>
        <b/>
        <sz val="12"/>
        <color theme="7" tint="-0.499984740745262"/>
        <rFont val="Arial"/>
        <family val="2"/>
        <charset val="162"/>
      </rPr>
      <t xml:space="preserve">DÖŞEME DÜZ DEMİR VE PİLYE ADET HESABI
</t>
    </r>
    <r>
      <rPr>
        <b/>
        <sz val="8"/>
        <color theme="7" tint="-0.499984740745262"/>
        <rFont val="Arial"/>
        <family val="2"/>
        <charset val="162"/>
      </rPr>
      <t xml:space="preserve">(inş.müh. Gürcan BERBEROĞLU tel:0532 366 02 04   www.betoncelik.com )                                                                                                                                                                     </t>
    </r>
  </si>
  <si>
    <t>gün. beton priz gün sayısı</t>
  </si>
  <si>
    <t>kazı üst kotu menfez üst kotu ile aynı</t>
  </si>
  <si>
    <t>F = 1,25 * K * ( 0,0007 * M + 0,01 )  ( TL / ton )</t>
  </si>
  <si>
    <t>(taşıt katsayısı)</t>
  </si>
  <si>
    <t>(km mesafeye taşıma)</t>
  </si>
  <si>
    <t>sağ yan iskele kalıbı</t>
  </si>
  <si>
    <t>sol yan dolgu</t>
  </si>
  <si>
    <t>sağ yan dolgu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</si>
</sst>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Ø&quot;0"/>
    <numFmt numFmtId="165" formatCode="0.000"/>
    <numFmt numFmtId="166" formatCode="&quot;Ø&quot;#,##0&quot;/&quot;"/>
    <numFmt numFmtId="167" formatCode="&quot;/&quot;0.00"/>
  </numFmts>
  <fonts count="8" x14ac:knownFonts="1">
    <font>
      <sz val="8"/>
      <color theme="1"/>
      <name val="Arial"/>
      <family val="2"/>
      <charset val="162"/>
    </font>
    <font>
      <b/>
      <i/>
      <u/>
      <sz val="8"/>
      <color theme="1"/>
      <name val="Arial"/>
      <family val="2"/>
      <charset val="162"/>
    </font>
    <font>
      <u/>
      <sz val="8"/>
      <color theme="1"/>
      <name val="Arial"/>
      <family val="2"/>
      <charset val="162"/>
    </font>
    <font>
      <b/>
      <sz val="8"/>
      <color rgb="FFFF0000"/>
      <name val="Arial"/>
      <family val="2"/>
      <charset val="162"/>
    </font>
    <font>
      <b/>
      <sz val="8"/>
      <color theme="1"/>
      <name val="Arial"/>
      <family val="2"/>
      <charset val="162"/>
    </font>
    <font>
      <sz val="8"/>
      <color theme="1"/>
      <name val="Symbol"/>
      <family val="1"/>
      <charset val="2"/>
    </font>
    <font>
      <b/>
      <sz val="8"/>
      <color theme="7" tint="-0.499984740745262"/>
      <name val="Arial"/>
      <family val="2"/>
      <charset val="162"/>
    </font>
    <font>
      <b/>
      <sz val="12"/>
      <color theme="7" tint="-0.499984740745262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0" fillId="0" borderId="5" xfId="0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 textRotation="90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vertical="center" textRotation="90"/>
      <protection hidden="1"/>
    </xf>
    <xf numFmtId="0" fontId="0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vertical="center"/>
      <protection hidden="1"/>
    </xf>
    <xf numFmtId="0" fontId="0" fillId="0" borderId="7" xfId="0" applyBorder="1" applyAlignment="1" applyProtection="1">
      <alignment vertical="center"/>
      <protection hidden="1"/>
    </xf>
    <xf numFmtId="0" fontId="0" fillId="0" borderId="8" xfId="0" applyBorder="1" applyAlignment="1" applyProtection="1">
      <alignment vertical="center"/>
      <protection hidden="1"/>
    </xf>
    <xf numFmtId="0" fontId="0" fillId="0" borderId="0" xfId="0" applyAlignment="1" applyProtection="1">
      <alignment vertical="top"/>
      <protection hidden="1"/>
    </xf>
    <xf numFmtId="0" fontId="0" fillId="0" borderId="12" xfId="0" applyBorder="1" applyAlignment="1" applyProtection="1">
      <alignment vertical="top"/>
      <protection hidden="1"/>
    </xf>
    <xf numFmtId="0" fontId="0" fillId="0" borderId="12" xfId="0" applyBorder="1" applyAlignment="1" applyProtection="1">
      <alignment vertical="center"/>
      <protection hidden="1"/>
    </xf>
    <xf numFmtId="0" fontId="0" fillId="2" borderId="0" xfId="0" applyFill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top"/>
      <protection hidden="1"/>
    </xf>
    <xf numFmtId="0" fontId="4" fillId="0" borderId="0" xfId="0" applyFont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167" fontId="0" fillId="0" borderId="0" xfId="0" applyNumberFormat="1" applyFill="1" applyAlignment="1" applyProtection="1">
      <alignment textRotation="90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24" xfId="0" applyFill="1" applyBorder="1" applyAlignment="1" applyProtection="1">
      <alignment vertical="center"/>
      <protection hidden="1"/>
    </xf>
    <xf numFmtId="0" fontId="0" fillId="3" borderId="25" xfId="0" applyFill="1" applyBorder="1" applyAlignment="1" applyProtection="1">
      <alignment vertical="center"/>
      <protection hidden="1"/>
    </xf>
    <xf numFmtId="0" fontId="0" fillId="3" borderId="26" xfId="0" applyFill="1" applyBorder="1" applyAlignment="1" applyProtection="1">
      <alignment vertical="center"/>
      <protection hidden="1"/>
    </xf>
    <xf numFmtId="0" fontId="0" fillId="3" borderId="27" xfId="0" applyFill="1" applyBorder="1" applyAlignment="1" applyProtection="1">
      <alignment vertical="center"/>
      <protection hidden="1"/>
    </xf>
    <xf numFmtId="0" fontId="0" fillId="3" borderId="28" xfId="0" applyFill="1" applyBorder="1" applyAlignment="1" applyProtection="1">
      <alignment vertical="center"/>
      <protection hidden="1"/>
    </xf>
    <xf numFmtId="167" fontId="0" fillId="3" borderId="0" xfId="0" applyNumberFormat="1" applyFill="1" applyBorder="1" applyAlignment="1" applyProtection="1">
      <alignment textRotation="90"/>
      <protection hidden="1"/>
    </xf>
    <xf numFmtId="166" fontId="0" fillId="3" borderId="0" xfId="0" applyNumberFormat="1" applyFill="1" applyBorder="1" applyAlignment="1" applyProtection="1">
      <alignment vertical="top" textRotation="90"/>
      <protection hidden="1"/>
    </xf>
    <xf numFmtId="0" fontId="0" fillId="3" borderId="29" xfId="0" applyFill="1" applyBorder="1" applyAlignment="1" applyProtection="1">
      <alignment vertical="center"/>
      <protection hidden="1"/>
    </xf>
    <xf numFmtId="0" fontId="0" fillId="3" borderId="30" xfId="0" applyFill="1" applyBorder="1" applyAlignment="1" applyProtection="1">
      <alignment vertical="center"/>
      <protection hidden="1"/>
    </xf>
    <xf numFmtId="0" fontId="0" fillId="3" borderId="31" xfId="0" applyFill="1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12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2" borderId="9" xfId="0" applyFill="1" applyBorder="1" applyAlignment="1" applyProtection="1">
      <alignment horizontal="right" vertical="center"/>
      <protection locked="0"/>
    </xf>
    <xf numFmtId="0" fontId="0" fillId="2" borderId="11" xfId="0" applyFill="1" applyBorder="1" applyAlignment="1" applyProtection="1">
      <alignment horizontal="right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6" fillId="4" borderId="1" xfId="0" applyFont="1" applyFill="1" applyBorder="1" applyAlignment="1" applyProtection="1">
      <alignment horizontal="center" vertical="center" wrapText="1"/>
      <protection hidden="1"/>
    </xf>
    <xf numFmtId="0" fontId="6" fillId="4" borderId="2" xfId="0" applyFont="1" applyFill="1" applyBorder="1" applyAlignment="1" applyProtection="1">
      <alignment horizontal="center" vertical="center" wrapText="1"/>
      <protection hidden="1"/>
    </xf>
    <xf numFmtId="0" fontId="6" fillId="4" borderId="3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Border="1" applyAlignment="1" applyProtection="1">
      <alignment horizontal="center" vertical="center" textRotation="90"/>
      <protection locked="0"/>
    </xf>
    <xf numFmtId="0" fontId="0" fillId="0" borderId="0" xfId="0" applyBorder="1" applyAlignment="1" applyProtection="1">
      <alignment horizontal="center" vertical="center" textRotation="90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 wrapText="1"/>
      <protection hidden="1"/>
    </xf>
    <xf numFmtId="2" fontId="4" fillId="0" borderId="0" xfId="0" applyNumberFormat="1" applyFont="1" applyBorder="1" applyAlignment="1" applyProtection="1">
      <alignment horizontal="center" vertical="center"/>
      <protection hidden="1"/>
    </xf>
    <xf numFmtId="165" fontId="0" fillId="0" borderId="0" xfId="0" applyNumberFormat="1" applyBorder="1" applyAlignment="1" applyProtection="1">
      <alignment horizontal="center" vertical="center"/>
      <protection hidden="1"/>
    </xf>
    <xf numFmtId="2" fontId="0" fillId="0" borderId="12" xfId="0" applyNumberFormat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 textRotation="90"/>
      <protection hidden="1"/>
    </xf>
    <xf numFmtId="165" fontId="4" fillId="0" borderId="0" xfId="0" applyNumberFormat="1" applyFont="1" applyBorder="1" applyAlignment="1" applyProtection="1">
      <alignment horizontal="center" vertical="center"/>
      <protection hidden="1"/>
    </xf>
    <xf numFmtId="165" fontId="0" fillId="0" borderId="12" xfId="0" applyNumberForma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3" borderId="0" xfId="0" applyFill="1" applyBorder="1" applyAlignment="1" applyProtection="1">
      <alignment horizontal="center" vertical="center"/>
      <protection hidden="1"/>
    </xf>
    <xf numFmtId="0" fontId="0" fillId="2" borderId="13" xfId="0" applyFill="1" applyBorder="1" applyAlignment="1" applyProtection="1">
      <alignment horizontal="right" vertical="center"/>
      <protection locked="0"/>
    </xf>
    <xf numFmtId="0" fontId="0" fillId="2" borderId="14" xfId="0" applyFill="1" applyBorder="1" applyAlignment="1" applyProtection="1">
      <alignment horizontal="right" vertical="center"/>
      <protection locked="0"/>
    </xf>
    <xf numFmtId="0" fontId="0" fillId="0" borderId="15" xfId="0" applyBorder="1" applyAlignment="1" applyProtection="1">
      <alignment horizontal="left" vertical="center"/>
      <protection hidden="1"/>
    </xf>
    <xf numFmtId="0" fontId="0" fillId="0" borderId="13" xfId="0" applyBorder="1" applyAlignment="1" applyProtection="1">
      <alignment horizontal="left" vertical="center"/>
      <protection hidden="1"/>
    </xf>
    <xf numFmtId="0" fontId="0" fillId="2" borderId="13" xfId="0" applyFill="1" applyBorder="1" applyAlignment="1" applyProtection="1">
      <alignment horizontal="center" vertical="center"/>
      <protection locked="0"/>
    </xf>
    <xf numFmtId="1" fontId="0" fillId="0" borderId="0" xfId="0" applyNumberFormat="1" applyFill="1" applyBorder="1" applyAlignment="1" applyProtection="1">
      <alignment horizontal="center" vertical="center"/>
      <protection hidden="1"/>
    </xf>
    <xf numFmtId="0" fontId="0" fillId="0" borderId="22" xfId="0" applyBorder="1" applyAlignment="1" applyProtection="1">
      <alignment horizontal="center" vertical="center"/>
      <protection hidden="1"/>
    </xf>
    <xf numFmtId="0" fontId="0" fillId="0" borderId="23" xfId="0" applyBorder="1" applyAlignment="1" applyProtection="1">
      <alignment horizontal="center" vertical="center"/>
      <protection hidden="1"/>
    </xf>
    <xf numFmtId="0" fontId="0" fillId="0" borderId="17" xfId="0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horizontal="center" vertical="center"/>
      <protection hidden="1"/>
    </xf>
    <xf numFmtId="0" fontId="0" fillId="0" borderId="18" xfId="0" applyBorder="1" applyAlignment="1" applyProtection="1">
      <alignment horizontal="center" vertical="center"/>
      <protection hidden="1"/>
    </xf>
    <xf numFmtId="0" fontId="0" fillId="0" borderId="19" xfId="0" applyBorder="1" applyAlignment="1" applyProtection="1">
      <alignment horizontal="center" vertical="center"/>
      <protection hidden="1"/>
    </xf>
    <xf numFmtId="0" fontId="0" fillId="0" borderId="20" xfId="0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left" vertical="center"/>
      <protection hidden="1"/>
    </xf>
    <xf numFmtId="0" fontId="0" fillId="0" borderId="9" xfId="0" applyBorder="1" applyAlignment="1" applyProtection="1">
      <alignment horizontal="left" vertical="center"/>
      <protection hidden="1"/>
    </xf>
    <xf numFmtId="0" fontId="0" fillId="2" borderId="9" xfId="0" applyFill="1" applyBorder="1" applyAlignment="1" applyProtection="1">
      <alignment horizontal="center" vertical="center"/>
      <protection locked="0"/>
    </xf>
    <xf numFmtId="1" fontId="0" fillId="3" borderId="0" xfId="0" applyNumberFormat="1" applyFill="1" applyBorder="1" applyAlignment="1" applyProtection="1">
      <alignment horizontal="center" textRotation="90"/>
      <protection hidden="1"/>
    </xf>
    <xf numFmtId="1" fontId="0" fillId="2" borderId="0" xfId="0" applyNumberFormat="1" applyFill="1" applyBorder="1" applyAlignment="1" applyProtection="1">
      <alignment horizontal="center" textRotation="90"/>
      <protection locked="0"/>
    </xf>
    <xf numFmtId="166" fontId="0" fillId="3" borderId="0" xfId="0" applyNumberFormat="1" applyFill="1" applyBorder="1" applyAlignment="1" applyProtection="1">
      <alignment horizontal="center" vertical="center" textRotation="90"/>
      <protection hidden="1"/>
    </xf>
    <xf numFmtId="0" fontId="0" fillId="0" borderId="0" xfId="0" applyAlignment="1" applyProtection="1">
      <alignment horizontal="left" vertical="center" wrapText="1"/>
      <protection hidden="1"/>
    </xf>
    <xf numFmtId="166" fontId="0" fillId="2" borderId="0" xfId="0" applyNumberFormat="1" applyFill="1" applyBorder="1" applyAlignment="1" applyProtection="1">
      <alignment horizontal="center" vertical="top" textRotation="90"/>
      <protection locked="0"/>
    </xf>
    <xf numFmtId="0" fontId="0" fillId="0" borderId="0" xfId="0" applyAlignment="1" applyProtection="1">
      <alignment horizontal="center" vertical="center" textRotation="90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166" fontId="0" fillId="3" borderId="0" xfId="0" applyNumberFormat="1" applyFill="1" applyBorder="1" applyAlignment="1" applyProtection="1">
      <alignment horizontal="center" vertical="top" textRotation="90"/>
      <protection hidden="1"/>
    </xf>
    <xf numFmtId="0" fontId="0" fillId="0" borderId="0" xfId="0" applyFont="1" applyBorder="1" applyAlignment="1" applyProtection="1">
      <alignment horizontal="center" vertical="center"/>
      <protection hidden="1"/>
    </xf>
    <xf numFmtId="0" fontId="0" fillId="0" borderId="12" xfId="0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135</xdr:row>
      <xdr:rowOff>66675</xdr:rowOff>
    </xdr:from>
    <xdr:to>
      <xdr:col>6</xdr:col>
      <xdr:colOff>66675</xdr:colOff>
      <xdr:row>135</xdr:row>
      <xdr:rowOff>66675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6AE0FF58-8D4A-4B4B-B455-A7BB68AA5774}"/>
            </a:ext>
          </a:extLst>
        </xdr:cNvPr>
        <xdr:cNvCxnSpPr/>
      </xdr:nvCxnSpPr>
      <xdr:spPr>
        <a:xfrm>
          <a:off x="914400" y="12658725"/>
          <a:ext cx="2857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114301</xdr:colOff>
      <xdr:row>115</xdr:row>
      <xdr:rowOff>0</xdr:rowOff>
    </xdr:from>
    <xdr:to>
      <xdr:col>33</xdr:col>
      <xdr:colOff>38101</xdr:colOff>
      <xdr:row>120</xdr:row>
      <xdr:rowOff>76200</xdr:rowOff>
    </xdr:to>
    <xdr:grpSp>
      <xdr:nvGrpSpPr>
        <xdr:cNvPr id="203" name="Group 202">
          <a:extLst>
            <a:ext uri="{FF2B5EF4-FFF2-40B4-BE49-F238E27FC236}">
              <a16:creationId xmlns:a16="http://schemas.microsoft.com/office/drawing/2014/main" id="{F849CFFA-C9A3-4C22-AEC8-5B746D20D000}"/>
            </a:ext>
          </a:extLst>
        </xdr:cNvPr>
        <xdr:cNvGrpSpPr/>
      </xdr:nvGrpSpPr>
      <xdr:grpSpPr>
        <a:xfrm>
          <a:off x="1571626" y="17468850"/>
          <a:ext cx="3810000" cy="790575"/>
          <a:chOff x="1733551" y="17030700"/>
          <a:chExt cx="3810000" cy="790575"/>
        </a:xfrm>
      </xdr:grpSpPr>
      <xdr:cxnSp macro="">
        <xdr:nvCxnSpPr>
          <xdr:cNvPr id="10" name="Straight Connector 9">
            <a:extLst>
              <a:ext uri="{FF2B5EF4-FFF2-40B4-BE49-F238E27FC236}">
                <a16:creationId xmlns:a16="http://schemas.microsoft.com/office/drawing/2014/main" id="{1B950007-8E4A-48BD-95D1-959E488F2A8A}"/>
              </a:ext>
            </a:extLst>
          </xdr:cNvPr>
          <xdr:cNvCxnSpPr/>
        </xdr:nvCxnSpPr>
        <xdr:spPr>
          <a:xfrm>
            <a:off x="2347913" y="17745075"/>
            <a:ext cx="259556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Straight Connector 16">
            <a:extLst>
              <a:ext uri="{FF2B5EF4-FFF2-40B4-BE49-F238E27FC236}">
                <a16:creationId xmlns:a16="http://schemas.microsoft.com/office/drawing/2014/main" id="{3033399C-8615-43E2-996B-25DFE6885315}"/>
              </a:ext>
            </a:extLst>
          </xdr:cNvPr>
          <xdr:cNvCxnSpPr/>
        </xdr:nvCxnSpPr>
        <xdr:spPr>
          <a:xfrm>
            <a:off x="2428875" y="17626013"/>
            <a:ext cx="0" cy="1952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2" name="Freeform: Shape 21">
            <a:extLst>
              <a:ext uri="{FF2B5EF4-FFF2-40B4-BE49-F238E27FC236}">
                <a16:creationId xmlns:a16="http://schemas.microsoft.com/office/drawing/2014/main" id="{58F1D185-83FD-4B95-9BB3-7ABA74B731AA}"/>
              </a:ext>
            </a:extLst>
          </xdr:cNvPr>
          <xdr:cNvSpPr/>
        </xdr:nvSpPr>
        <xdr:spPr>
          <a:xfrm>
            <a:off x="1733551" y="17030700"/>
            <a:ext cx="3810000" cy="581025"/>
          </a:xfrm>
          <a:custGeom>
            <a:avLst/>
            <a:gdLst>
              <a:gd name="connsiteX0" fmla="*/ 85725 w 3810000"/>
              <a:gd name="connsiteY0" fmla="*/ 85725 h 581025"/>
              <a:gd name="connsiteX1" fmla="*/ 38100 w 3810000"/>
              <a:gd name="connsiteY1" fmla="*/ 38100 h 581025"/>
              <a:gd name="connsiteX2" fmla="*/ 38100 w 3810000"/>
              <a:gd name="connsiteY2" fmla="*/ 0 h 581025"/>
              <a:gd name="connsiteX3" fmla="*/ 3767137 w 3810000"/>
              <a:gd name="connsiteY3" fmla="*/ 0 h 581025"/>
              <a:gd name="connsiteX4" fmla="*/ 3767137 w 3810000"/>
              <a:gd name="connsiteY4" fmla="*/ 42862 h 581025"/>
              <a:gd name="connsiteX5" fmla="*/ 3714750 w 3810000"/>
              <a:gd name="connsiteY5" fmla="*/ 61912 h 581025"/>
              <a:gd name="connsiteX6" fmla="*/ 3810000 w 3810000"/>
              <a:gd name="connsiteY6" fmla="*/ 85725 h 581025"/>
              <a:gd name="connsiteX7" fmla="*/ 3767137 w 3810000"/>
              <a:gd name="connsiteY7" fmla="*/ 114300 h 581025"/>
              <a:gd name="connsiteX8" fmla="*/ 3767137 w 3810000"/>
              <a:gd name="connsiteY8" fmla="*/ 147637 h 581025"/>
              <a:gd name="connsiteX9" fmla="*/ 3448050 w 3810000"/>
              <a:gd name="connsiteY9" fmla="*/ 147637 h 581025"/>
              <a:gd name="connsiteX10" fmla="*/ 3448050 w 3810000"/>
              <a:gd name="connsiteY10" fmla="*/ 576262 h 581025"/>
              <a:gd name="connsiteX11" fmla="*/ 3119437 w 3810000"/>
              <a:gd name="connsiteY11" fmla="*/ 576262 h 581025"/>
              <a:gd name="connsiteX12" fmla="*/ 3119437 w 3810000"/>
              <a:gd name="connsiteY12" fmla="*/ 147637 h 581025"/>
              <a:gd name="connsiteX13" fmla="*/ 695325 w 3810000"/>
              <a:gd name="connsiteY13" fmla="*/ 147637 h 581025"/>
              <a:gd name="connsiteX14" fmla="*/ 695325 w 3810000"/>
              <a:gd name="connsiteY14" fmla="*/ 581025 h 581025"/>
              <a:gd name="connsiteX15" fmla="*/ 371475 w 3810000"/>
              <a:gd name="connsiteY15" fmla="*/ 581025 h 581025"/>
              <a:gd name="connsiteX16" fmla="*/ 371475 w 3810000"/>
              <a:gd name="connsiteY16" fmla="*/ 147637 h 581025"/>
              <a:gd name="connsiteX17" fmla="*/ 47625 w 3810000"/>
              <a:gd name="connsiteY17" fmla="*/ 147637 h 581025"/>
              <a:gd name="connsiteX18" fmla="*/ 47625 w 3810000"/>
              <a:gd name="connsiteY18" fmla="*/ 114300 h 581025"/>
              <a:gd name="connsiteX19" fmla="*/ 0 w 3810000"/>
              <a:gd name="connsiteY19" fmla="*/ 104775 h 581025"/>
              <a:gd name="connsiteX20" fmla="*/ 85725 w 3810000"/>
              <a:gd name="connsiteY20" fmla="*/ 85725 h 58102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</a:cxnLst>
            <a:rect l="l" t="t" r="r" b="b"/>
            <a:pathLst>
              <a:path w="3810000" h="581025">
                <a:moveTo>
                  <a:pt x="85725" y="85725"/>
                </a:moveTo>
                <a:lnTo>
                  <a:pt x="38100" y="38100"/>
                </a:lnTo>
                <a:lnTo>
                  <a:pt x="38100" y="0"/>
                </a:lnTo>
                <a:lnTo>
                  <a:pt x="3767137" y="0"/>
                </a:lnTo>
                <a:lnTo>
                  <a:pt x="3767137" y="42862"/>
                </a:lnTo>
                <a:lnTo>
                  <a:pt x="3714750" y="61912"/>
                </a:lnTo>
                <a:lnTo>
                  <a:pt x="3810000" y="85725"/>
                </a:lnTo>
                <a:lnTo>
                  <a:pt x="3767137" y="114300"/>
                </a:lnTo>
                <a:lnTo>
                  <a:pt x="3767137" y="147637"/>
                </a:lnTo>
                <a:lnTo>
                  <a:pt x="3448050" y="147637"/>
                </a:lnTo>
                <a:lnTo>
                  <a:pt x="3448050" y="576262"/>
                </a:lnTo>
                <a:lnTo>
                  <a:pt x="3119437" y="576262"/>
                </a:lnTo>
                <a:lnTo>
                  <a:pt x="3119437" y="147637"/>
                </a:lnTo>
                <a:lnTo>
                  <a:pt x="695325" y="147637"/>
                </a:lnTo>
                <a:lnTo>
                  <a:pt x="695325" y="581025"/>
                </a:lnTo>
                <a:lnTo>
                  <a:pt x="371475" y="581025"/>
                </a:lnTo>
                <a:lnTo>
                  <a:pt x="371475" y="147637"/>
                </a:lnTo>
                <a:lnTo>
                  <a:pt x="47625" y="147637"/>
                </a:lnTo>
                <a:lnTo>
                  <a:pt x="47625" y="114300"/>
                </a:lnTo>
                <a:lnTo>
                  <a:pt x="0" y="104775"/>
                </a:lnTo>
                <a:lnTo>
                  <a:pt x="85725" y="85725"/>
                </a:lnTo>
                <a:close/>
              </a:path>
            </a:pathLst>
          </a:custGeom>
          <a:blipFill>
            <a:blip xmlns:r="http://schemas.openxmlformats.org/officeDocument/2006/relationships" r:embed="rId1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39" name="Straight Connector 38">
            <a:extLst>
              <a:ext uri="{FF2B5EF4-FFF2-40B4-BE49-F238E27FC236}">
                <a16:creationId xmlns:a16="http://schemas.microsoft.com/office/drawing/2014/main" id="{EA27D737-FA4C-423F-BCA7-DAFF10036F87}"/>
              </a:ext>
            </a:extLst>
          </xdr:cNvPr>
          <xdr:cNvCxnSpPr/>
        </xdr:nvCxnSpPr>
        <xdr:spPr>
          <a:xfrm flipH="1">
            <a:off x="2390775" y="17702213"/>
            <a:ext cx="85725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" name="Straight Connector 121">
            <a:extLst>
              <a:ext uri="{FF2B5EF4-FFF2-40B4-BE49-F238E27FC236}">
                <a16:creationId xmlns:a16="http://schemas.microsoft.com/office/drawing/2014/main" id="{4FD098A7-2F33-48D2-9CC8-DEBE092DF1D1}"/>
              </a:ext>
            </a:extLst>
          </xdr:cNvPr>
          <xdr:cNvCxnSpPr/>
        </xdr:nvCxnSpPr>
        <xdr:spPr>
          <a:xfrm>
            <a:off x="4857750" y="17626013"/>
            <a:ext cx="0" cy="1952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" name="Straight Connector 122">
            <a:extLst>
              <a:ext uri="{FF2B5EF4-FFF2-40B4-BE49-F238E27FC236}">
                <a16:creationId xmlns:a16="http://schemas.microsoft.com/office/drawing/2014/main" id="{BA62EEDD-CF09-4CCB-80AB-325EFE3E4F46}"/>
              </a:ext>
            </a:extLst>
          </xdr:cNvPr>
          <xdr:cNvCxnSpPr/>
        </xdr:nvCxnSpPr>
        <xdr:spPr>
          <a:xfrm flipH="1">
            <a:off x="4810125" y="17702213"/>
            <a:ext cx="85725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76200</xdr:colOff>
      <xdr:row>167</xdr:row>
      <xdr:rowOff>47625</xdr:rowOff>
    </xdr:from>
    <xdr:to>
      <xdr:col>26</xdr:col>
      <xdr:colOff>57150</xdr:colOff>
      <xdr:row>188</xdr:row>
      <xdr:rowOff>66675</xdr:rowOff>
    </xdr:to>
    <xdr:grpSp>
      <xdr:nvGrpSpPr>
        <xdr:cNvPr id="58" name="Group 57">
          <a:extLst>
            <a:ext uri="{FF2B5EF4-FFF2-40B4-BE49-F238E27FC236}">
              <a16:creationId xmlns:a16="http://schemas.microsoft.com/office/drawing/2014/main" id="{972F1167-3F35-4338-816E-932AAF886D4C}"/>
            </a:ext>
          </a:extLst>
        </xdr:cNvPr>
        <xdr:cNvGrpSpPr/>
      </xdr:nvGrpSpPr>
      <xdr:grpSpPr>
        <a:xfrm>
          <a:off x="1209675" y="25879425"/>
          <a:ext cx="3057525" cy="3019425"/>
          <a:chOff x="1371600" y="23298150"/>
          <a:chExt cx="3057525" cy="3019425"/>
        </a:xfrm>
      </xdr:grpSpPr>
      <xdr:sp macro="" textlink="">
        <xdr:nvSpPr>
          <xdr:cNvPr id="126" name="Freeform: Shape 125">
            <a:extLst>
              <a:ext uri="{FF2B5EF4-FFF2-40B4-BE49-F238E27FC236}">
                <a16:creationId xmlns:a16="http://schemas.microsoft.com/office/drawing/2014/main" id="{86C7583E-08AF-4D0B-A978-44EC3C4C8EEB}"/>
              </a:ext>
            </a:extLst>
          </xdr:cNvPr>
          <xdr:cNvSpPr/>
        </xdr:nvSpPr>
        <xdr:spPr>
          <a:xfrm>
            <a:off x="2100262" y="23679150"/>
            <a:ext cx="2266950" cy="2000250"/>
          </a:xfrm>
          <a:custGeom>
            <a:avLst/>
            <a:gdLst>
              <a:gd name="connsiteX0" fmla="*/ 971550 w 2266950"/>
              <a:gd name="connsiteY0" fmla="*/ 0 h 2000250"/>
              <a:gd name="connsiteX1" fmla="*/ 1300163 w 2266950"/>
              <a:gd name="connsiteY1" fmla="*/ 0 h 2000250"/>
              <a:gd name="connsiteX2" fmla="*/ 1300163 w 2266950"/>
              <a:gd name="connsiteY2" fmla="*/ 1571625 h 2000250"/>
              <a:gd name="connsiteX3" fmla="*/ 2266950 w 2266950"/>
              <a:gd name="connsiteY3" fmla="*/ 1571625 h 2000250"/>
              <a:gd name="connsiteX4" fmla="*/ 2266950 w 2266950"/>
              <a:gd name="connsiteY4" fmla="*/ 2000250 h 2000250"/>
              <a:gd name="connsiteX5" fmla="*/ 0 w 2266950"/>
              <a:gd name="connsiteY5" fmla="*/ 2000250 h 2000250"/>
              <a:gd name="connsiteX6" fmla="*/ 0 w 2266950"/>
              <a:gd name="connsiteY6" fmla="*/ 1566863 h 2000250"/>
              <a:gd name="connsiteX7" fmla="*/ 647700 w 2266950"/>
              <a:gd name="connsiteY7" fmla="*/ 1566863 h 2000250"/>
              <a:gd name="connsiteX8" fmla="*/ 971550 w 2266950"/>
              <a:gd name="connsiteY8" fmla="*/ 0 h 20002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2266950" h="2000250">
                <a:moveTo>
                  <a:pt x="971550" y="0"/>
                </a:moveTo>
                <a:lnTo>
                  <a:pt x="1300163" y="0"/>
                </a:lnTo>
                <a:lnTo>
                  <a:pt x="1300163" y="1571625"/>
                </a:lnTo>
                <a:lnTo>
                  <a:pt x="2266950" y="1571625"/>
                </a:lnTo>
                <a:lnTo>
                  <a:pt x="2266950" y="2000250"/>
                </a:lnTo>
                <a:lnTo>
                  <a:pt x="0" y="2000250"/>
                </a:lnTo>
                <a:lnTo>
                  <a:pt x="0" y="1566863"/>
                </a:lnTo>
                <a:lnTo>
                  <a:pt x="647700" y="1566863"/>
                </a:lnTo>
                <a:lnTo>
                  <a:pt x="971550" y="0"/>
                </a:lnTo>
                <a:close/>
              </a:path>
            </a:pathLst>
          </a:custGeom>
          <a:blipFill>
            <a:blip xmlns:r="http://schemas.openxmlformats.org/officeDocument/2006/relationships" r:embed="rId1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28" name="Straight Connector 127">
            <a:extLst>
              <a:ext uri="{FF2B5EF4-FFF2-40B4-BE49-F238E27FC236}">
                <a16:creationId xmlns:a16="http://schemas.microsoft.com/office/drawing/2014/main" id="{559E8E31-18C9-433A-A9A9-FC806CE07126}"/>
              </a:ext>
            </a:extLst>
          </xdr:cNvPr>
          <xdr:cNvCxnSpPr/>
        </xdr:nvCxnSpPr>
        <xdr:spPr>
          <a:xfrm flipH="1">
            <a:off x="1395413" y="25679401"/>
            <a:ext cx="6619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" name="Straight Connector 130">
            <a:extLst>
              <a:ext uri="{FF2B5EF4-FFF2-40B4-BE49-F238E27FC236}">
                <a16:creationId xmlns:a16="http://schemas.microsoft.com/office/drawing/2014/main" id="{7285655B-9051-4F3D-B153-D8FBE2AD7BCE}"/>
              </a:ext>
            </a:extLst>
          </xdr:cNvPr>
          <xdr:cNvCxnSpPr/>
        </xdr:nvCxnSpPr>
        <xdr:spPr>
          <a:xfrm flipV="1">
            <a:off x="1781175" y="23593425"/>
            <a:ext cx="0" cy="215741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" name="Straight Connector 154">
            <a:extLst>
              <a:ext uri="{FF2B5EF4-FFF2-40B4-BE49-F238E27FC236}">
                <a16:creationId xmlns:a16="http://schemas.microsoft.com/office/drawing/2014/main" id="{FB639AE3-7E3F-4110-B25A-830FEDB74D24}"/>
              </a:ext>
            </a:extLst>
          </xdr:cNvPr>
          <xdr:cNvCxnSpPr/>
        </xdr:nvCxnSpPr>
        <xdr:spPr>
          <a:xfrm flipH="1">
            <a:off x="1371600" y="23679150"/>
            <a:ext cx="16097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7" name="Straight Connector 156">
            <a:extLst>
              <a:ext uri="{FF2B5EF4-FFF2-40B4-BE49-F238E27FC236}">
                <a16:creationId xmlns:a16="http://schemas.microsoft.com/office/drawing/2014/main" id="{58FC890B-D009-4AF1-97D6-93F7DEFDC8EF}"/>
              </a:ext>
            </a:extLst>
          </xdr:cNvPr>
          <xdr:cNvCxnSpPr/>
        </xdr:nvCxnSpPr>
        <xdr:spPr>
          <a:xfrm flipH="1">
            <a:off x="1733549" y="23641051"/>
            <a:ext cx="90488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2" name="Straight Connector 171">
            <a:extLst>
              <a:ext uri="{FF2B5EF4-FFF2-40B4-BE49-F238E27FC236}">
                <a16:creationId xmlns:a16="http://schemas.microsoft.com/office/drawing/2014/main" id="{46DDC381-CF88-464B-8ADE-C686B4B5AB7E}"/>
              </a:ext>
            </a:extLst>
          </xdr:cNvPr>
          <xdr:cNvCxnSpPr/>
        </xdr:nvCxnSpPr>
        <xdr:spPr>
          <a:xfrm flipH="1">
            <a:off x="1738311" y="25636536"/>
            <a:ext cx="90488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6" name="Straight Connector 175">
            <a:extLst>
              <a:ext uri="{FF2B5EF4-FFF2-40B4-BE49-F238E27FC236}">
                <a16:creationId xmlns:a16="http://schemas.microsoft.com/office/drawing/2014/main" id="{C734DD37-DA58-4010-9F48-94AD3B6A1EAA}"/>
              </a:ext>
            </a:extLst>
          </xdr:cNvPr>
          <xdr:cNvCxnSpPr/>
        </xdr:nvCxnSpPr>
        <xdr:spPr>
          <a:xfrm flipV="1">
            <a:off x="1457325" y="23593424"/>
            <a:ext cx="0" cy="215741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1" name="Straight Connector 180">
            <a:extLst>
              <a:ext uri="{FF2B5EF4-FFF2-40B4-BE49-F238E27FC236}">
                <a16:creationId xmlns:a16="http://schemas.microsoft.com/office/drawing/2014/main" id="{B1F52A4C-6837-4BA2-B4F3-395A79353FE9}"/>
              </a:ext>
            </a:extLst>
          </xdr:cNvPr>
          <xdr:cNvCxnSpPr/>
        </xdr:nvCxnSpPr>
        <xdr:spPr>
          <a:xfrm flipH="1">
            <a:off x="1409699" y="23641050"/>
            <a:ext cx="90488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2" name="Straight Connector 181">
            <a:extLst>
              <a:ext uri="{FF2B5EF4-FFF2-40B4-BE49-F238E27FC236}">
                <a16:creationId xmlns:a16="http://schemas.microsoft.com/office/drawing/2014/main" id="{4ACE74A9-6B0F-4137-BC1C-97FFB96BEEDA}"/>
              </a:ext>
            </a:extLst>
          </xdr:cNvPr>
          <xdr:cNvCxnSpPr/>
        </xdr:nvCxnSpPr>
        <xdr:spPr>
          <a:xfrm flipH="1">
            <a:off x="1414461" y="25636535"/>
            <a:ext cx="90488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3" name="Straight Connector 162">
            <a:extLst>
              <a:ext uri="{FF2B5EF4-FFF2-40B4-BE49-F238E27FC236}">
                <a16:creationId xmlns:a16="http://schemas.microsoft.com/office/drawing/2014/main" id="{C8F5AF87-F0CD-474D-9520-6AE71B7F0B55}"/>
              </a:ext>
            </a:extLst>
          </xdr:cNvPr>
          <xdr:cNvCxnSpPr/>
        </xdr:nvCxnSpPr>
        <xdr:spPr>
          <a:xfrm>
            <a:off x="1704975" y="25250775"/>
            <a:ext cx="3571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6" name="Straight Connector 165">
            <a:extLst>
              <a:ext uri="{FF2B5EF4-FFF2-40B4-BE49-F238E27FC236}">
                <a16:creationId xmlns:a16="http://schemas.microsoft.com/office/drawing/2014/main" id="{CFE05934-12BA-4957-A9B1-C7673976417A}"/>
              </a:ext>
            </a:extLst>
          </xdr:cNvPr>
          <xdr:cNvCxnSpPr/>
        </xdr:nvCxnSpPr>
        <xdr:spPr>
          <a:xfrm flipH="1">
            <a:off x="1738313" y="25207912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Straight Connector 7">
            <a:extLst>
              <a:ext uri="{FF2B5EF4-FFF2-40B4-BE49-F238E27FC236}">
                <a16:creationId xmlns:a16="http://schemas.microsoft.com/office/drawing/2014/main" id="{D935A856-BC8A-4674-8CB6-803E97391AF0}"/>
              </a:ext>
            </a:extLst>
          </xdr:cNvPr>
          <xdr:cNvCxnSpPr/>
        </xdr:nvCxnSpPr>
        <xdr:spPr>
          <a:xfrm flipV="1">
            <a:off x="3071813" y="23298150"/>
            <a:ext cx="0" cy="3238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Straight Connector 13">
            <a:extLst>
              <a:ext uri="{FF2B5EF4-FFF2-40B4-BE49-F238E27FC236}">
                <a16:creationId xmlns:a16="http://schemas.microsoft.com/office/drawing/2014/main" id="{89D890CB-8E7C-485F-AD86-DEA4CBC737AE}"/>
              </a:ext>
            </a:extLst>
          </xdr:cNvPr>
          <xdr:cNvCxnSpPr/>
        </xdr:nvCxnSpPr>
        <xdr:spPr>
          <a:xfrm>
            <a:off x="3000374" y="23393401"/>
            <a:ext cx="4762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Straight Connector 18">
            <a:extLst>
              <a:ext uri="{FF2B5EF4-FFF2-40B4-BE49-F238E27FC236}">
                <a16:creationId xmlns:a16="http://schemas.microsoft.com/office/drawing/2014/main" id="{43BBA1D9-9C64-405F-8735-8CF9B0D7824E}"/>
              </a:ext>
            </a:extLst>
          </xdr:cNvPr>
          <xdr:cNvCxnSpPr/>
        </xdr:nvCxnSpPr>
        <xdr:spPr>
          <a:xfrm flipH="1">
            <a:off x="3024187" y="23355300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" name="Straight Connector 155">
            <a:extLst>
              <a:ext uri="{FF2B5EF4-FFF2-40B4-BE49-F238E27FC236}">
                <a16:creationId xmlns:a16="http://schemas.microsoft.com/office/drawing/2014/main" id="{474D0529-C710-434F-BC90-B688CF0A71BC}"/>
              </a:ext>
            </a:extLst>
          </xdr:cNvPr>
          <xdr:cNvCxnSpPr/>
        </xdr:nvCxnSpPr>
        <xdr:spPr>
          <a:xfrm flipV="1">
            <a:off x="3400425" y="23298150"/>
            <a:ext cx="0" cy="3238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8" name="Straight Connector 157">
            <a:extLst>
              <a:ext uri="{FF2B5EF4-FFF2-40B4-BE49-F238E27FC236}">
                <a16:creationId xmlns:a16="http://schemas.microsoft.com/office/drawing/2014/main" id="{73FB23A3-A66D-47DD-953A-7DC50D21DE90}"/>
              </a:ext>
            </a:extLst>
          </xdr:cNvPr>
          <xdr:cNvCxnSpPr/>
        </xdr:nvCxnSpPr>
        <xdr:spPr>
          <a:xfrm flipH="1">
            <a:off x="3352799" y="23355300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Straight Connector 26">
            <a:extLst>
              <a:ext uri="{FF2B5EF4-FFF2-40B4-BE49-F238E27FC236}">
                <a16:creationId xmlns:a16="http://schemas.microsoft.com/office/drawing/2014/main" id="{57975D1A-7AA6-4324-80E8-7C0AA62E531B}"/>
              </a:ext>
            </a:extLst>
          </xdr:cNvPr>
          <xdr:cNvCxnSpPr/>
        </xdr:nvCxnSpPr>
        <xdr:spPr>
          <a:xfrm>
            <a:off x="2105025" y="25727025"/>
            <a:ext cx="0" cy="590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" name="Straight Connector 41">
            <a:extLst>
              <a:ext uri="{FF2B5EF4-FFF2-40B4-BE49-F238E27FC236}">
                <a16:creationId xmlns:a16="http://schemas.microsoft.com/office/drawing/2014/main" id="{88574C01-1808-4C4D-85BB-CDCFFC976707}"/>
              </a:ext>
            </a:extLst>
          </xdr:cNvPr>
          <xdr:cNvCxnSpPr/>
        </xdr:nvCxnSpPr>
        <xdr:spPr>
          <a:xfrm>
            <a:off x="2038350" y="25965151"/>
            <a:ext cx="23907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4" name="Straight Connector 163">
            <a:extLst>
              <a:ext uri="{FF2B5EF4-FFF2-40B4-BE49-F238E27FC236}">
                <a16:creationId xmlns:a16="http://schemas.microsoft.com/office/drawing/2014/main" id="{6A93FEE6-E784-435E-8B51-53F38E48EBE4}"/>
              </a:ext>
            </a:extLst>
          </xdr:cNvPr>
          <xdr:cNvCxnSpPr/>
        </xdr:nvCxnSpPr>
        <xdr:spPr>
          <a:xfrm flipH="1">
            <a:off x="2057400" y="25927049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7" name="Straight Connector 166">
            <a:extLst>
              <a:ext uri="{FF2B5EF4-FFF2-40B4-BE49-F238E27FC236}">
                <a16:creationId xmlns:a16="http://schemas.microsoft.com/office/drawing/2014/main" id="{17A84225-4E94-49E0-A30E-A67E12421B43}"/>
              </a:ext>
            </a:extLst>
          </xdr:cNvPr>
          <xdr:cNvCxnSpPr/>
        </xdr:nvCxnSpPr>
        <xdr:spPr>
          <a:xfrm flipH="1">
            <a:off x="2705101" y="25922286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" name="Straight Connector 46">
            <a:extLst>
              <a:ext uri="{FF2B5EF4-FFF2-40B4-BE49-F238E27FC236}">
                <a16:creationId xmlns:a16="http://schemas.microsoft.com/office/drawing/2014/main" id="{6D88D46B-AF7E-4DC1-85DD-2FE80B78C03D}"/>
              </a:ext>
            </a:extLst>
          </xdr:cNvPr>
          <xdr:cNvCxnSpPr/>
        </xdr:nvCxnSpPr>
        <xdr:spPr>
          <a:xfrm>
            <a:off x="2752726" y="25712738"/>
            <a:ext cx="0" cy="3190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9" name="Straight Connector 168">
            <a:extLst>
              <a:ext uri="{FF2B5EF4-FFF2-40B4-BE49-F238E27FC236}">
                <a16:creationId xmlns:a16="http://schemas.microsoft.com/office/drawing/2014/main" id="{53E63206-8669-4AD5-86DE-F26F818E3266}"/>
              </a:ext>
            </a:extLst>
          </xdr:cNvPr>
          <xdr:cNvCxnSpPr/>
        </xdr:nvCxnSpPr>
        <xdr:spPr>
          <a:xfrm flipH="1">
            <a:off x="3352801" y="25922286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1" name="Straight Connector 170">
            <a:extLst>
              <a:ext uri="{FF2B5EF4-FFF2-40B4-BE49-F238E27FC236}">
                <a16:creationId xmlns:a16="http://schemas.microsoft.com/office/drawing/2014/main" id="{E08CCD09-D6CB-453A-882F-4D0512A00223}"/>
              </a:ext>
            </a:extLst>
          </xdr:cNvPr>
          <xdr:cNvCxnSpPr/>
        </xdr:nvCxnSpPr>
        <xdr:spPr>
          <a:xfrm>
            <a:off x="3400426" y="25712738"/>
            <a:ext cx="0" cy="3190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3" name="Straight Connector 172">
            <a:extLst>
              <a:ext uri="{FF2B5EF4-FFF2-40B4-BE49-F238E27FC236}">
                <a16:creationId xmlns:a16="http://schemas.microsoft.com/office/drawing/2014/main" id="{3F63D9BC-213D-40E7-A925-51FC46C85108}"/>
              </a:ext>
            </a:extLst>
          </xdr:cNvPr>
          <xdr:cNvCxnSpPr/>
        </xdr:nvCxnSpPr>
        <xdr:spPr>
          <a:xfrm>
            <a:off x="2038350" y="26250901"/>
            <a:ext cx="23907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5" name="Straight Connector 174">
            <a:extLst>
              <a:ext uri="{FF2B5EF4-FFF2-40B4-BE49-F238E27FC236}">
                <a16:creationId xmlns:a16="http://schemas.microsoft.com/office/drawing/2014/main" id="{977985D6-E25F-4154-9369-1CD850128194}"/>
              </a:ext>
            </a:extLst>
          </xdr:cNvPr>
          <xdr:cNvCxnSpPr/>
        </xdr:nvCxnSpPr>
        <xdr:spPr>
          <a:xfrm flipH="1">
            <a:off x="2057400" y="26212799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3" name="Straight Connector 182">
            <a:extLst>
              <a:ext uri="{FF2B5EF4-FFF2-40B4-BE49-F238E27FC236}">
                <a16:creationId xmlns:a16="http://schemas.microsoft.com/office/drawing/2014/main" id="{EB67F254-003C-47EC-81A1-5BFD0C004B22}"/>
              </a:ext>
            </a:extLst>
          </xdr:cNvPr>
          <xdr:cNvCxnSpPr/>
        </xdr:nvCxnSpPr>
        <xdr:spPr>
          <a:xfrm>
            <a:off x="4371975" y="25727025"/>
            <a:ext cx="0" cy="590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4" name="Straight Connector 183">
            <a:extLst>
              <a:ext uri="{FF2B5EF4-FFF2-40B4-BE49-F238E27FC236}">
                <a16:creationId xmlns:a16="http://schemas.microsoft.com/office/drawing/2014/main" id="{4CD1D5F6-4F02-42CB-B40B-6F08FBD30EF1}"/>
              </a:ext>
            </a:extLst>
          </xdr:cNvPr>
          <xdr:cNvCxnSpPr/>
        </xdr:nvCxnSpPr>
        <xdr:spPr>
          <a:xfrm flipH="1">
            <a:off x="4324350" y="25927049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5" name="Straight Connector 184">
            <a:extLst>
              <a:ext uri="{FF2B5EF4-FFF2-40B4-BE49-F238E27FC236}">
                <a16:creationId xmlns:a16="http://schemas.microsoft.com/office/drawing/2014/main" id="{8417C4D2-828A-4870-BEE1-AA416022365E}"/>
              </a:ext>
            </a:extLst>
          </xdr:cNvPr>
          <xdr:cNvCxnSpPr/>
        </xdr:nvCxnSpPr>
        <xdr:spPr>
          <a:xfrm flipH="1">
            <a:off x="4324350" y="26212799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" name="Straight Connector 185">
            <a:extLst>
              <a:ext uri="{FF2B5EF4-FFF2-40B4-BE49-F238E27FC236}">
                <a16:creationId xmlns:a16="http://schemas.microsoft.com/office/drawing/2014/main" id="{B2FFDB58-ABF2-443C-A5B2-09A5F5B797A8}"/>
              </a:ext>
            </a:extLst>
          </xdr:cNvPr>
          <xdr:cNvCxnSpPr/>
        </xdr:nvCxnSpPr>
        <xdr:spPr>
          <a:xfrm flipH="1">
            <a:off x="3028951" y="25927048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7" name="Straight Connector 186">
            <a:extLst>
              <a:ext uri="{FF2B5EF4-FFF2-40B4-BE49-F238E27FC236}">
                <a16:creationId xmlns:a16="http://schemas.microsoft.com/office/drawing/2014/main" id="{08B07C09-A339-4E4B-89C4-AA826B8C1B4A}"/>
              </a:ext>
            </a:extLst>
          </xdr:cNvPr>
          <xdr:cNvCxnSpPr/>
        </xdr:nvCxnSpPr>
        <xdr:spPr>
          <a:xfrm>
            <a:off x="3076576" y="25717500"/>
            <a:ext cx="0" cy="3190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95250</xdr:colOff>
      <xdr:row>214</xdr:row>
      <xdr:rowOff>9526</xdr:rowOff>
    </xdr:from>
    <xdr:to>
      <xdr:col>29</xdr:col>
      <xdr:colOff>100013</xdr:colOff>
      <xdr:row>229</xdr:row>
      <xdr:rowOff>66675</xdr:rowOff>
    </xdr:to>
    <xdr:grpSp>
      <xdr:nvGrpSpPr>
        <xdr:cNvPr id="232" name="Group 231">
          <a:extLst>
            <a:ext uri="{FF2B5EF4-FFF2-40B4-BE49-F238E27FC236}">
              <a16:creationId xmlns:a16="http://schemas.microsoft.com/office/drawing/2014/main" id="{78CEA3AD-CB76-4FD6-AD40-58E5609C0749}"/>
            </a:ext>
          </a:extLst>
        </xdr:cNvPr>
        <xdr:cNvGrpSpPr/>
      </xdr:nvGrpSpPr>
      <xdr:grpSpPr>
        <a:xfrm>
          <a:off x="1066800" y="33051751"/>
          <a:ext cx="3729038" cy="2200274"/>
          <a:chOff x="1228725" y="29984701"/>
          <a:chExt cx="3729038" cy="2200274"/>
        </a:xfrm>
      </xdr:grpSpPr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22200A9A-3FBF-4B0C-A64D-F3378518B72B}"/>
              </a:ext>
            </a:extLst>
          </xdr:cNvPr>
          <xdr:cNvSpPr/>
        </xdr:nvSpPr>
        <xdr:spPr>
          <a:xfrm>
            <a:off x="1766887" y="31565850"/>
            <a:ext cx="3176588" cy="123825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4DF0D3E0-623E-444B-BEA2-B89636D04969}"/>
              </a:ext>
            </a:extLst>
          </xdr:cNvPr>
          <xdr:cNvSpPr/>
        </xdr:nvSpPr>
        <xdr:spPr>
          <a:xfrm>
            <a:off x="1643063" y="29989463"/>
            <a:ext cx="128587" cy="1704975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73" name="Freeform: Shape 72">
            <a:extLst>
              <a:ext uri="{FF2B5EF4-FFF2-40B4-BE49-F238E27FC236}">
                <a16:creationId xmlns:a16="http://schemas.microsoft.com/office/drawing/2014/main" id="{0350D9C8-F4DC-4503-92F7-4480B6D07350}"/>
              </a:ext>
            </a:extLst>
          </xdr:cNvPr>
          <xdr:cNvSpPr/>
        </xdr:nvSpPr>
        <xdr:spPr>
          <a:xfrm>
            <a:off x="2266951" y="30694313"/>
            <a:ext cx="1466850" cy="857250"/>
          </a:xfrm>
          <a:custGeom>
            <a:avLst/>
            <a:gdLst>
              <a:gd name="connsiteX0" fmla="*/ 976312 w 1466850"/>
              <a:gd name="connsiteY0" fmla="*/ 0 h 857250"/>
              <a:gd name="connsiteX1" fmla="*/ 490537 w 1466850"/>
              <a:gd name="connsiteY1" fmla="*/ 0 h 857250"/>
              <a:gd name="connsiteX2" fmla="*/ 490537 w 1466850"/>
              <a:gd name="connsiteY2" fmla="*/ 423863 h 857250"/>
              <a:gd name="connsiteX3" fmla="*/ 0 w 1466850"/>
              <a:gd name="connsiteY3" fmla="*/ 423863 h 857250"/>
              <a:gd name="connsiteX4" fmla="*/ 0 w 1466850"/>
              <a:gd name="connsiteY4" fmla="*/ 857250 h 857250"/>
              <a:gd name="connsiteX5" fmla="*/ 1466850 w 1466850"/>
              <a:gd name="connsiteY5" fmla="*/ 857250 h 857250"/>
              <a:gd name="connsiteX6" fmla="*/ 1466850 w 1466850"/>
              <a:gd name="connsiteY6" fmla="*/ 433388 h 857250"/>
              <a:gd name="connsiteX7" fmla="*/ 976312 w 1466850"/>
              <a:gd name="connsiteY7" fmla="*/ 433388 h 857250"/>
              <a:gd name="connsiteX8" fmla="*/ 976312 w 1466850"/>
              <a:gd name="connsiteY8" fmla="*/ 133350 h 857250"/>
              <a:gd name="connsiteX9" fmla="*/ 976312 w 1466850"/>
              <a:gd name="connsiteY9" fmla="*/ 0 h 8572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</a:cxnLst>
            <a:rect l="l" t="t" r="r" b="b"/>
            <a:pathLst>
              <a:path w="1466850" h="857250">
                <a:moveTo>
                  <a:pt x="976312" y="0"/>
                </a:moveTo>
                <a:lnTo>
                  <a:pt x="490537" y="0"/>
                </a:lnTo>
                <a:lnTo>
                  <a:pt x="490537" y="423863"/>
                </a:lnTo>
                <a:lnTo>
                  <a:pt x="0" y="423863"/>
                </a:lnTo>
                <a:lnTo>
                  <a:pt x="0" y="857250"/>
                </a:lnTo>
                <a:lnTo>
                  <a:pt x="1466850" y="857250"/>
                </a:lnTo>
                <a:lnTo>
                  <a:pt x="1466850" y="433388"/>
                </a:lnTo>
                <a:lnTo>
                  <a:pt x="976312" y="433388"/>
                </a:lnTo>
                <a:lnTo>
                  <a:pt x="976312" y="133350"/>
                </a:lnTo>
                <a:lnTo>
                  <a:pt x="976312" y="0"/>
                </a:lnTo>
                <a:close/>
              </a:path>
            </a:pathLst>
          </a:custGeom>
          <a:blipFill>
            <a:blip xmlns:r="http://schemas.openxmlformats.org/officeDocument/2006/relationships" r:embed="rId1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13" name="Freeform: Shape 112">
            <a:extLst>
              <a:ext uri="{FF2B5EF4-FFF2-40B4-BE49-F238E27FC236}">
                <a16:creationId xmlns:a16="http://schemas.microsoft.com/office/drawing/2014/main" id="{3AA64085-1F37-49DB-8D96-FB9AB3FF577A}"/>
              </a:ext>
            </a:extLst>
          </xdr:cNvPr>
          <xdr:cNvSpPr/>
        </xdr:nvSpPr>
        <xdr:spPr>
          <a:xfrm>
            <a:off x="2847976" y="30079951"/>
            <a:ext cx="314325" cy="614362"/>
          </a:xfrm>
          <a:custGeom>
            <a:avLst/>
            <a:gdLst>
              <a:gd name="connsiteX0" fmla="*/ 104775 w 314325"/>
              <a:gd name="connsiteY0" fmla="*/ 0 h 614362"/>
              <a:gd name="connsiteX1" fmla="*/ 71437 w 314325"/>
              <a:gd name="connsiteY1" fmla="*/ 47625 h 614362"/>
              <a:gd name="connsiteX2" fmla="*/ 0 w 314325"/>
              <a:gd name="connsiteY2" fmla="*/ 47625 h 614362"/>
              <a:gd name="connsiteX3" fmla="*/ 0 w 314325"/>
              <a:gd name="connsiteY3" fmla="*/ 614362 h 614362"/>
              <a:gd name="connsiteX4" fmla="*/ 314325 w 314325"/>
              <a:gd name="connsiteY4" fmla="*/ 614362 h 614362"/>
              <a:gd name="connsiteX5" fmla="*/ 314325 w 314325"/>
              <a:gd name="connsiteY5" fmla="*/ 42862 h 614362"/>
              <a:gd name="connsiteX6" fmla="*/ 166687 w 314325"/>
              <a:gd name="connsiteY6" fmla="*/ 42862 h 614362"/>
              <a:gd name="connsiteX7" fmla="*/ 138112 w 314325"/>
              <a:gd name="connsiteY7" fmla="*/ 104775 h 614362"/>
              <a:gd name="connsiteX8" fmla="*/ 104775 w 314325"/>
              <a:gd name="connsiteY8" fmla="*/ 0 h 6143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314325" h="614362">
                <a:moveTo>
                  <a:pt x="104775" y="0"/>
                </a:moveTo>
                <a:lnTo>
                  <a:pt x="71437" y="47625"/>
                </a:lnTo>
                <a:lnTo>
                  <a:pt x="0" y="47625"/>
                </a:lnTo>
                <a:lnTo>
                  <a:pt x="0" y="614362"/>
                </a:lnTo>
                <a:lnTo>
                  <a:pt x="314325" y="614362"/>
                </a:lnTo>
                <a:lnTo>
                  <a:pt x="314325" y="42862"/>
                </a:lnTo>
                <a:lnTo>
                  <a:pt x="166687" y="42862"/>
                </a:lnTo>
                <a:lnTo>
                  <a:pt x="138112" y="104775"/>
                </a:lnTo>
                <a:lnTo>
                  <a:pt x="104775" y="0"/>
                </a:lnTo>
                <a:close/>
              </a:path>
            </a:pathLst>
          </a:custGeom>
          <a:blipFill>
            <a:blip xmlns:r="http://schemas.openxmlformats.org/officeDocument/2006/relationships" r:embed="rId1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4" name="Freeform: Shape 113">
            <a:extLst>
              <a:ext uri="{FF2B5EF4-FFF2-40B4-BE49-F238E27FC236}">
                <a16:creationId xmlns:a16="http://schemas.microsoft.com/office/drawing/2014/main" id="{0F884DBF-9DDB-4A04-81FC-4E3B156AABCE}"/>
              </a:ext>
            </a:extLst>
          </xdr:cNvPr>
          <xdr:cNvSpPr/>
        </xdr:nvSpPr>
        <xdr:spPr>
          <a:xfrm>
            <a:off x="1776406" y="29984701"/>
            <a:ext cx="3162300" cy="1566863"/>
          </a:xfrm>
          <a:custGeom>
            <a:avLst/>
            <a:gdLst>
              <a:gd name="connsiteX0" fmla="*/ 0 w 3162300"/>
              <a:gd name="connsiteY0" fmla="*/ 0 h 1566863"/>
              <a:gd name="connsiteX1" fmla="*/ 0 w 3162300"/>
              <a:gd name="connsiteY1" fmla="*/ 1566863 h 1566863"/>
              <a:gd name="connsiteX2" fmla="*/ 3162300 w 3162300"/>
              <a:gd name="connsiteY2" fmla="*/ 1566863 h 15668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3162300" h="1566863">
                <a:moveTo>
                  <a:pt x="0" y="0"/>
                </a:moveTo>
                <a:lnTo>
                  <a:pt x="0" y="1566863"/>
                </a:lnTo>
                <a:lnTo>
                  <a:pt x="3162300" y="1566863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19" name="Straight Connector 118">
            <a:extLst>
              <a:ext uri="{FF2B5EF4-FFF2-40B4-BE49-F238E27FC236}">
                <a16:creationId xmlns:a16="http://schemas.microsoft.com/office/drawing/2014/main" id="{EAAAD4DC-74F3-49C9-B3DC-985A40CA1609}"/>
              </a:ext>
            </a:extLst>
          </xdr:cNvPr>
          <xdr:cNvCxnSpPr>
            <a:stCxn id="73" idx="1"/>
          </xdr:cNvCxnSpPr>
        </xdr:nvCxnSpPr>
        <xdr:spPr>
          <a:xfrm flipH="1">
            <a:off x="1452563" y="30694313"/>
            <a:ext cx="1304925" cy="852487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" name="Straight Connector 126">
            <a:extLst>
              <a:ext uri="{FF2B5EF4-FFF2-40B4-BE49-F238E27FC236}">
                <a16:creationId xmlns:a16="http://schemas.microsoft.com/office/drawing/2014/main" id="{3025550E-205A-4B20-80E3-D7CE4B18013A}"/>
              </a:ext>
            </a:extLst>
          </xdr:cNvPr>
          <xdr:cNvCxnSpPr/>
        </xdr:nvCxnSpPr>
        <xdr:spPr>
          <a:xfrm>
            <a:off x="1462088" y="31546800"/>
            <a:ext cx="300037" cy="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8" name="Straight Connector 187">
            <a:extLst>
              <a:ext uri="{FF2B5EF4-FFF2-40B4-BE49-F238E27FC236}">
                <a16:creationId xmlns:a16="http://schemas.microsoft.com/office/drawing/2014/main" id="{D2CDDA8A-B07A-4B99-8D0D-6B65A9C08A48}"/>
              </a:ext>
            </a:extLst>
          </xdr:cNvPr>
          <xdr:cNvCxnSpPr>
            <a:stCxn id="73" idx="0"/>
          </xdr:cNvCxnSpPr>
        </xdr:nvCxnSpPr>
        <xdr:spPr>
          <a:xfrm>
            <a:off x="3243263" y="30694313"/>
            <a:ext cx="1290637" cy="847725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2" name="Straight Connector 161">
            <a:extLst>
              <a:ext uri="{FF2B5EF4-FFF2-40B4-BE49-F238E27FC236}">
                <a16:creationId xmlns:a16="http://schemas.microsoft.com/office/drawing/2014/main" id="{7B6D954C-1947-4284-891C-0D97B26441A0}"/>
              </a:ext>
            </a:extLst>
          </xdr:cNvPr>
          <xdr:cNvCxnSpPr/>
        </xdr:nvCxnSpPr>
        <xdr:spPr>
          <a:xfrm flipV="1">
            <a:off x="4857750" y="30613350"/>
            <a:ext cx="0" cy="10239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0" name="Straight Connector 189">
            <a:extLst>
              <a:ext uri="{FF2B5EF4-FFF2-40B4-BE49-F238E27FC236}">
                <a16:creationId xmlns:a16="http://schemas.microsoft.com/office/drawing/2014/main" id="{3C6211BB-455D-4693-8FE9-A5DEF161DE44}"/>
              </a:ext>
            </a:extLst>
          </xdr:cNvPr>
          <xdr:cNvCxnSpPr/>
        </xdr:nvCxnSpPr>
        <xdr:spPr>
          <a:xfrm>
            <a:off x="3386138" y="30689550"/>
            <a:ext cx="15716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2" name="Straight Connector 191">
            <a:extLst>
              <a:ext uri="{FF2B5EF4-FFF2-40B4-BE49-F238E27FC236}">
                <a16:creationId xmlns:a16="http://schemas.microsoft.com/office/drawing/2014/main" id="{77AD5722-EB01-4D90-9901-544D9518BD01}"/>
              </a:ext>
            </a:extLst>
          </xdr:cNvPr>
          <xdr:cNvCxnSpPr/>
        </xdr:nvCxnSpPr>
        <xdr:spPr>
          <a:xfrm flipH="1">
            <a:off x="4814887" y="30646687"/>
            <a:ext cx="80963" cy="904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2" name="Straight Connector 201">
            <a:extLst>
              <a:ext uri="{FF2B5EF4-FFF2-40B4-BE49-F238E27FC236}">
                <a16:creationId xmlns:a16="http://schemas.microsoft.com/office/drawing/2014/main" id="{894118AA-BA28-48AC-9171-E4DA3F330FF2}"/>
              </a:ext>
            </a:extLst>
          </xdr:cNvPr>
          <xdr:cNvCxnSpPr/>
        </xdr:nvCxnSpPr>
        <xdr:spPr>
          <a:xfrm flipH="1">
            <a:off x="4814888" y="31503937"/>
            <a:ext cx="80963" cy="904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4" name="Straight Connector 193">
            <a:extLst>
              <a:ext uri="{FF2B5EF4-FFF2-40B4-BE49-F238E27FC236}">
                <a16:creationId xmlns:a16="http://schemas.microsoft.com/office/drawing/2014/main" id="{035E111D-EBA4-449E-9268-370381246C61}"/>
              </a:ext>
            </a:extLst>
          </xdr:cNvPr>
          <xdr:cNvCxnSpPr/>
        </xdr:nvCxnSpPr>
        <xdr:spPr>
          <a:xfrm>
            <a:off x="3238500" y="31608713"/>
            <a:ext cx="0" cy="3143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6" name="Straight Connector 195">
            <a:extLst>
              <a:ext uri="{FF2B5EF4-FFF2-40B4-BE49-F238E27FC236}">
                <a16:creationId xmlns:a16="http://schemas.microsoft.com/office/drawing/2014/main" id="{815DC2D6-EABD-4C82-865C-3906538E5CE2}"/>
              </a:ext>
            </a:extLst>
          </xdr:cNvPr>
          <xdr:cNvCxnSpPr/>
        </xdr:nvCxnSpPr>
        <xdr:spPr>
          <a:xfrm>
            <a:off x="3171822" y="31832549"/>
            <a:ext cx="14478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4" name="Straight Connector 203">
            <a:extLst>
              <a:ext uri="{FF2B5EF4-FFF2-40B4-BE49-F238E27FC236}">
                <a16:creationId xmlns:a16="http://schemas.microsoft.com/office/drawing/2014/main" id="{2AD2ADF1-F45E-484F-AD51-F06D6F99EFC0}"/>
              </a:ext>
            </a:extLst>
          </xdr:cNvPr>
          <xdr:cNvCxnSpPr/>
        </xdr:nvCxnSpPr>
        <xdr:spPr>
          <a:xfrm flipH="1">
            <a:off x="3195639" y="31789687"/>
            <a:ext cx="80963" cy="904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5" name="Straight Connector 204">
            <a:extLst>
              <a:ext uri="{FF2B5EF4-FFF2-40B4-BE49-F238E27FC236}">
                <a16:creationId xmlns:a16="http://schemas.microsoft.com/office/drawing/2014/main" id="{C838FAA3-C3A4-4BD8-ACA5-A70362FD397E}"/>
              </a:ext>
            </a:extLst>
          </xdr:cNvPr>
          <xdr:cNvCxnSpPr/>
        </xdr:nvCxnSpPr>
        <xdr:spPr>
          <a:xfrm>
            <a:off x="4533901" y="31608713"/>
            <a:ext cx="0" cy="3143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6" name="Straight Connector 205">
            <a:extLst>
              <a:ext uri="{FF2B5EF4-FFF2-40B4-BE49-F238E27FC236}">
                <a16:creationId xmlns:a16="http://schemas.microsoft.com/office/drawing/2014/main" id="{F8227655-1EA6-4898-B241-0FABC57899ED}"/>
              </a:ext>
            </a:extLst>
          </xdr:cNvPr>
          <xdr:cNvCxnSpPr/>
        </xdr:nvCxnSpPr>
        <xdr:spPr>
          <a:xfrm flipH="1">
            <a:off x="4491040" y="31789687"/>
            <a:ext cx="80963" cy="904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7" name="Straight Connector 206">
            <a:extLst>
              <a:ext uri="{FF2B5EF4-FFF2-40B4-BE49-F238E27FC236}">
                <a16:creationId xmlns:a16="http://schemas.microsoft.com/office/drawing/2014/main" id="{3EFB43AF-E14C-4E95-9A8F-9610842C8B50}"/>
              </a:ext>
            </a:extLst>
          </xdr:cNvPr>
          <xdr:cNvCxnSpPr/>
        </xdr:nvCxnSpPr>
        <xdr:spPr>
          <a:xfrm>
            <a:off x="1457325" y="31608713"/>
            <a:ext cx="0" cy="5762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8" name="Straight Connector 207">
            <a:extLst>
              <a:ext uri="{FF2B5EF4-FFF2-40B4-BE49-F238E27FC236}">
                <a16:creationId xmlns:a16="http://schemas.microsoft.com/office/drawing/2014/main" id="{30775BB2-11ED-4CE5-A932-0720CA26D840}"/>
              </a:ext>
            </a:extLst>
          </xdr:cNvPr>
          <xdr:cNvCxnSpPr/>
        </xdr:nvCxnSpPr>
        <xdr:spPr>
          <a:xfrm flipH="1">
            <a:off x="1414464" y="31789687"/>
            <a:ext cx="80963" cy="904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9" name="Straight Connector 208">
            <a:extLst>
              <a:ext uri="{FF2B5EF4-FFF2-40B4-BE49-F238E27FC236}">
                <a16:creationId xmlns:a16="http://schemas.microsoft.com/office/drawing/2014/main" id="{1D6AE391-B7A2-4B61-9BC1-A384E6EA2839}"/>
              </a:ext>
            </a:extLst>
          </xdr:cNvPr>
          <xdr:cNvCxnSpPr/>
        </xdr:nvCxnSpPr>
        <xdr:spPr>
          <a:xfrm>
            <a:off x="1781176" y="31608713"/>
            <a:ext cx="0" cy="3143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0" name="Straight Connector 209">
            <a:extLst>
              <a:ext uri="{FF2B5EF4-FFF2-40B4-BE49-F238E27FC236}">
                <a16:creationId xmlns:a16="http://schemas.microsoft.com/office/drawing/2014/main" id="{6F304CB5-570A-4CE4-801C-8C4F00F3B429}"/>
              </a:ext>
            </a:extLst>
          </xdr:cNvPr>
          <xdr:cNvCxnSpPr/>
        </xdr:nvCxnSpPr>
        <xdr:spPr>
          <a:xfrm flipH="1">
            <a:off x="1738315" y="31789687"/>
            <a:ext cx="80963" cy="904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1" name="Straight Connector 210">
            <a:extLst>
              <a:ext uri="{FF2B5EF4-FFF2-40B4-BE49-F238E27FC236}">
                <a16:creationId xmlns:a16="http://schemas.microsoft.com/office/drawing/2014/main" id="{FE8AEFFB-7E19-45FA-8E26-94A112120133}"/>
              </a:ext>
            </a:extLst>
          </xdr:cNvPr>
          <xdr:cNvCxnSpPr/>
        </xdr:nvCxnSpPr>
        <xdr:spPr>
          <a:xfrm>
            <a:off x="2752726" y="31608713"/>
            <a:ext cx="0" cy="5715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2" name="Straight Connector 211">
            <a:extLst>
              <a:ext uri="{FF2B5EF4-FFF2-40B4-BE49-F238E27FC236}">
                <a16:creationId xmlns:a16="http://schemas.microsoft.com/office/drawing/2014/main" id="{D91DD5A4-5A0E-456E-BEBF-C35EE94183C1}"/>
              </a:ext>
            </a:extLst>
          </xdr:cNvPr>
          <xdr:cNvCxnSpPr/>
        </xdr:nvCxnSpPr>
        <xdr:spPr>
          <a:xfrm flipH="1">
            <a:off x="2709865" y="31789687"/>
            <a:ext cx="80963" cy="904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3" name="Straight Connector 212">
            <a:extLst>
              <a:ext uri="{FF2B5EF4-FFF2-40B4-BE49-F238E27FC236}">
                <a16:creationId xmlns:a16="http://schemas.microsoft.com/office/drawing/2014/main" id="{4D9F6CFD-4E3D-493E-A1FE-05DDC9E5927C}"/>
              </a:ext>
            </a:extLst>
          </xdr:cNvPr>
          <xdr:cNvCxnSpPr/>
        </xdr:nvCxnSpPr>
        <xdr:spPr>
          <a:xfrm>
            <a:off x="1390650" y="31832550"/>
            <a:ext cx="14478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5" name="Straight Connector 214">
            <a:extLst>
              <a:ext uri="{FF2B5EF4-FFF2-40B4-BE49-F238E27FC236}">
                <a16:creationId xmlns:a16="http://schemas.microsoft.com/office/drawing/2014/main" id="{BEA98272-DE15-4771-B2E6-496CE0DDC76A}"/>
              </a:ext>
            </a:extLst>
          </xdr:cNvPr>
          <xdr:cNvCxnSpPr/>
        </xdr:nvCxnSpPr>
        <xdr:spPr>
          <a:xfrm>
            <a:off x="1228725" y="31337250"/>
            <a:ext cx="52387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8" name="Straight Connector 217">
            <a:extLst>
              <a:ext uri="{FF2B5EF4-FFF2-40B4-BE49-F238E27FC236}">
                <a16:creationId xmlns:a16="http://schemas.microsoft.com/office/drawing/2014/main" id="{D7D62756-4329-490B-959B-1B472673C70F}"/>
              </a:ext>
            </a:extLst>
          </xdr:cNvPr>
          <xdr:cNvCxnSpPr/>
        </xdr:nvCxnSpPr>
        <xdr:spPr>
          <a:xfrm>
            <a:off x="1295400" y="31275338"/>
            <a:ext cx="0" cy="3190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0" name="Straight Connector 219">
            <a:extLst>
              <a:ext uri="{FF2B5EF4-FFF2-40B4-BE49-F238E27FC236}">
                <a16:creationId xmlns:a16="http://schemas.microsoft.com/office/drawing/2014/main" id="{2708C532-2296-48F0-9F35-D1B2F7474BA2}"/>
              </a:ext>
            </a:extLst>
          </xdr:cNvPr>
          <xdr:cNvCxnSpPr/>
        </xdr:nvCxnSpPr>
        <xdr:spPr>
          <a:xfrm flipH="1">
            <a:off x="1228725" y="31546800"/>
            <a:ext cx="1714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3" name="Straight Connector 222">
            <a:extLst>
              <a:ext uri="{FF2B5EF4-FFF2-40B4-BE49-F238E27FC236}">
                <a16:creationId xmlns:a16="http://schemas.microsoft.com/office/drawing/2014/main" id="{E8E4D5DB-4C7D-4E07-8E40-430042CBB99D}"/>
              </a:ext>
            </a:extLst>
          </xdr:cNvPr>
          <xdr:cNvCxnSpPr/>
        </xdr:nvCxnSpPr>
        <xdr:spPr>
          <a:xfrm flipH="1">
            <a:off x="1257300" y="31294386"/>
            <a:ext cx="76200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4" name="Straight Connector 223">
            <a:extLst>
              <a:ext uri="{FF2B5EF4-FFF2-40B4-BE49-F238E27FC236}">
                <a16:creationId xmlns:a16="http://schemas.microsoft.com/office/drawing/2014/main" id="{2085CC17-7411-4967-8C78-3F27769EF369}"/>
              </a:ext>
            </a:extLst>
          </xdr:cNvPr>
          <xdr:cNvCxnSpPr/>
        </xdr:nvCxnSpPr>
        <xdr:spPr>
          <a:xfrm flipH="1">
            <a:off x="1252537" y="31503936"/>
            <a:ext cx="76200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6" name="Straight Connector 225">
            <a:extLst>
              <a:ext uri="{FF2B5EF4-FFF2-40B4-BE49-F238E27FC236}">
                <a16:creationId xmlns:a16="http://schemas.microsoft.com/office/drawing/2014/main" id="{88DC4852-9FA3-4DDA-93A9-8E8B536F6554}"/>
              </a:ext>
            </a:extLst>
          </xdr:cNvPr>
          <xdr:cNvCxnSpPr/>
        </xdr:nvCxnSpPr>
        <xdr:spPr>
          <a:xfrm flipH="1">
            <a:off x="1414464" y="32075437"/>
            <a:ext cx="80963" cy="904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7" name="Straight Connector 226">
            <a:extLst>
              <a:ext uri="{FF2B5EF4-FFF2-40B4-BE49-F238E27FC236}">
                <a16:creationId xmlns:a16="http://schemas.microsoft.com/office/drawing/2014/main" id="{E9AADFBF-5E5E-4663-B65D-CE8A8AA8AACD}"/>
              </a:ext>
            </a:extLst>
          </xdr:cNvPr>
          <xdr:cNvCxnSpPr/>
        </xdr:nvCxnSpPr>
        <xdr:spPr>
          <a:xfrm flipH="1">
            <a:off x="2709865" y="32075437"/>
            <a:ext cx="80963" cy="904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8" name="Straight Connector 227">
            <a:extLst>
              <a:ext uri="{FF2B5EF4-FFF2-40B4-BE49-F238E27FC236}">
                <a16:creationId xmlns:a16="http://schemas.microsoft.com/office/drawing/2014/main" id="{B40B8F7F-561D-4034-9510-6598BDD0B9C2}"/>
              </a:ext>
            </a:extLst>
          </xdr:cNvPr>
          <xdr:cNvCxnSpPr/>
        </xdr:nvCxnSpPr>
        <xdr:spPr>
          <a:xfrm>
            <a:off x="1390650" y="32118300"/>
            <a:ext cx="14478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85725</xdr:colOff>
      <xdr:row>238</xdr:row>
      <xdr:rowOff>57150</xdr:rowOff>
    </xdr:from>
    <xdr:to>
      <xdr:col>27</xdr:col>
      <xdr:colOff>9525</xdr:colOff>
      <xdr:row>258</xdr:row>
      <xdr:rowOff>9526</xdr:rowOff>
    </xdr:to>
    <xdr:grpSp>
      <xdr:nvGrpSpPr>
        <xdr:cNvPr id="262" name="Group 261">
          <a:extLst>
            <a:ext uri="{FF2B5EF4-FFF2-40B4-BE49-F238E27FC236}">
              <a16:creationId xmlns:a16="http://schemas.microsoft.com/office/drawing/2014/main" id="{A80DEE09-3518-4E9F-8073-E349660E814E}"/>
            </a:ext>
          </a:extLst>
        </xdr:cNvPr>
        <xdr:cNvGrpSpPr/>
      </xdr:nvGrpSpPr>
      <xdr:grpSpPr>
        <a:xfrm>
          <a:off x="895350" y="37004625"/>
          <a:ext cx="3486150" cy="2809876"/>
          <a:chOff x="1057275" y="33489900"/>
          <a:chExt cx="3486150" cy="2809876"/>
        </a:xfrm>
      </xdr:grpSpPr>
      <xdr:sp macro="" textlink="">
        <xdr:nvSpPr>
          <xdr:cNvPr id="233" name="Freeform: Shape 232">
            <a:extLst>
              <a:ext uri="{FF2B5EF4-FFF2-40B4-BE49-F238E27FC236}">
                <a16:creationId xmlns:a16="http://schemas.microsoft.com/office/drawing/2014/main" id="{812D4794-545E-4605-9B24-5CC0C3AB2F2F}"/>
              </a:ext>
            </a:extLst>
          </xdr:cNvPr>
          <xdr:cNvSpPr/>
        </xdr:nvSpPr>
        <xdr:spPr>
          <a:xfrm>
            <a:off x="1290638" y="33861375"/>
            <a:ext cx="3252787" cy="433388"/>
          </a:xfrm>
          <a:custGeom>
            <a:avLst/>
            <a:gdLst>
              <a:gd name="connsiteX0" fmla="*/ 0 w 3252787"/>
              <a:gd name="connsiteY0" fmla="*/ 147638 h 433388"/>
              <a:gd name="connsiteX1" fmla="*/ 0 w 3252787"/>
              <a:gd name="connsiteY1" fmla="*/ 0 h 433388"/>
              <a:gd name="connsiteX2" fmla="*/ 3252787 w 3252787"/>
              <a:gd name="connsiteY2" fmla="*/ 0 h 433388"/>
              <a:gd name="connsiteX3" fmla="*/ 3252787 w 3252787"/>
              <a:gd name="connsiteY3" fmla="*/ 147638 h 433388"/>
              <a:gd name="connsiteX4" fmla="*/ 2595562 w 3252787"/>
              <a:gd name="connsiteY4" fmla="*/ 147638 h 433388"/>
              <a:gd name="connsiteX5" fmla="*/ 2595562 w 3252787"/>
              <a:gd name="connsiteY5" fmla="*/ 433388 h 433388"/>
              <a:gd name="connsiteX6" fmla="*/ 2276475 w 3252787"/>
              <a:gd name="connsiteY6" fmla="*/ 433388 h 433388"/>
              <a:gd name="connsiteX7" fmla="*/ 2276475 w 3252787"/>
              <a:gd name="connsiteY7" fmla="*/ 138113 h 433388"/>
              <a:gd name="connsiteX8" fmla="*/ 814387 w 3252787"/>
              <a:gd name="connsiteY8" fmla="*/ 138113 h 433388"/>
              <a:gd name="connsiteX9" fmla="*/ 814387 w 3252787"/>
              <a:gd name="connsiteY9" fmla="*/ 419100 h 433388"/>
              <a:gd name="connsiteX10" fmla="*/ 490537 w 3252787"/>
              <a:gd name="connsiteY10" fmla="*/ 419100 h 433388"/>
              <a:gd name="connsiteX11" fmla="*/ 490537 w 3252787"/>
              <a:gd name="connsiteY11" fmla="*/ 138113 h 433388"/>
              <a:gd name="connsiteX12" fmla="*/ 0 w 3252787"/>
              <a:gd name="connsiteY12" fmla="*/ 147638 h 43338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</a:cxnLst>
            <a:rect l="l" t="t" r="r" b="b"/>
            <a:pathLst>
              <a:path w="3252787" h="433388">
                <a:moveTo>
                  <a:pt x="0" y="147638"/>
                </a:moveTo>
                <a:lnTo>
                  <a:pt x="0" y="0"/>
                </a:lnTo>
                <a:lnTo>
                  <a:pt x="3252787" y="0"/>
                </a:lnTo>
                <a:lnTo>
                  <a:pt x="3252787" y="147638"/>
                </a:lnTo>
                <a:lnTo>
                  <a:pt x="2595562" y="147638"/>
                </a:lnTo>
                <a:lnTo>
                  <a:pt x="2595562" y="433388"/>
                </a:lnTo>
                <a:lnTo>
                  <a:pt x="2276475" y="433388"/>
                </a:lnTo>
                <a:lnTo>
                  <a:pt x="2276475" y="138113"/>
                </a:lnTo>
                <a:lnTo>
                  <a:pt x="814387" y="138113"/>
                </a:lnTo>
                <a:lnTo>
                  <a:pt x="814387" y="419100"/>
                </a:lnTo>
                <a:lnTo>
                  <a:pt x="490537" y="419100"/>
                </a:lnTo>
                <a:lnTo>
                  <a:pt x="490537" y="138113"/>
                </a:lnTo>
                <a:lnTo>
                  <a:pt x="0" y="147638"/>
                </a:lnTo>
                <a:close/>
              </a:path>
            </a:pathLst>
          </a:custGeom>
          <a:blipFill>
            <a:blip xmlns:r="http://schemas.openxmlformats.org/officeDocument/2006/relationships" r:embed="rId1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34" name="Freeform: Shape 233">
            <a:extLst>
              <a:ext uri="{FF2B5EF4-FFF2-40B4-BE49-F238E27FC236}">
                <a16:creationId xmlns:a16="http://schemas.microsoft.com/office/drawing/2014/main" id="{5EE459CE-414D-4868-9ED7-D62800EC91C6}"/>
              </a:ext>
            </a:extLst>
          </xdr:cNvPr>
          <xdr:cNvSpPr/>
        </xdr:nvSpPr>
        <xdr:spPr>
          <a:xfrm>
            <a:off x="1285881" y="35866388"/>
            <a:ext cx="3252787" cy="433388"/>
          </a:xfrm>
          <a:custGeom>
            <a:avLst/>
            <a:gdLst>
              <a:gd name="connsiteX0" fmla="*/ 0 w 3252787"/>
              <a:gd name="connsiteY0" fmla="*/ 147638 h 433388"/>
              <a:gd name="connsiteX1" fmla="*/ 0 w 3252787"/>
              <a:gd name="connsiteY1" fmla="*/ 0 h 433388"/>
              <a:gd name="connsiteX2" fmla="*/ 3252787 w 3252787"/>
              <a:gd name="connsiteY2" fmla="*/ 0 h 433388"/>
              <a:gd name="connsiteX3" fmla="*/ 3252787 w 3252787"/>
              <a:gd name="connsiteY3" fmla="*/ 147638 h 433388"/>
              <a:gd name="connsiteX4" fmla="*/ 2595562 w 3252787"/>
              <a:gd name="connsiteY4" fmla="*/ 147638 h 433388"/>
              <a:gd name="connsiteX5" fmla="*/ 2595562 w 3252787"/>
              <a:gd name="connsiteY5" fmla="*/ 433388 h 433388"/>
              <a:gd name="connsiteX6" fmla="*/ 2276475 w 3252787"/>
              <a:gd name="connsiteY6" fmla="*/ 433388 h 433388"/>
              <a:gd name="connsiteX7" fmla="*/ 2276475 w 3252787"/>
              <a:gd name="connsiteY7" fmla="*/ 138113 h 433388"/>
              <a:gd name="connsiteX8" fmla="*/ 814387 w 3252787"/>
              <a:gd name="connsiteY8" fmla="*/ 138113 h 433388"/>
              <a:gd name="connsiteX9" fmla="*/ 814387 w 3252787"/>
              <a:gd name="connsiteY9" fmla="*/ 419100 h 433388"/>
              <a:gd name="connsiteX10" fmla="*/ 490537 w 3252787"/>
              <a:gd name="connsiteY10" fmla="*/ 419100 h 433388"/>
              <a:gd name="connsiteX11" fmla="*/ 490537 w 3252787"/>
              <a:gd name="connsiteY11" fmla="*/ 138113 h 433388"/>
              <a:gd name="connsiteX12" fmla="*/ 0 w 3252787"/>
              <a:gd name="connsiteY12" fmla="*/ 147638 h 43338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</a:cxnLst>
            <a:rect l="l" t="t" r="r" b="b"/>
            <a:pathLst>
              <a:path w="3252787" h="433388">
                <a:moveTo>
                  <a:pt x="0" y="147638"/>
                </a:moveTo>
                <a:lnTo>
                  <a:pt x="0" y="0"/>
                </a:lnTo>
                <a:lnTo>
                  <a:pt x="3252787" y="0"/>
                </a:lnTo>
                <a:lnTo>
                  <a:pt x="3252787" y="147638"/>
                </a:lnTo>
                <a:lnTo>
                  <a:pt x="2595562" y="147638"/>
                </a:lnTo>
                <a:lnTo>
                  <a:pt x="2595562" y="433388"/>
                </a:lnTo>
                <a:lnTo>
                  <a:pt x="2276475" y="433388"/>
                </a:lnTo>
                <a:lnTo>
                  <a:pt x="2276475" y="138113"/>
                </a:lnTo>
                <a:lnTo>
                  <a:pt x="814387" y="138113"/>
                </a:lnTo>
                <a:lnTo>
                  <a:pt x="814387" y="419100"/>
                </a:lnTo>
                <a:lnTo>
                  <a:pt x="490537" y="419100"/>
                </a:lnTo>
                <a:lnTo>
                  <a:pt x="490537" y="138113"/>
                </a:lnTo>
                <a:lnTo>
                  <a:pt x="0" y="147638"/>
                </a:lnTo>
                <a:close/>
              </a:path>
            </a:pathLst>
          </a:custGeom>
          <a:blipFill>
            <a:blip xmlns:r="http://schemas.openxmlformats.org/officeDocument/2006/relationships" r:embed="rId1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36" name="Straight Connector 235">
            <a:extLst>
              <a:ext uri="{FF2B5EF4-FFF2-40B4-BE49-F238E27FC236}">
                <a16:creationId xmlns:a16="http://schemas.microsoft.com/office/drawing/2014/main" id="{B55A0877-8C5C-4786-BBD4-EAA513F2A316}"/>
              </a:ext>
            </a:extLst>
          </xdr:cNvPr>
          <xdr:cNvCxnSpPr/>
        </xdr:nvCxnSpPr>
        <xdr:spPr>
          <a:xfrm>
            <a:off x="1781175" y="34280476"/>
            <a:ext cx="0" cy="1590674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8" name="Straight Connector 237">
            <a:extLst>
              <a:ext uri="{FF2B5EF4-FFF2-40B4-BE49-F238E27FC236}">
                <a16:creationId xmlns:a16="http://schemas.microsoft.com/office/drawing/2014/main" id="{66750792-6FE1-461A-B5C2-5A6C440B8EEB}"/>
              </a:ext>
            </a:extLst>
          </xdr:cNvPr>
          <xdr:cNvCxnSpPr/>
        </xdr:nvCxnSpPr>
        <xdr:spPr>
          <a:xfrm>
            <a:off x="2105026" y="34285238"/>
            <a:ext cx="0" cy="1590674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9" name="Straight Connector 238">
            <a:extLst>
              <a:ext uri="{FF2B5EF4-FFF2-40B4-BE49-F238E27FC236}">
                <a16:creationId xmlns:a16="http://schemas.microsoft.com/office/drawing/2014/main" id="{B5B3605A-853C-4BA1-9620-9ABF3C4D796A}"/>
              </a:ext>
            </a:extLst>
          </xdr:cNvPr>
          <xdr:cNvCxnSpPr/>
        </xdr:nvCxnSpPr>
        <xdr:spPr>
          <a:xfrm>
            <a:off x="3567113" y="34285238"/>
            <a:ext cx="0" cy="1590674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0" name="Straight Connector 239">
            <a:extLst>
              <a:ext uri="{FF2B5EF4-FFF2-40B4-BE49-F238E27FC236}">
                <a16:creationId xmlns:a16="http://schemas.microsoft.com/office/drawing/2014/main" id="{AC36D674-1D9A-4647-B8F2-EEA0CDA6852F}"/>
              </a:ext>
            </a:extLst>
          </xdr:cNvPr>
          <xdr:cNvCxnSpPr/>
        </xdr:nvCxnSpPr>
        <xdr:spPr>
          <a:xfrm>
            <a:off x="3886201" y="34290000"/>
            <a:ext cx="0" cy="1590674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2" name="Straight Connector 241">
            <a:extLst>
              <a:ext uri="{FF2B5EF4-FFF2-40B4-BE49-F238E27FC236}">
                <a16:creationId xmlns:a16="http://schemas.microsoft.com/office/drawing/2014/main" id="{3A944806-8933-4F74-9382-105D56DC83BF}"/>
              </a:ext>
            </a:extLst>
          </xdr:cNvPr>
          <xdr:cNvCxnSpPr/>
        </xdr:nvCxnSpPr>
        <xdr:spPr>
          <a:xfrm flipH="1">
            <a:off x="1057275" y="34004250"/>
            <a:ext cx="1809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4" name="Straight Connector 243">
            <a:extLst>
              <a:ext uri="{FF2B5EF4-FFF2-40B4-BE49-F238E27FC236}">
                <a16:creationId xmlns:a16="http://schemas.microsoft.com/office/drawing/2014/main" id="{FCFC2460-4091-4EA6-9095-1DCBDB4840CF}"/>
              </a:ext>
            </a:extLst>
          </xdr:cNvPr>
          <xdr:cNvCxnSpPr/>
        </xdr:nvCxnSpPr>
        <xdr:spPr>
          <a:xfrm>
            <a:off x="1133475" y="33928050"/>
            <a:ext cx="0" cy="2000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6" name="Straight Connector 245">
            <a:extLst>
              <a:ext uri="{FF2B5EF4-FFF2-40B4-BE49-F238E27FC236}">
                <a16:creationId xmlns:a16="http://schemas.microsoft.com/office/drawing/2014/main" id="{DF5DADCC-B22F-4309-A852-A642612D4CFA}"/>
              </a:ext>
            </a:extLst>
          </xdr:cNvPr>
          <xdr:cNvCxnSpPr/>
        </xdr:nvCxnSpPr>
        <xdr:spPr>
          <a:xfrm flipH="1">
            <a:off x="1090612" y="33966151"/>
            <a:ext cx="80962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8" name="Straight Connector 247">
            <a:extLst>
              <a:ext uri="{FF2B5EF4-FFF2-40B4-BE49-F238E27FC236}">
                <a16:creationId xmlns:a16="http://schemas.microsoft.com/office/drawing/2014/main" id="{6D42AA92-77D8-407D-846C-67058E5D1522}"/>
              </a:ext>
            </a:extLst>
          </xdr:cNvPr>
          <xdr:cNvCxnSpPr/>
        </xdr:nvCxnSpPr>
        <xdr:spPr>
          <a:xfrm flipH="1">
            <a:off x="1057276" y="35861625"/>
            <a:ext cx="1809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9" name="Straight Connector 248">
            <a:extLst>
              <a:ext uri="{FF2B5EF4-FFF2-40B4-BE49-F238E27FC236}">
                <a16:creationId xmlns:a16="http://schemas.microsoft.com/office/drawing/2014/main" id="{CF105F1A-D79B-4AD3-86BB-B144F0267F24}"/>
              </a:ext>
            </a:extLst>
          </xdr:cNvPr>
          <xdr:cNvCxnSpPr/>
        </xdr:nvCxnSpPr>
        <xdr:spPr>
          <a:xfrm flipH="1">
            <a:off x="1090613" y="35823526"/>
            <a:ext cx="80962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1" name="Straight Connector 250">
            <a:extLst>
              <a:ext uri="{FF2B5EF4-FFF2-40B4-BE49-F238E27FC236}">
                <a16:creationId xmlns:a16="http://schemas.microsoft.com/office/drawing/2014/main" id="{01F0A83B-CBC0-4C1D-AF1E-52D0126B8C60}"/>
              </a:ext>
            </a:extLst>
          </xdr:cNvPr>
          <xdr:cNvCxnSpPr>
            <a:stCxn id="233" idx="0"/>
          </xdr:cNvCxnSpPr>
        </xdr:nvCxnSpPr>
        <xdr:spPr>
          <a:xfrm>
            <a:off x="1290638" y="34009013"/>
            <a:ext cx="490537" cy="1857375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3" name="Straight Connector 252">
            <a:extLst>
              <a:ext uri="{FF2B5EF4-FFF2-40B4-BE49-F238E27FC236}">
                <a16:creationId xmlns:a16="http://schemas.microsoft.com/office/drawing/2014/main" id="{C6A28B92-F46F-4FA4-B54C-5D99A0D4702F}"/>
              </a:ext>
            </a:extLst>
          </xdr:cNvPr>
          <xdr:cNvCxnSpPr/>
        </xdr:nvCxnSpPr>
        <xdr:spPr>
          <a:xfrm flipV="1">
            <a:off x="1295400" y="33489900"/>
            <a:ext cx="0" cy="3095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5" name="Straight Connector 254">
            <a:extLst>
              <a:ext uri="{FF2B5EF4-FFF2-40B4-BE49-F238E27FC236}">
                <a16:creationId xmlns:a16="http://schemas.microsoft.com/office/drawing/2014/main" id="{FC1260FA-419E-4E6C-BEF6-47B8EE421E42}"/>
              </a:ext>
            </a:extLst>
          </xdr:cNvPr>
          <xdr:cNvCxnSpPr/>
        </xdr:nvCxnSpPr>
        <xdr:spPr>
          <a:xfrm>
            <a:off x="1219199" y="33575626"/>
            <a:ext cx="633414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7" name="Straight Connector 256">
            <a:extLst>
              <a:ext uri="{FF2B5EF4-FFF2-40B4-BE49-F238E27FC236}">
                <a16:creationId xmlns:a16="http://schemas.microsoft.com/office/drawing/2014/main" id="{7470942B-56EB-46E5-9FDC-DE8ED5A6D6D7}"/>
              </a:ext>
            </a:extLst>
          </xdr:cNvPr>
          <xdr:cNvCxnSpPr/>
        </xdr:nvCxnSpPr>
        <xdr:spPr>
          <a:xfrm flipH="1">
            <a:off x="1252538" y="33528000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9" name="Straight Connector 258">
            <a:extLst>
              <a:ext uri="{FF2B5EF4-FFF2-40B4-BE49-F238E27FC236}">
                <a16:creationId xmlns:a16="http://schemas.microsoft.com/office/drawing/2014/main" id="{3A4DF0F0-BD21-4CBF-9892-A39ED755D5C6}"/>
              </a:ext>
            </a:extLst>
          </xdr:cNvPr>
          <xdr:cNvCxnSpPr/>
        </xdr:nvCxnSpPr>
        <xdr:spPr>
          <a:xfrm flipV="1">
            <a:off x="1781175" y="33494662"/>
            <a:ext cx="0" cy="3095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0" name="Straight Connector 259">
            <a:extLst>
              <a:ext uri="{FF2B5EF4-FFF2-40B4-BE49-F238E27FC236}">
                <a16:creationId xmlns:a16="http://schemas.microsoft.com/office/drawing/2014/main" id="{E7BC0593-1D13-4873-9C2B-F9D5D8A453BF}"/>
              </a:ext>
            </a:extLst>
          </xdr:cNvPr>
          <xdr:cNvCxnSpPr/>
        </xdr:nvCxnSpPr>
        <xdr:spPr>
          <a:xfrm flipH="1">
            <a:off x="1738313" y="33532762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76200</xdr:colOff>
      <xdr:row>79</xdr:row>
      <xdr:rowOff>0</xdr:rowOff>
    </xdr:from>
    <xdr:to>
      <xdr:col>39</xdr:col>
      <xdr:colOff>123825</xdr:colOff>
      <xdr:row>112</xdr:row>
      <xdr:rowOff>9525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1A21B708-4761-4E45-AC89-12838642FE7E}"/>
            </a:ext>
          </a:extLst>
        </xdr:cNvPr>
        <xdr:cNvGrpSpPr/>
      </xdr:nvGrpSpPr>
      <xdr:grpSpPr>
        <a:xfrm>
          <a:off x="561975" y="12315825"/>
          <a:ext cx="5876925" cy="4733925"/>
          <a:chOff x="561975" y="12172950"/>
          <a:chExt cx="5876925" cy="4733925"/>
        </a:xfrm>
      </xdr:grpSpPr>
      <xdr:cxnSp macro="">
        <xdr:nvCxnSpPr>
          <xdr:cNvPr id="12" name="Straight Connector 11">
            <a:extLst>
              <a:ext uri="{FF2B5EF4-FFF2-40B4-BE49-F238E27FC236}">
                <a16:creationId xmlns:a16="http://schemas.microsoft.com/office/drawing/2014/main" id="{B616435F-336E-4E79-B3F7-512EBA5D4373}"/>
              </a:ext>
            </a:extLst>
          </xdr:cNvPr>
          <xdr:cNvCxnSpPr/>
        </xdr:nvCxnSpPr>
        <xdr:spPr>
          <a:xfrm flipV="1">
            <a:off x="1943100" y="12172950"/>
            <a:ext cx="0" cy="471487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3" name="Straight Connector 142">
            <a:extLst>
              <a:ext uri="{FF2B5EF4-FFF2-40B4-BE49-F238E27FC236}">
                <a16:creationId xmlns:a16="http://schemas.microsoft.com/office/drawing/2014/main" id="{7FB1276A-7BB6-47FC-9BC9-B73D797C23A3}"/>
              </a:ext>
            </a:extLst>
          </xdr:cNvPr>
          <xdr:cNvCxnSpPr/>
        </xdr:nvCxnSpPr>
        <xdr:spPr>
          <a:xfrm flipV="1">
            <a:off x="2266950" y="12172950"/>
            <a:ext cx="0" cy="472440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4" name="Straight Connector 143">
            <a:extLst>
              <a:ext uri="{FF2B5EF4-FFF2-40B4-BE49-F238E27FC236}">
                <a16:creationId xmlns:a16="http://schemas.microsoft.com/office/drawing/2014/main" id="{37EED3DF-4C6C-4A69-B15D-51B50579F8FA}"/>
              </a:ext>
            </a:extLst>
          </xdr:cNvPr>
          <xdr:cNvCxnSpPr/>
        </xdr:nvCxnSpPr>
        <xdr:spPr>
          <a:xfrm flipV="1">
            <a:off x="4695825" y="12172950"/>
            <a:ext cx="0" cy="473392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" name="Straight Connector 145">
            <a:extLst>
              <a:ext uri="{FF2B5EF4-FFF2-40B4-BE49-F238E27FC236}">
                <a16:creationId xmlns:a16="http://schemas.microsoft.com/office/drawing/2014/main" id="{E0EFF6F1-2C57-4123-A5C1-2EF53466E941}"/>
              </a:ext>
            </a:extLst>
          </xdr:cNvPr>
          <xdr:cNvCxnSpPr/>
        </xdr:nvCxnSpPr>
        <xdr:spPr>
          <a:xfrm flipV="1">
            <a:off x="5019675" y="12182476"/>
            <a:ext cx="0" cy="4724399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" name="Straight Connector 147">
            <a:extLst>
              <a:ext uri="{FF2B5EF4-FFF2-40B4-BE49-F238E27FC236}">
                <a16:creationId xmlns:a16="http://schemas.microsoft.com/office/drawing/2014/main" id="{CC3A7BAB-9CDA-406C-B9F5-6116C13408F4}"/>
              </a:ext>
            </a:extLst>
          </xdr:cNvPr>
          <xdr:cNvCxnSpPr/>
        </xdr:nvCxnSpPr>
        <xdr:spPr>
          <a:xfrm>
            <a:off x="819150" y="15568614"/>
            <a:ext cx="5334000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0" name="Straight Connector 149">
            <a:extLst>
              <a:ext uri="{FF2B5EF4-FFF2-40B4-BE49-F238E27FC236}">
                <a16:creationId xmlns:a16="http://schemas.microsoft.com/office/drawing/2014/main" id="{3E85498F-2AC9-4251-AC83-B508F6522672}"/>
              </a:ext>
            </a:extLst>
          </xdr:cNvPr>
          <xdr:cNvCxnSpPr/>
        </xdr:nvCxnSpPr>
        <xdr:spPr>
          <a:xfrm>
            <a:off x="809625" y="15892464"/>
            <a:ext cx="534352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" name="Straight Connector 150">
            <a:extLst>
              <a:ext uri="{FF2B5EF4-FFF2-40B4-BE49-F238E27FC236}">
                <a16:creationId xmlns:a16="http://schemas.microsoft.com/office/drawing/2014/main" id="{D82803F8-FCE6-4306-BFA2-50ADDFEDB26E}"/>
              </a:ext>
            </a:extLst>
          </xdr:cNvPr>
          <xdr:cNvCxnSpPr/>
        </xdr:nvCxnSpPr>
        <xdr:spPr>
          <a:xfrm>
            <a:off x="819150" y="13168314"/>
            <a:ext cx="5334000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" name="Straight Connector 153">
            <a:extLst>
              <a:ext uri="{FF2B5EF4-FFF2-40B4-BE49-F238E27FC236}">
                <a16:creationId xmlns:a16="http://schemas.microsoft.com/office/drawing/2014/main" id="{C2E0C92D-D0B0-4522-BA9B-E258EA57E94A}"/>
              </a:ext>
            </a:extLst>
          </xdr:cNvPr>
          <xdr:cNvCxnSpPr/>
        </xdr:nvCxnSpPr>
        <xdr:spPr>
          <a:xfrm>
            <a:off x="819150" y="13492164"/>
            <a:ext cx="532447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Straight Connector 53">
            <a:extLst>
              <a:ext uri="{FF2B5EF4-FFF2-40B4-BE49-F238E27FC236}">
                <a16:creationId xmlns:a16="http://schemas.microsoft.com/office/drawing/2014/main" id="{987B3183-D468-4B95-896F-CBF16EA2AE71}"/>
              </a:ext>
            </a:extLst>
          </xdr:cNvPr>
          <xdr:cNvCxnSpPr/>
        </xdr:nvCxnSpPr>
        <xdr:spPr>
          <a:xfrm>
            <a:off x="3724275" y="13239750"/>
            <a:ext cx="0" cy="26193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5" name="Straight Connector 164">
            <a:extLst>
              <a:ext uri="{FF2B5EF4-FFF2-40B4-BE49-F238E27FC236}">
                <a16:creationId xmlns:a16="http://schemas.microsoft.com/office/drawing/2014/main" id="{F39E1788-9DBF-4B17-A979-14F210DED4E5}"/>
              </a:ext>
            </a:extLst>
          </xdr:cNvPr>
          <xdr:cNvCxnSpPr/>
        </xdr:nvCxnSpPr>
        <xdr:spPr>
          <a:xfrm>
            <a:off x="2752725" y="12696825"/>
            <a:ext cx="0" cy="133350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8" name="Straight Connector 167">
            <a:extLst>
              <a:ext uri="{FF2B5EF4-FFF2-40B4-BE49-F238E27FC236}">
                <a16:creationId xmlns:a16="http://schemas.microsoft.com/office/drawing/2014/main" id="{1CBF527A-3B88-44C7-9D2A-23D8DEB38134}"/>
              </a:ext>
            </a:extLst>
          </xdr:cNvPr>
          <xdr:cNvCxnSpPr/>
        </xdr:nvCxnSpPr>
        <xdr:spPr>
          <a:xfrm flipH="1" flipV="1">
            <a:off x="2686050" y="15154275"/>
            <a:ext cx="561975" cy="3429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0" name="Straight Connector 169">
            <a:extLst>
              <a:ext uri="{FF2B5EF4-FFF2-40B4-BE49-F238E27FC236}">
                <a16:creationId xmlns:a16="http://schemas.microsoft.com/office/drawing/2014/main" id="{6E0AE416-5BDF-4D6F-9457-B058E14174D5}"/>
              </a:ext>
            </a:extLst>
          </xdr:cNvPr>
          <xdr:cNvCxnSpPr/>
        </xdr:nvCxnSpPr>
        <xdr:spPr>
          <a:xfrm flipH="1">
            <a:off x="3724275" y="15020925"/>
            <a:ext cx="228600" cy="35242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4" name="Straight Connector 173">
            <a:extLst>
              <a:ext uri="{FF2B5EF4-FFF2-40B4-BE49-F238E27FC236}">
                <a16:creationId xmlns:a16="http://schemas.microsoft.com/office/drawing/2014/main" id="{8B7CF37E-871B-40D4-9F63-2D6F4820D5F0}"/>
              </a:ext>
            </a:extLst>
          </xdr:cNvPr>
          <xdr:cNvCxnSpPr/>
        </xdr:nvCxnSpPr>
        <xdr:spPr>
          <a:xfrm flipV="1">
            <a:off x="2743200" y="12468225"/>
            <a:ext cx="114300" cy="5143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7" name="Rectangle 176">
            <a:extLst>
              <a:ext uri="{FF2B5EF4-FFF2-40B4-BE49-F238E27FC236}">
                <a16:creationId xmlns:a16="http://schemas.microsoft.com/office/drawing/2014/main" id="{8AFE4D38-D888-439A-9020-6B2F4BB71479}"/>
              </a:ext>
            </a:extLst>
          </xdr:cNvPr>
          <xdr:cNvSpPr/>
        </xdr:nvSpPr>
        <xdr:spPr>
          <a:xfrm>
            <a:off x="1952625" y="13182601"/>
            <a:ext cx="304799" cy="304800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78" name="Rectangle 177">
            <a:extLst>
              <a:ext uri="{FF2B5EF4-FFF2-40B4-BE49-F238E27FC236}">
                <a16:creationId xmlns:a16="http://schemas.microsoft.com/office/drawing/2014/main" id="{235D5C26-97FC-41B9-A608-3C1A691ADC26}"/>
              </a:ext>
            </a:extLst>
          </xdr:cNvPr>
          <xdr:cNvSpPr/>
        </xdr:nvSpPr>
        <xdr:spPr>
          <a:xfrm>
            <a:off x="4714875" y="13182601"/>
            <a:ext cx="304801" cy="304799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79" name="Rectangle 178">
            <a:extLst>
              <a:ext uri="{FF2B5EF4-FFF2-40B4-BE49-F238E27FC236}">
                <a16:creationId xmlns:a16="http://schemas.microsoft.com/office/drawing/2014/main" id="{2339A42F-7C48-4640-B6C4-AC1DCBE42CB2}"/>
              </a:ext>
            </a:extLst>
          </xdr:cNvPr>
          <xdr:cNvSpPr/>
        </xdr:nvSpPr>
        <xdr:spPr>
          <a:xfrm>
            <a:off x="4714875" y="15582900"/>
            <a:ext cx="304801" cy="304799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80" name="Rectangle 179">
            <a:extLst>
              <a:ext uri="{FF2B5EF4-FFF2-40B4-BE49-F238E27FC236}">
                <a16:creationId xmlns:a16="http://schemas.microsoft.com/office/drawing/2014/main" id="{E4020957-0FCB-4612-AE31-625544A61AB4}"/>
              </a:ext>
            </a:extLst>
          </xdr:cNvPr>
          <xdr:cNvSpPr/>
        </xdr:nvSpPr>
        <xdr:spPr>
          <a:xfrm>
            <a:off x="1962150" y="15582900"/>
            <a:ext cx="304799" cy="304800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98" name="Straight Connector 197">
            <a:extLst>
              <a:ext uri="{FF2B5EF4-FFF2-40B4-BE49-F238E27FC236}">
                <a16:creationId xmlns:a16="http://schemas.microsoft.com/office/drawing/2014/main" id="{A1DA789C-8120-4E43-9287-5792AA09BC8C}"/>
              </a:ext>
            </a:extLst>
          </xdr:cNvPr>
          <xdr:cNvCxnSpPr/>
        </xdr:nvCxnSpPr>
        <xdr:spPr>
          <a:xfrm>
            <a:off x="561975" y="14382750"/>
            <a:ext cx="571500" cy="0"/>
          </a:xfrm>
          <a:prstGeom prst="line">
            <a:avLst/>
          </a:prstGeom>
          <a:ln w="9525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9" name="Isosceles Triangle 198">
            <a:extLst>
              <a:ext uri="{FF2B5EF4-FFF2-40B4-BE49-F238E27FC236}">
                <a16:creationId xmlns:a16="http://schemas.microsoft.com/office/drawing/2014/main" id="{5E5F54D2-51FD-4AAE-8EAF-256627537B1C}"/>
              </a:ext>
            </a:extLst>
          </xdr:cNvPr>
          <xdr:cNvSpPr/>
        </xdr:nvSpPr>
        <xdr:spPr>
          <a:xfrm>
            <a:off x="571500" y="14192250"/>
            <a:ext cx="161925" cy="114300"/>
          </a:xfrm>
          <a:prstGeom prst="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00" name="Straight Connector 199">
            <a:extLst>
              <a:ext uri="{FF2B5EF4-FFF2-40B4-BE49-F238E27FC236}">
                <a16:creationId xmlns:a16="http://schemas.microsoft.com/office/drawing/2014/main" id="{2CCCF71C-5280-4DA7-8F99-F6D03ABD1168}"/>
              </a:ext>
            </a:extLst>
          </xdr:cNvPr>
          <xdr:cNvCxnSpPr/>
        </xdr:nvCxnSpPr>
        <xdr:spPr>
          <a:xfrm>
            <a:off x="5867400" y="14373225"/>
            <a:ext cx="571500" cy="0"/>
          </a:xfrm>
          <a:prstGeom prst="line">
            <a:avLst/>
          </a:prstGeom>
          <a:ln w="9525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01" name="Isosceles Triangle 200">
            <a:extLst>
              <a:ext uri="{FF2B5EF4-FFF2-40B4-BE49-F238E27FC236}">
                <a16:creationId xmlns:a16="http://schemas.microsoft.com/office/drawing/2014/main" id="{18CD4B70-99E9-422A-896C-69C12822B6DC}"/>
              </a:ext>
            </a:extLst>
          </xdr:cNvPr>
          <xdr:cNvSpPr/>
        </xdr:nvSpPr>
        <xdr:spPr>
          <a:xfrm>
            <a:off x="6248400" y="14201775"/>
            <a:ext cx="161925" cy="114300"/>
          </a:xfrm>
          <a:prstGeom prst="triangle">
            <a:avLst/>
          </a:prstGeom>
          <a:solidFill>
            <a:schemeClr val="bg1">
              <a:lumMod val="7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1" name="Freeform: Shape 10">
            <a:extLst>
              <a:ext uri="{FF2B5EF4-FFF2-40B4-BE49-F238E27FC236}">
                <a16:creationId xmlns:a16="http://schemas.microsoft.com/office/drawing/2014/main" id="{029033B3-13BA-44A8-A49C-D76C1DEAA660}"/>
              </a:ext>
            </a:extLst>
          </xdr:cNvPr>
          <xdr:cNvSpPr/>
        </xdr:nvSpPr>
        <xdr:spPr>
          <a:xfrm>
            <a:off x="3243645" y="12622169"/>
            <a:ext cx="161925" cy="3837031"/>
          </a:xfrm>
          <a:custGeom>
            <a:avLst/>
            <a:gdLst>
              <a:gd name="connsiteX0" fmla="*/ 0 w 159608"/>
              <a:gd name="connsiteY0" fmla="*/ 0 h 3871784"/>
              <a:gd name="connsiteX1" fmla="*/ 0 w 159608"/>
              <a:gd name="connsiteY1" fmla="*/ 1220230 h 3871784"/>
              <a:gd name="connsiteX2" fmla="*/ 159608 w 159608"/>
              <a:gd name="connsiteY2" fmla="*/ 1395284 h 3871784"/>
              <a:gd name="connsiteX3" fmla="*/ 159608 w 159608"/>
              <a:gd name="connsiteY3" fmla="*/ 2507392 h 3871784"/>
              <a:gd name="connsiteX4" fmla="*/ 0 w 159608"/>
              <a:gd name="connsiteY4" fmla="*/ 2667000 h 3871784"/>
              <a:gd name="connsiteX5" fmla="*/ 0 w 159608"/>
              <a:gd name="connsiteY5" fmla="*/ 3871784 h 387178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</a:cxnLst>
            <a:rect l="l" t="t" r="r" b="b"/>
            <a:pathLst>
              <a:path w="159608" h="3871784">
                <a:moveTo>
                  <a:pt x="0" y="0"/>
                </a:moveTo>
                <a:lnTo>
                  <a:pt x="0" y="1220230"/>
                </a:lnTo>
                <a:lnTo>
                  <a:pt x="159608" y="1395284"/>
                </a:lnTo>
                <a:lnTo>
                  <a:pt x="159608" y="2507392"/>
                </a:lnTo>
                <a:lnTo>
                  <a:pt x="0" y="2667000"/>
                </a:lnTo>
                <a:lnTo>
                  <a:pt x="0" y="3871784"/>
                </a:lnTo>
              </a:path>
            </a:pathLst>
          </a:custGeom>
          <a:noFill/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221" name="Straight Connector 220">
            <a:extLst>
              <a:ext uri="{FF2B5EF4-FFF2-40B4-BE49-F238E27FC236}">
                <a16:creationId xmlns:a16="http://schemas.microsoft.com/office/drawing/2014/main" id="{EBBCDDDD-E1A9-4126-BDA4-FC104A556567}"/>
              </a:ext>
            </a:extLst>
          </xdr:cNvPr>
          <xdr:cNvCxnSpPr/>
        </xdr:nvCxnSpPr>
        <xdr:spPr>
          <a:xfrm>
            <a:off x="2190750" y="14320837"/>
            <a:ext cx="259556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2" name="Straight Connector 221">
            <a:extLst>
              <a:ext uri="{FF2B5EF4-FFF2-40B4-BE49-F238E27FC236}">
                <a16:creationId xmlns:a16="http://schemas.microsoft.com/office/drawing/2014/main" id="{1D4C64F4-4C16-48ED-B58C-B927F303F5F6}"/>
              </a:ext>
            </a:extLst>
          </xdr:cNvPr>
          <xdr:cNvCxnSpPr/>
        </xdr:nvCxnSpPr>
        <xdr:spPr>
          <a:xfrm flipH="1">
            <a:off x="2233612" y="14277975"/>
            <a:ext cx="85725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5" name="Straight Connector 224">
            <a:extLst>
              <a:ext uri="{FF2B5EF4-FFF2-40B4-BE49-F238E27FC236}">
                <a16:creationId xmlns:a16="http://schemas.microsoft.com/office/drawing/2014/main" id="{02C01526-7786-46D8-B54A-DDACB6F353B2}"/>
              </a:ext>
            </a:extLst>
          </xdr:cNvPr>
          <xdr:cNvCxnSpPr/>
        </xdr:nvCxnSpPr>
        <xdr:spPr>
          <a:xfrm flipH="1">
            <a:off x="4652962" y="14277975"/>
            <a:ext cx="85725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85726</xdr:colOff>
      <xdr:row>38</xdr:row>
      <xdr:rowOff>66675</xdr:rowOff>
    </xdr:from>
    <xdr:to>
      <xdr:col>38</xdr:col>
      <xdr:colOff>76200</xdr:colOff>
      <xdr:row>55</xdr:row>
      <xdr:rowOff>76200</xdr:rowOff>
    </xdr:to>
    <xdr:grpSp>
      <xdr:nvGrpSpPr>
        <xdr:cNvPr id="189" name="Group 188">
          <a:extLst>
            <a:ext uri="{FF2B5EF4-FFF2-40B4-BE49-F238E27FC236}">
              <a16:creationId xmlns:a16="http://schemas.microsoft.com/office/drawing/2014/main" id="{620661BC-EA31-4DC9-BF20-7F9B88FE13EA}"/>
            </a:ext>
          </a:extLst>
        </xdr:cNvPr>
        <xdr:cNvGrpSpPr/>
      </xdr:nvGrpSpPr>
      <xdr:grpSpPr>
        <a:xfrm>
          <a:off x="409576" y="5962650"/>
          <a:ext cx="5819774" cy="2438400"/>
          <a:chOff x="409576" y="5962650"/>
          <a:chExt cx="5819774" cy="2438400"/>
        </a:xfrm>
      </xdr:grpSpPr>
      <xdr:sp macro="" textlink="">
        <xdr:nvSpPr>
          <xdr:cNvPr id="77" name="Frame 76">
            <a:extLst>
              <a:ext uri="{FF2B5EF4-FFF2-40B4-BE49-F238E27FC236}">
                <a16:creationId xmlns:a16="http://schemas.microsoft.com/office/drawing/2014/main" id="{0E14B8E5-50D8-4EEA-AE52-AC92487D83CD}"/>
              </a:ext>
            </a:extLst>
          </xdr:cNvPr>
          <xdr:cNvSpPr/>
        </xdr:nvSpPr>
        <xdr:spPr>
          <a:xfrm>
            <a:off x="2343149" y="6034088"/>
            <a:ext cx="2257425" cy="1704975"/>
          </a:xfrm>
          <a:prstGeom prst="frame">
            <a:avLst>
              <a:gd name="adj1" fmla="val 18645"/>
            </a:avLst>
          </a:prstGeom>
          <a:blipFill>
            <a:blip xmlns:r="http://schemas.openxmlformats.org/officeDocument/2006/relationships" r:embed="rId1"/>
            <a:tile tx="0" ty="0" sx="100000" sy="100000" flip="none" algn="tl"/>
          </a:blip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>
              <a:solidFill>
                <a:schemeClr val="tx1"/>
              </a:solidFill>
            </a:endParaRPr>
          </a:p>
        </xdr:txBody>
      </xdr:sp>
      <xdr:cxnSp macro="">
        <xdr:nvCxnSpPr>
          <xdr:cNvPr id="78" name="Straight Connector 77">
            <a:extLst>
              <a:ext uri="{FF2B5EF4-FFF2-40B4-BE49-F238E27FC236}">
                <a16:creationId xmlns:a16="http://schemas.microsoft.com/office/drawing/2014/main" id="{1B4DFA4F-99A1-44FA-869B-14F4614ED247}"/>
              </a:ext>
            </a:extLst>
          </xdr:cNvPr>
          <xdr:cNvCxnSpPr/>
        </xdr:nvCxnSpPr>
        <xdr:spPr>
          <a:xfrm flipH="1">
            <a:off x="409576" y="6034089"/>
            <a:ext cx="1781174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" name="Straight Connector 81">
            <a:extLst>
              <a:ext uri="{FF2B5EF4-FFF2-40B4-BE49-F238E27FC236}">
                <a16:creationId xmlns:a16="http://schemas.microsoft.com/office/drawing/2014/main" id="{B3ACFC60-9F02-4712-9D9B-7E3D300BA4EC}"/>
              </a:ext>
            </a:extLst>
          </xdr:cNvPr>
          <xdr:cNvCxnSpPr/>
        </xdr:nvCxnSpPr>
        <xdr:spPr>
          <a:xfrm>
            <a:off x="809625" y="5967413"/>
            <a:ext cx="0" cy="1857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" name="Straight Connector 83">
            <a:extLst>
              <a:ext uri="{FF2B5EF4-FFF2-40B4-BE49-F238E27FC236}">
                <a16:creationId xmlns:a16="http://schemas.microsoft.com/office/drawing/2014/main" id="{BD773681-8526-49D9-A0ED-5EF05D9745F4}"/>
              </a:ext>
            </a:extLst>
          </xdr:cNvPr>
          <xdr:cNvCxnSpPr/>
        </xdr:nvCxnSpPr>
        <xdr:spPr>
          <a:xfrm flipH="1">
            <a:off x="766762" y="5991225"/>
            <a:ext cx="95250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" name="Straight Connector 84">
            <a:extLst>
              <a:ext uri="{FF2B5EF4-FFF2-40B4-BE49-F238E27FC236}">
                <a16:creationId xmlns:a16="http://schemas.microsoft.com/office/drawing/2014/main" id="{5DA72D9B-B3F0-462E-A9F1-02F72B2D0242}"/>
              </a:ext>
            </a:extLst>
          </xdr:cNvPr>
          <xdr:cNvCxnSpPr/>
        </xdr:nvCxnSpPr>
        <xdr:spPr>
          <a:xfrm flipH="1">
            <a:off x="414339" y="7748590"/>
            <a:ext cx="51911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" name="Straight Connector 90">
            <a:extLst>
              <a:ext uri="{FF2B5EF4-FFF2-40B4-BE49-F238E27FC236}">
                <a16:creationId xmlns:a16="http://schemas.microsoft.com/office/drawing/2014/main" id="{64C24136-8945-45C7-A39E-A87316813383}"/>
              </a:ext>
            </a:extLst>
          </xdr:cNvPr>
          <xdr:cNvCxnSpPr/>
        </xdr:nvCxnSpPr>
        <xdr:spPr>
          <a:xfrm flipH="1">
            <a:off x="757236" y="7705726"/>
            <a:ext cx="95250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" name="Straight Connector 92">
            <a:extLst>
              <a:ext uri="{FF2B5EF4-FFF2-40B4-BE49-F238E27FC236}">
                <a16:creationId xmlns:a16="http://schemas.microsoft.com/office/drawing/2014/main" id="{BE63BC14-C567-4C85-BDE9-C2F0CB53C1F1}"/>
              </a:ext>
            </a:extLst>
          </xdr:cNvPr>
          <xdr:cNvCxnSpPr/>
        </xdr:nvCxnSpPr>
        <xdr:spPr>
          <a:xfrm>
            <a:off x="485775" y="5962650"/>
            <a:ext cx="0" cy="1857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" name="Straight Connector 94">
            <a:extLst>
              <a:ext uri="{FF2B5EF4-FFF2-40B4-BE49-F238E27FC236}">
                <a16:creationId xmlns:a16="http://schemas.microsoft.com/office/drawing/2014/main" id="{D7B9E749-FFE3-4DAC-BD07-B5C3802AE03A}"/>
              </a:ext>
            </a:extLst>
          </xdr:cNvPr>
          <xdr:cNvCxnSpPr/>
        </xdr:nvCxnSpPr>
        <xdr:spPr>
          <a:xfrm flipH="1">
            <a:off x="442912" y="5995987"/>
            <a:ext cx="95250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" name="Straight Connector 97">
            <a:extLst>
              <a:ext uri="{FF2B5EF4-FFF2-40B4-BE49-F238E27FC236}">
                <a16:creationId xmlns:a16="http://schemas.microsoft.com/office/drawing/2014/main" id="{0B712018-2A78-448B-9041-9431941FB614}"/>
              </a:ext>
            </a:extLst>
          </xdr:cNvPr>
          <xdr:cNvCxnSpPr/>
        </xdr:nvCxnSpPr>
        <xdr:spPr>
          <a:xfrm flipH="1">
            <a:off x="433386" y="7700963"/>
            <a:ext cx="95250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" name="Straight Connector 98">
            <a:extLst>
              <a:ext uri="{FF2B5EF4-FFF2-40B4-BE49-F238E27FC236}">
                <a16:creationId xmlns:a16="http://schemas.microsoft.com/office/drawing/2014/main" id="{AC944871-797B-4AF5-917B-8AA1D9105724}"/>
              </a:ext>
            </a:extLst>
          </xdr:cNvPr>
          <xdr:cNvCxnSpPr/>
        </xdr:nvCxnSpPr>
        <xdr:spPr>
          <a:xfrm>
            <a:off x="719138" y="6353176"/>
            <a:ext cx="15382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" name="Straight Connector 99">
            <a:extLst>
              <a:ext uri="{FF2B5EF4-FFF2-40B4-BE49-F238E27FC236}">
                <a16:creationId xmlns:a16="http://schemas.microsoft.com/office/drawing/2014/main" id="{527ADD2E-0E31-4EB8-A579-7D39F669AA4A}"/>
              </a:ext>
            </a:extLst>
          </xdr:cNvPr>
          <xdr:cNvCxnSpPr/>
        </xdr:nvCxnSpPr>
        <xdr:spPr>
          <a:xfrm flipH="1">
            <a:off x="766762" y="6305549"/>
            <a:ext cx="95250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" name="Straight Connector 100">
            <a:extLst>
              <a:ext uri="{FF2B5EF4-FFF2-40B4-BE49-F238E27FC236}">
                <a16:creationId xmlns:a16="http://schemas.microsoft.com/office/drawing/2014/main" id="{0898A8EC-E663-4B3F-AD2D-6F795AFE655D}"/>
              </a:ext>
            </a:extLst>
          </xdr:cNvPr>
          <xdr:cNvCxnSpPr/>
        </xdr:nvCxnSpPr>
        <xdr:spPr>
          <a:xfrm>
            <a:off x="723894" y="7419977"/>
            <a:ext cx="153353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" name="Straight Connector 102">
            <a:extLst>
              <a:ext uri="{FF2B5EF4-FFF2-40B4-BE49-F238E27FC236}">
                <a16:creationId xmlns:a16="http://schemas.microsoft.com/office/drawing/2014/main" id="{E2A91FF5-8704-48CF-ACB9-F94B581A0BDF}"/>
              </a:ext>
            </a:extLst>
          </xdr:cNvPr>
          <xdr:cNvCxnSpPr/>
        </xdr:nvCxnSpPr>
        <xdr:spPr>
          <a:xfrm flipH="1">
            <a:off x="761993" y="7372350"/>
            <a:ext cx="95250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" name="Straight Connector 104">
            <a:extLst>
              <a:ext uri="{FF2B5EF4-FFF2-40B4-BE49-F238E27FC236}">
                <a16:creationId xmlns:a16="http://schemas.microsoft.com/office/drawing/2014/main" id="{80F392FF-8A8B-4A49-A8DE-4FB337D501F4}"/>
              </a:ext>
            </a:extLst>
          </xdr:cNvPr>
          <xdr:cNvCxnSpPr/>
        </xdr:nvCxnSpPr>
        <xdr:spPr>
          <a:xfrm flipV="1">
            <a:off x="2657475" y="6348413"/>
            <a:ext cx="1619250" cy="106680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" name="Straight Connector 106">
            <a:extLst>
              <a:ext uri="{FF2B5EF4-FFF2-40B4-BE49-F238E27FC236}">
                <a16:creationId xmlns:a16="http://schemas.microsoft.com/office/drawing/2014/main" id="{2A3AE56B-AAEC-4E21-9E5E-F319490025E9}"/>
              </a:ext>
            </a:extLst>
          </xdr:cNvPr>
          <xdr:cNvCxnSpPr/>
        </xdr:nvCxnSpPr>
        <xdr:spPr>
          <a:xfrm>
            <a:off x="2657475" y="6348413"/>
            <a:ext cx="1628775" cy="109537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" name="Straight Connector 109">
            <a:extLst>
              <a:ext uri="{FF2B5EF4-FFF2-40B4-BE49-F238E27FC236}">
                <a16:creationId xmlns:a16="http://schemas.microsoft.com/office/drawing/2014/main" id="{6CAD214F-4404-47E9-99CD-D7BDDF0277F5}"/>
              </a:ext>
            </a:extLst>
          </xdr:cNvPr>
          <xdr:cNvCxnSpPr/>
        </xdr:nvCxnSpPr>
        <xdr:spPr>
          <a:xfrm>
            <a:off x="4610100" y="6048375"/>
            <a:ext cx="1371600" cy="1690688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" name="Straight Connector 110">
            <a:extLst>
              <a:ext uri="{FF2B5EF4-FFF2-40B4-BE49-F238E27FC236}">
                <a16:creationId xmlns:a16="http://schemas.microsoft.com/office/drawing/2014/main" id="{824F71C2-639C-4562-AB29-73132ABAFDE2}"/>
              </a:ext>
            </a:extLst>
          </xdr:cNvPr>
          <xdr:cNvCxnSpPr/>
        </xdr:nvCxnSpPr>
        <xdr:spPr>
          <a:xfrm>
            <a:off x="4610100" y="7739063"/>
            <a:ext cx="138112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" name="Straight Connector 111">
            <a:extLst>
              <a:ext uri="{FF2B5EF4-FFF2-40B4-BE49-F238E27FC236}">
                <a16:creationId xmlns:a16="http://schemas.microsoft.com/office/drawing/2014/main" id="{40FD40D7-CD5C-4341-881D-6459003BFCF2}"/>
              </a:ext>
            </a:extLst>
          </xdr:cNvPr>
          <xdr:cNvCxnSpPr/>
        </xdr:nvCxnSpPr>
        <xdr:spPr>
          <a:xfrm>
            <a:off x="1000125" y="7743825"/>
            <a:ext cx="138112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" name="Straight Connector 114">
            <a:extLst>
              <a:ext uri="{FF2B5EF4-FFF2-40B4-BE49-F238E27FC236}">
                <a16:creationId xmlns:a16="http://schemas.microsoft.com/office/drawing/2014/main" id="{D4311630-C9C7-4709-ACED-D96B7F71BB2E}"/>
              </a:ext>
            </a:extLst>
          </xdr:cNvPr>
          <xdr:cNvCxnSpPr/>
        </xdr:nvCxnSpPr>
        <xdr:spPr>
          <a:xfrm flipH="1">
            <a:off x="1011683" y="6038850"/>
            <a:ext cx="1340992" cy="170497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" name="Straight Connector 54">
            <a:extLst>
              <a:ext uri="{FF2B5EF4-FFF2-40B4-BE49-F238E27FC236}">
                <a16:creationId xmlns:a16="http://schemas.microsoft.com/office/drawing/2014/main" id="{CEC349A4-F0EF-4433-8F04-8170EBD653DB}"/>
              </a:ext>
            </a:extLst>
          </xdr:cNvPr>
          <xdr:cNvCxnSpPr/>
        </xdr:nvCxnSpPr>
        <xdr:spPr>
          <a:xfrm flipH="1" flipV="1">
            <a:off x="1419225" y="7222654"/>
            <a:ext cx="363837" cy="52117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" name="Straight Connector 71">
            <a:extLst>
              <a:ext uri="{FF2B5EF4-FFF2-40B4-BE49-F238E27FC236}">
                <a16:creationId xmlns:a16="http://schemas.microsoft.com/office/drawing/2014/main" id="{40D04D03-4B1A-4E53-B168-184D39CCD68A}"/>
              </a:ext>
            </a:extLst>
          </xdr:cNvPr>
          <xdr:cNvCxnSpPr/>
        </xdr:nvCxnSpPr>
        <xdr:spPr>
          <a:xfrm>
            <a:off x="4543425" y="8039100"/>
            <a:ext cx="15287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" name="Straight Connector 120">
            <a:extLst>
              <a:ext uri="{FF2B5EF4-FFF2-40B4-BE49-F238E27FC236}">
                <a16:creationId xmlns:a16="http://schemas.microsoft.com/office/drawing/2014/main" id="{62143B57-4997-4E99-9DB1-29FEAB6FFFF5}"/>
              </a:ext>
            </a:extLst>
          </xdr:cNvPr>
          <xdr:cNvCxnSpPr/>
        </xdr:nvCxnSpPr>
        <xdr:spPr>
          <a:xfrm flipH="1">
            <a:off x="5172075" y="7219950"/>
            <a:ext cx="381000" cy="52387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" name="Straight Connector 124">
            <a:extLst>
              <a:ext uri="{FF2B5EF4-FFF2-40B4-BE49-F238E27FC236}">
                <a16:creationId xmlns:a16="http://schemas.microsoft.com/office/drawing/2014/main" id="{B8D700C1-D400-4B13-90D9-DA81ECE0990D}"/>
              </a:ext>
            </a:extLst>
          </xdr:cNvPr>
          <xdr:cNvCxnSpPr/>
        </xdr:nvCxnSpPr>
        <xdr:spPr>
          <a:xfrm>
            <a:off x="4610100" y="7839075"/>
            <a:ext cx="0" cy="5476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" name="Straight Connector 129">
            <a:extLst>
              <a:ext uri="{FF2B5EF4-FFF2-40B4-BE49-F238E27FC236}">
                <a16:creationId xmlns:a16="http://schemas.microsoft.com/office/drawing/2014/main" id="{B43939AB-13B5-4756-A33C-792C8FD4FB47}"/>
              </a:ext>
            </a:extLst>
          </xdr:cNvPr>
          <xdr:cNvCxnSpPr/>
        </xdr:nvCxnSpPr>
        <xdr:spPr>
          <a:xfrm flipH="1">
            <a:off x="4567238" y="7996237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3" name="Straight Connector 132">
            <a:extLst>
              <a:ext uri="{FF2B5EF4-FFF2-40B4-BE49-F238E27FC236}">
                <a16:creationId xmlns:a16="http://schemas.microsoft.com/office/drawing/2014/main" id="{AAF73E6E-6519-48F6-A394-F0C0B7DD923C}"/>
              </a:ext>
            </a:extLst>
          </xdr:cNvPr>
          <xdr:cNvCxnSpPr/>
        </xdr:nvCxnSpPr>
        <xdr:spPr>
          <a:xfrm>
            <a:off x="5172075" y="7834313"/>
            <a:ext cx="0" cy="2762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" name="Straight Connector 133">
            <a:extLst>
              <a:ext uri="{FF2B5EF4-FFF2-40B4-BE49-F238E27FC236}">
                <a16:creationId xmlns:a16="http://schemas.microsoft.com/office/drawing/2014/main" id="{0EEA1755-2279-43B1-B60B-A9FC57276C59}"/>
              </a:ext>
            </a:extLst>
          </xdr:cNvPr>
          <xdr:cNvCxnSpPr/>
        </xdr:nvCxnSpPr>
        <xdr:spPr>
          <a:xfrm flipH="1">
            <a:off x="5129213" y="7991475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" name="Straight Connector 134">
            <a:extLst>
              <a:ext uri="{FF2B5EF4-FFF2-40B4-BE49-F238E27FC236}">
                <a16:creationId xmlns:a16="http://schemas.microsoft.com/office/drawing/2014/main" id="{BFAF04E1-A74B-41E7-A099-B85B44141119}"/>
              </a:ext>
            </a:extLst>
          </xdr:cNvPr>
          <xdr:cNvCxnSpPr/>
        </xdr:nvCxnSpPr>
        <xdr:spPr>
          <a:xfrm>
            <a:off x="5991225" y="7839076"/>
            <a:ext cx="0" cy="56197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6" name="Straight Connector 135">
            <a:extLst>
              <a:ext uri="{FF2B5EF4-FFF2-40B4-BE49-F238E27FC236}">
                <a16:creationId xmlns:a16="http://schemas.microsoft.com/office/drawing/2014/main" id="{11752630-2A52-487F-A654-4C5F6B963378}"/>
              </a:ext>
            </a:extLst>
          </xdr:cNvPr>
          <xdr:cNvCxnSpPr/>
        </xdr:nvCxnSpPr>
        <xdr:spPr>
          <a:xfrm flipH="1">
            <a:off x="5948363" y="7996238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0" name="Straight Connector 139">
            <a:extLst>
              <a:ext uri="{FF2B5EF4-FFF2-40B4-BE49-F238E27FC236}">
                <a16:creationId xmlns:a16="http://schemas.microsoft.com/office/drawing/2014/main" id="{1A09C182-3747-4926-91D5-1166A4FD5B0E}"/>
              </a:ext>
            </a:extLst>
          </xdr:cNvPr>
          <xdr:cNvCxnSpPr/>
        </xdr:nvCxnSpPr>
        <xdr:spPr>
          <a:xfrm>
            <a:off x="4548187" y="8324850"/>
            <a:ext cx="15287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1" name="Straight Connector 140">
            <a:extLst>
              <a:ext uri="{FF2B5EF4-FFF2-40B4-BE49-F238E27FC236}">
                <a16:creationId xmlns:a16="http://schemas.microsoft.com/office/drawing/2014/main" id="{A1804089-DBE5-435D-AB2D-1B23F92ECBF4}"/>
              </a:ext>
            </a:extLst>
          </xdr:cNvPr>
          <xdr:cNvCxnSpPr/>
        </xdr:nvCxnSpPr>
        <xdr:spPr>
          <a:xfrm flipH="1">
            <a:off x="4572000" y="8281987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" name="Straight Connector 141">
            <a:extLst>
              <a:ext uri="{FF2B5EF4-FFF2-40B4-BE49-F238E27FC236}">
                <a16:creationId xmlns:a16="http://schemas.microsoft.com/office/drawing/2014/main" id="{CBBA05B0-1759-4A5B-BBB6-35D878E6F762}"/>
              </a:ext>
            </a:extLst>
          </xdr:cNvPr>
          <xdr:cNvCxnSpPr/>
        </xdr:nvCxnSpPr>
        <xdr:spPr>
          <a:xfrm flipH="1">
            <a:off x="5953125" y="8281988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" name="Straight Connector 144">
            <a:extLst>
              <a:ext uri="{FF2B5EF4-FFF2-40B4-BE49-F238E27FC236}">
                <a16:creationId xmlns:a16="http://schemas.microsoft.com/office/drawing/2014/main" id="{81F12552-2D91-41C6-8647-DBB4F27E9D11}"/>
              </a:ext>
            </a:extLst>
          </xdr:cNvPr>
          <xdr:cNvCxnSpPr/>
        </xdr:nvCxnSpPr>
        <xdr:spPr>
          <a:xfrm>
            <a:off x="5610225" y="7205663"/>
            <a:ext cx="6191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" name="Straight Connector 146">
            <a:extLst>
              <a:ext uri="{FF2B5EF4-FFF2-40B4-BE49-F238E27FC236}">
                <a16:creationId xmlns:a16="http://schemas.microsoft.com/office/drawing/2014/main" id="{5A1F20BF-50C5-4868-85D8-3E4E8BE5C175}"/>
              </a:ext>
            </a:extLst>
          </xdr:cNvPr>
          <xdr:cNvCxnSpPr/>
        </xdr:nvCxnSpPr>
        <xdr:spPr>
          <a:xfrm>
            <a:off x="6153150" y="7143750"/>
            <a:ext cx="0" cy="6953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9" name="Straight Connector 148">
            <a:extLst>
              <a:ext uri="{FF2B5EF4-FFF2-40B4-BE49-F238E27FC236}">
                <a16:creationId xmlns:a16="http://schemas.microsoft.com/office/drawing/2014/main" id="{E78F4F76-34BD-475C-8392-FCEA2156ED2A}"/>
              </a:ext>
            </a:extLst>
          </xdr:cNvPr>
          <xdr:cNvCxnSpPr/>
        </xdr:nvCxnSpPr>
        <xdr:spPr>
          <a:xfrm>
            <a:off x="6034088" y="7743825"/>
            <a:ext cx="185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2" name="Straight Connector 151">
            <a:extLst>
              <a:ext uri="{FF2B5EF4-FFF2-40B4-BE49-F238E27FC236}">
                <a16:creationId xmlns:a16="http://schemas.microsoft.com/office/drawing/2014/main" id="{37944E5B-F4FB-4FFE-A730-BA7BA3DB4BA1}"/>
              </a:ext>
            </a:extLst>
          </xdr:cNvPr>
          <xdr:cNvCxnSpPr/>
        </xdr:nvCxnSpPr>
        <xdr:spPr>
          <a:xfrm flipH="1">
            <a:off x="6110288" y="7162800"/>
            <a:ext cx="80963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" name="Straight Connector 152">
            <a:extLst>
              <a:ext uri="{FF2B5EF4-FFF2-40B4-BE49-F238E27FC236}">
                <a16:creationId xmlns:a16="http://schemas.microsoft.com/office/drawing/2014/main" id="{03735153-9501-40D2-9042-2C006E4DC594}"/>
              </a:ext>
            </a:extLst>
          </xdr:cNvPr>
          <xdr:cNvCxnSpPr/>
        </xdr:nvCxnSpPr>
        <xdr:spPr>
          <a:xfrm flipH="1">
            <a:off x="6110289" y="7700962"/>
            <a:ext cx="80963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Straight Connector 19">
            <a:extLst>
              <a:ext uri="{FF2B5EF4-FFF2-40B4-BE49-F238E27FC236}">
                <a16:creationId xmlns:a16="http://schemas.microsoft.com/office/drawing/2014/main" id="{CC70C8E9-7D4E-45EB-A6F5-3E8E5CD6AB2D}"/>
              </a:ext>
            </a:extLst>
          </xdr:cNvPr>
          <xdr:cNvCxnSpPr/>
        </xdr:nvCxnSpPr>
        <xdr:spPr>
          <a:xfrm>
            <a:off x="1004888" y="7800975"/>
            <a:ext cx="0" cy="590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" name="Straight Connector 39">
            <a:extLst>
              <a:ext uri="{FF2B5EF4-FFF2-40B4-BE49-F238E27FC236}">
                <a16:creationId xmlns:a16="http://schemas.microsoft.com/office/drawing/2014/main" id="{E9165083-290D-420F-92E9-A18026064223}"/>
              </a:ext>
            </a:extLst>
          </xdr:cNvPr>
          <xdr:cNvCxnSpPr/>
        </xdr:nvCxnSpPr>
        <xdr:spPr>
          <a:xfrm>
            <a:off x="938214" y="8039100"/>
            <a:ext cx="14811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" name="Straight Connector 44">
            <a:extLst>
              <a:ext uri="{FF2B5EF4-FFF2-40B4-BE49-F238E27FC236}">
                <a16:creationId xmlns:a16="http://schemas.microsoft.com/office/drawing/2014/main" id="{32ADA199-8470-4E01-8961-364561F9F78F}"/>
              </a:ext>
            </a:extLst>
          </xdr:cNvPr>
          <xdr:cNvCxnSpPr/>
        </xdr:nvCxnSpPr>
        <xdr:spPr>
          <a:xfrm flipH="1">
            <a:off x="962025" y="7996237"/>
            <a:ext cx="80963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5" name="Straight Connector 234">
            <a:extLst>
              <a:ext uri="{FF2B5EF4-FFF2-40B4-BE49-F238E27FC236}">
                <a16:creationId xmlns:a16="http://schemas.microsoft.com/office/drawing/2014/main" id="{095B609B-5DDF-43E3-9BC0-FC01E63A3546}"/>
              </a:ext>
            </a:extLst>
          </xdr:cNvPr>
          <xdr:cNvCxnSpPr/>
        </xdr:nvCxnSpPr>
        <xdr:spPr>
          <a:xfrm>
            <a:off x="938213" y="8324850"/>
            <a:ext cx="14811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7" name="Straight Connector 236">
            <a:extLst>
              <a:ext uri="{FF2B5EF4-FFF2-40B4-BE49-F238E27FC236}">
                <a16:creationId xmlns:a16="http://schemas.microsoft.com/office/drawing/2014/main" id="{EDB17690-97EC-467D-B531-0649975DC0F6}"/>
              </a:ext>
            </a:extLst>
          </xdr:cNvPr>
          <xdr:cNvCxnSpPr/>
        </xdr:nvCxnSpPr>
        <xdr:spPr>
          <a:xfrm flipH="1">
            <a:off x="962024" y="8281987"/>
            <a:ext cx="80963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1" name="Straight Connector 240">
            <a:extLst>
              <a:ext uri="{FF2B5EF4-FFF2-40B4-BE49-F238E27FC236}">
                <a16:creationId xmlns:a16="http://schemas.microsoft.com/office/drawing/2014/main" id="{DC81A3D2-E5D1-47E8-9209-E349AC8FB662}"/>
              </a:ext>
            </a:extLst>
          </xdr:cNvPr>
          <xdr:cNvCxnSpPr/>
        </xdr:nvCxnSpPr>
        <xdr:spPr>
          <a:xfrm>
            <a:off x="2338389" y="7796213"/>
            <a:ext cx="0" cy="590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3" name="Straight Connector 242">
            <a:extLst>
              <a:ext uri="{FF2B5EF4-FFF2-40B4-BE49-F238E27FC236}">
                <a16:creationId xmlns:a16="http://schemas.microsoft.com/office/drawing/2014/main" id="{09BCD07A-A121-491F-93D8-DAE364732807}"/>
              </a:ext>
            </a:extLst>
          </xdr:cNvPr>
          <xdr:cNvCxnSpPr/>
        </xdr:nvCxnSpPr>
        <xdr:spPr>
          <a:xfrm flipH="1">
            <a:off x="2295526" y="7996238"/>
            <a:ext cx="80963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5" name="Straight Connector 244">
            <a:extLst>
              <a:ext uri="{FF2B5EF4-FFF2-40B4-BE49-F238E27FC236}">
                <a16:creationId xmlns:a16="http://schemas.microsoft.com/office/drawing/2014/main" id="{4B46519B-EC3A-4A83-A4D9-6A3D1E8D4801}"/>
              </a:ext>
            </a:extLst>
          </xdr:cNvPr>
          <xdr:cNvCxnSpPr/>
        </xdr:nvCxnSpPr>
        <xdr:spPr>
          <a:xfrm flipH="1">
            <a:off x="2295525" y="8277225"/>
            <a:ext cx="80963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" name="Straight Connector 116">
            <a:extLst>
              <a:ext uri="{FF2B5EF4-FFF2-40B4-BE49-F238E27FC236}">
                <a16:creationId xmlns:a16="http://schemas.microsoft.com/office/drawing/2014/main" id="{909D6365-0936-4F0E-9C14-1654A1FF7243}"/>
              </a:ext>
            </a:extLst>
          </xdr:cNvPr>
          <xdr:cNvCxnSpPr/>
        </xdr:nvCxnSpPr>
        <xdr:spPr>
          <a:xfrm>
            <a:off x="1781175" y="7791449"/>
            <a:ext cx="0" cy="32861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7" name="Straight Connector 246">
            <a:extLst>
              <a:ext uri="{FF2B5EF4-FFF2-40B4-BE49-F238E27FC236}">
                <a16:creationId xmlns:a16="http://schemas.microsoft.com/office/drawing/2014/main" id="{11B3BB8B-F8FE-4EE1-8A87-6878FD873520}"/>
              </a:ext>
            </a:extLst>
          </xdr:cNvPr>
          <xdr:cNvCxnSpPr/>
        </xdr:nvCxnSpPr>
        <xdr:spPr>
          <a:xfrm flipH="1">
            <a:off x="1738313" y="7996239"/>
            <a:ext cx="80963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" name="Straight Connector 128">
            <a:extLst>
              <a:ext uri="{FF2B5EF4-FFF2-40B4-BE49-F238E27FC236}">
                <a16:creationId xmlns:a16="http://schemas.microsoft.com/office/drawing/2014/main" id="{2E34D533-3A50-4448-BF13-FB567813F153}"/>
              </a:ext>
            </a:extLst>
          </xdr:cNvPr>
          <xdr:cNvCxnSpPr/>
        </xdr:nvCxnSpPr>
        <xdr:spPr>
          <a:xfrm>
            <a:off x="1476375" y="7224713"/>
            <a:ext cx="7143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" name="Straight Connector 158">
            <a:extLst>
              <a:ext uri="{FF2B5EF4-FFF2-40B4-BE49-F238E27FC236}">
                <a16:creationId xmlns:a16="http://schemas.microsoft.com/office/drawing/2014/main" id="{078C9B49-13A9-4E2F-8FDE-FEE6850C5B5D}"/>
              </a:ext>
            </a:extLst>
          </xdr:cNvPr>
          <xdr:cNvCxnSpPr/>
        </xdr:nvCxnSpPr>
        <xdr:spPr>
          <a:xfrm>
            <a:off x="2105025" y="7162800"/>
            <a:ext cx="0" cy="6667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1" name="Straight Connector 160">
            <a:extLst>
              <a:ext uri="{FF2B5EF4-FFF2-40B4-BE49-F238E27FC236}">
                <a16:creationId xmlns:a16="http://schemas.microsoft.com/office/drawing/2014/main" id="{902B379C-8E99-498F-87A5-21ACA7C30E2D}"/>
              </a:ext>
            </a:extLst>
          </xdr:cNvPr>
          <xdr:cNvCxnSpPr/>
        </xdr:nvCxnSpPr>
        <xdr:spPr>
          <a:xfrm flipH="1">
            <a:off x="2062163" y="7186613"/>
            <a:ext cx="80962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0" name="Straight Connector 249">
            <a:extLst>
              <a:ext uri="{FF2B5EF4-FFF2-40B4-BE49-F238E27FC236}">
                <a16:creationId xmlns:a16="http://schemas.microsoft.com/office/drawing/2014/main" id="{284955D1-50DC-4AC8-BB22-034402274DE9}"/>
              </a:ext>
            </a:extLst>
          </xdr:cNvPr>
          <xdr:cNvCxnSpPr/>
        </xdr:nvCxnSpPr>
        <xdr:spPr>
          <a:xfrm flipH="1">
            <a:off x="2066926" y="7700963"/>
            <a:ext cx="80962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85725</xdr:colOff>
      <xdr:row>3</xdr:row>
      <xdr:rowOff>76200</xdr:rowOff>
    </xdr:from>
    <xdr:to>
      <xdr:col>42</xdr:col>
      <xdr:colOff>61913</xdr:colOff>
      <xdr:row>25</xdr:row>
      <xdr:rowOff>85725</xdr:rowOff>
    </xdr:to>
    <xdr:grpSp>
      <xdr:nvGrpSpPr>
        <xdr:cNvPr id="197" name="Group 196">
          <a:extLst>
            <a:ext uri="{FF2B5EF4-FFF2-40B4-BE49-F238E27FC236}">
              <a16:creationId xmlns:a16="http://schemas.microsoft.com/office/drawing/2014/main" id="{C3D90102-0E63-41BF-A4DF-107A2E6C8AB6}"/>
            </a:ext>
          </a:extLst>
        </xdr:cNvPr>
        <xdr:cNvGrpSpPr/>
      </xdr:nvGrpSpPr>
      <xdr:grpSpPr>
        <a:xfrm>
          <a:off x="409575" y="971550"/>
          <a:ext cx="6453188" cy="3152775"/>
          <a:chOff x="409575" y="971550"/>
          <a:chExt cx="6453188" cy="3152775"/>
        </a:xfrm>
      </xdr:grpSpPr>
      <xdr:sp macro="" textlink="">
        <xdr:nvSpPr>
          <xdr:cNvPr id="2" name="Trapezoid 1">
            <a:extLst>
              <a:ext uri="{FF2B5EF4-FFF2-40B4-BE49-F238E27FC236}">
                <a16:creationId xmlns:a16="http://schemas.microsoft.com/office/drawing/2014/main" id="{83AB1BC5-3DD8-4A33-94C1-565915AE894A}"/>
              </a:ext>
            </a:extLst>
          </xdr:cNvPr>
          <xdr:cNvSpPr/>
        </xdr:nvSpPr>
        <xdr:spPr>
          <a:xfrm rot="10800000">
            <a:off x="1152524" y="1762124"/>
            <a:ext cx="4829176" cy="1695447"/>
          </a:xfrm>
          <a:prstGeom prst="trapezoid">
            <a:avLst>
              <a:gd name="adj" fmla="val 37609"/>
            </a:avLst>
          </a:prstGeom>
          <a:blipFill>
            <a:blip xmlns:r="http://schemas.openxmlformats.org/officeDocument/2006/relationships" r:embed="rId2"/>
            <a:tile tx="0" ty="0" sx="100000" sy="100000" flip="none" algn="tl"/>
          </a:blipFill>
          <a:ln w="15875">
            <a:solidFill>
              <a:schemeClr val="accent2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3" name="Frame 2">
            <a:extLst>
              <a:ext uri="{FF2B5EF4-FFF2-40B4-BE49-F238E27FC236}">
                <a16:creationId xmlns:a16="http://schemas.microsoft.com/office/drawing/2014/main" id="{4F9E8CC4-322E-4320-90FD-BDC1E9B0AE12}"/>
              </a:ext>
            </a:extLst>
          </xdr:cNvPr>
          <xdr:cNvSpPr/>
        </xdr:nvSpPr>
        <xdr:spPr>
          <a:xfrm>
            <a:off x="2428874" y="1752600"/>
            <a:ext cx="2257425" cy="1704975"/>
          </a:xfrm>
          <a:prstGeom prst="frame">
            <a:avLst>
              <a:gd name="adj1" fmla="val 18645"/>
            </a:avLst>
          </a:prstGeom>
          <a:blipFill>
            <a:blip xmlns:r="http://schemas.openxmlformats.org/officeDocument/2006/relationships" r:embed="rId1"/>
            <a:tile tx="0" ty="0" sx="100000" sy="100000" flip="none" algn="tl"/>
          </a:blip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>
              <a:solidFill>
                <a:schemeClr val="tx1"/>
              </a:solidFill>
            </a:endParaRPr>
          </a:p>
        </xdr:txBody>
      </xdr:sp>
      <xdr:cxnSp macro="">
        <xdr:nvCxnSpPr>
          <xdr:cNvPr id="5" name="Straight Connector 4">
            <a:extLst>
              <a:ext uri="{FF2B5EF4-FFF2-40B4-BE49-F238E27FC236}">
                <a16:creationId xmlns:a16="http://schemas.microsoft.com/office/drawing/2014/main" id="{0889940C-7E2E-415C-97F6-3DA75274BEA5}"/>
              </a:ext>
            </a:extLst>
          </xdr:cNvPr>
          <xdr:cNvCxnSpPr/>
        </xdr:nvCxnSpPr>
        <xdr:spPr>
          <a:xfrm flipV="1">
            <a:off x="1133475" y="971550"/>
            <a:ext cx="0" cy="69532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id="{4276E6E8-BFAA-4FB2-92DC-6D6BB3A6F60D}"/>
              </a:ext>
            </a:extLst>
          </xdr:cNvPr>
          <xdr:cNvCxnSpPr/>
        </xdr:nvCxnSpPr>
        <xdr:spPr>
          <a:xfrm>
            <a:off x="1066800" y="1323975"/>
            <a:ext cx="49958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Straight Connector 14">
            <a:extLst>
              <a:ext uri="{FF2B5EF4-FFF2-40B4-BE49-F238E27FC236}">
                <a16:creationId xmlns:a16="http://schemas.microsoft.com/office/drawing/2014/main" id="{8B8383A4-E697-4D58-9FAA-69957E72E1BF}"/>
              </a:ext>
            </a:extLst>
          </xdr:cNvPr>
          <xdr:cNvCxnSpPr/>
        </xdr:nvCxnSpPr>
        <xdr:spPr>
          <a:xfrm>
            <a:off x="1066800" y="1038225"/>
            <a:ext cx="49911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Straight Connector 17">
            <a:extLst>
              <a:ext uri="{FF2B5EF4-FFF2-40B4-BE49-F238E27FC236}">
                <a16:creationId xmlns:a16="http://schemas.microsoft.com/office/drawing/2014/main" id="{C8E0BBF2-1FFF-4FF0-996C-BC5F23B9ED33}"/>
              </a:ext>
            </a:extLst>
          </xdr:cNvPr>
          <xdr:cNvCxnSpPr/>
        </xdr:nvCxnSpPr>
        <xdr:spPr>
          <a:xfrm>
            <a:off x="1790700" y="3495675"/>
            <a:ext cx="0" cy="6286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Straight Connector 20">
            <a:extLst>
              <a:ext uri="{FF2B5EF4-FFF2-40B4-BE49-F238E27FC236}">
                <a16:creationId xmlns:a16="http://schemas.microsoft.com/office/drawing/2014/main" id="{B6C9AD0F-3CE7-4521-AD9D-6DBFA54A5518}"/>
              </a:ext>
            </a:extLst>
          </xdr:cNvPr>
          <xdr:cNvCxnSpPr/>
        </xdr:nvCxnSpPr>
        <xdr:spPr>
          <a:xfrm>
            <a:off x="1704977" y="3752851"/>
            <a:ext cx="373856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Straight Connector 22">
            <a:extLst>
              <a:ext uri="{FF2B5EF4-FFF2-40B4-BE49-F238E27FC236}">
                <a16:creationId xmlns:a16="http://schemas.microsoft.com/office/drawing/2014/main" id="{17B4C17E-5338-4F53-B45D-5A5A6C4229B4}"/>
              </a:ext>
            </a:extLst>
          </xdr:cNvPr>
          <xdr:cNvCxnSpPr/>
        </xdr:nvCxnSpPr>
        <xdr:spPr>
          <a:xfrm flipH="1">
            <a:off x="1743075" y="3714750"/>
            <a:ext cx="90488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" name="Straight Connector 23">
            <a:extLst>
              <a:ext uri="{FF2B5EF4-FFF2-40B4-BE49-F238E27FC236}">
                <a16:creationId xmlns:a16="http://schemas.microsoft.com/office/drawing/2014/main" id="{66E28B3A-4516-46BB-88F1-CE28996A46EB}"/>
              </a:ext>
            </a:extLst>
          </xdr:cNvPr>
          <xdr:cNvCxnSpPr/>
        </xdr:nvCxnSpPr>
        <xdr:spPr>
          <a:xfrm>
            <a:off x="2428875" y="3490913"/>
            <a:ext cx="0" cy="3286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Straight Connector 24">
            <a:extLst>
              <a:ext uri="{FF2B5EF4-FFF2-40B4-BE49-F238E27FC236}">
                <a16:creationId xmlns:a16="http://schemas.microsoft.com/office/drawing/2014/main" id="{286AA901-659E-4B1E-A146-A60F03403E69}"/>
              </a:ext>
            </a:extLst>
          </xdr:cNvPr>
          <xdr:cNvCxnSpPr/>
        </xdr:nvCxnSpPr>
        <xdr:spPr>
          <a:xfrm flipH="1">
            <a:off x="2381250" y="3709987"/>
            <a:ext cx="90488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Straight Connector 27">
            <a:extLst>
              <a:ext uri="{FF2B5EF4-FFF2-40B4-BE49-F238E27FC236}">
                <a16:creationId xmlns:a16="http://schemas.microsoft.com/office/drawing/2014/main" id="{3F4782FE-E9D1-4AD2-A572-B60C292E02A4}"/>
              </a:ext>
            </a:extLst>
          </xdr:cNvPr>
          <xdr:cNvCxnSpPr/>
        </xdr:nvCxnSpPr>
        <xdr:spPr>
          <a:xfrm>
            <a:off x="2752725" y="3490913"/>
            <a:ext cx="0" cy="3286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Straight Connector 28">
            <a:extLst>
              <a:ext uri="{FF2B5EF4-FFF2-40B4-BE49-F238E27FC236}">
                <a16:creationId xmlns:a16="http://schemas.microsoft.com/office/drawing/2014/main" id="{3A9C0992-4E3B-4E7C-963E-134A2745422F}"/>
              </a:ext>
            </a:extLst>
          </xdr:cNvPr>
          <xdr:cNvCxnSpPr/>
        </xdr:nvCxnSpPr>
        <xdr:spPr>
          <a:xfrm flipH="1">
            <a:off x="2705100" y="3709987"/>
            <a:ext cx="90488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Straight Connector 29">
            <a:extLst>
              <a:ext uri="{FF2B5EF4-FFF2-40B4-BE49-F238E27FC236}">
                <a16:creationId xmlns:a16="http://schemas.microsoft.com/office/drawing/2014/main" id="{2CAA4135-1F15-448C-8826-1292CA50B88F}"/>
              </a:ext>
            </a:extLst>
          </xdr:cNvPr>
          <xdr:cNvCxnSpPr/>
        </xdr:nvCxnSpPr>
        <xdr:spPr>
          <a:xfrm>
            <a:off x="4371975" y="3490913"/>
            <a:ext cx="0" cy="3286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Straight Connector 30">
            <a:extLst>
              <a:ext uri="{FF2B5EF4-FFF2-40B4-BE49-F238E27FC236}">
                <a16:creationId xmlns:a16="http://schemas.microsoft.com/office/drawing/2014/main" id="{BA61358D-573E-4B25-8AAF-B33751682FCF}"/>
              </a:ext>
            </a:extLst>
          </xdr:cNvPr>
          <xdr:cNvCxnSpPr/>
        </xdr:nvCxnSpPr>
        <xdr:spPr>
          <a:xfrm flipH="1">
            <a:off x="4324350" y="3709987"/>
            <a:ext cx="90488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Straight Connector 31">
            <a:extLst>
              <a:ext uri="{FF2B5EF4-FFF2-40B4-BE49-F238E27FC236}">
                <a16:creationId xmlns:a16="http://schemas.microsoft.com/office/drawing/2014/main" id="{D0A07CDE-F3B7-496E-BDA1-CAAB767F7998}"/>
              </a:ext>
            </a:extLst>
          </xdr:cNvPr>
          <xdr:cNvCxnSpPr/>
        </xdr:nvCxnSpPr>
        <xdr:spPr>
          <a:xfrm>
            <a:off x="4695825" y="3490913"/>
            <a:ext cx="0" cy="3286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" name="Straight Connector 32">
            <a:extLst>
              <a:ext uri="{FF2B5EF4-FFF2-40B4-BE49-F238E27FC236}">
                <a16:creationId xmlns:a16="http://schemas.microsoft.com/office/drawing/2014/main" id="{97C9220F-C020-4A98-8178-029F29365D63}"/>
              </a:ext>
            </a:extLst>
          </xdr:cNvPr>
          <xdr:cNvCxnSpPr/>
        </xdr:nvCxnSpPr>
        <xdr:spPr>
          <a:xfrm flipH="1">
            <a:off x="4648200" y="3709987"/>
            <a:ext cx="90488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Straight Connector 33">
            <a:extLst>
              <a:ext uri="{FF2B5EF4-FFF2-40B4-BE49-F238E27FC236}">
                <a16:creationId xmlns:a16="http://schemas.microsoft.com/office/drawing/2014/main" id="{7CB71601-D858-44E4-A23F-BB98BB8B9BB8}"/>
              </a:ext>
            </a:extLst>
          </xdr:cNvPr>
          <xdr:cNvCxnSpPr/>
        </xdr:nvCxnSpPr>
        <xdr:spPr>
          <a:xfrm>
            <a:off x="1700215" y="4033839"/>
            <a:ext cx="375284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" name="Straight Connector 34">
            <a:extLst>
              <a:ext uri="{FF2B5EF4-FFF2-40B4-BE49-F238E27FC236}">
                <a16:creationId xmlns:a16="http://schemas.microsoft.com/office/drawing/2014/main" id="{71A0EE81-91D9-43D5-BE55-7F53A845064A}"/>
              </a:ext>
            </a:extLst>
          </xdr:cNvPr>
          <xdr:cNvCxnSpPr/>
        </xdr:nvCxnSpPr>
        <xdr:spPr>
          <a:xfrm flipH="1">
            <a:off x="1738313" y="3995738"/>
            <a:ext cx="90488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" name="Straight Connector 35">
            <a:extLst>
              <a:ext uri="{FF2B5EF4-FFF2-40B4-BE49-F238E27FC236}">
                <a16:creationId xmlns:a16="http://schemas.microsoft.com/office/drawing/2014/main" id="{5434BAA7-1186-4FF1-8BF1-9B8E901B3F7E}"/>
              </a:ext>
            </a:extLst>
          </xdr:cNvPr>
          <xdr:cNvCxnSpPr/>
        </xdr:nvCxnSpPr>
        <xdr:spPr>
          <a:xfrm>
            <a:off x="5353050" y="3495675"/>
            <a:ext cx="0" cy="6286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Straight Connector 36">
            <a:extLst>
              <a:ext uri="{FF2B5EF4-FFF2-40B4-BE49-F238E27FC236}">
                <a16:creationId xmlns:a16="http://schemas.microsoft.com/office/drawing/2014/main" id="{2583F632-7F67-4B74-8B62-D47C37C279F1}"/>
              </a:ext>
            </a:extLst>
          </xdr:cNvPr>
          <xdr:cNvCxnSpPr/>
        </xdr:nvCxnSpPr>
        <xdr:spPr>
          <a:xfrm flipH="1">
            <a:off x="5305425" y="3714750"/>
            <a:ext cx="90488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" name="Straight Connector 37">
            <a:extLst>
              <a:ext uri="{FF2B5EF4-FFF2-40B4-BE49-F238E27FC236}">
                <a16:creationId xmlns:a16="http://schemas.microsoft.com/office/drawing/2014/main" id="{AA80451F-4751-4179-90B7-79396D118864}"/>
              </a:ext>
            </a:extLst>
          </xdr:cNvPr>
          <xdr:cNvCxnSpPr/>
        </xdr:nvCxnSpPr>
        <xdr:spPr>
          <a:xfrm flipH="1">
            <a:off x="5300663" y="3995738"/>
            <a:ext cx="90488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3" name="Freeform: Shape 42">
            <a:extLst>
              <a:ext uri="{FF2B5EF4-FFF2-40B4-BE49-F238E27FC236}">
                <a16:creationId xmlns:a16="http://schemas.microsoft.com/office/drawing/2014/main" id="{FDB1B684-BFD1-4DC4-B305-18D8ECA538F5}"/>
              </a:ext>
            </a:extLst>
          </xdr:cNvPr>
          <xdr:cNvSpPr/>
        </xdr:nvSpPr>
        <xdr:spPr>
          <a:xfrm>
            <a:off x="1281113" y="2100263"/>
            <a:ext cx="142875" cy="376237"/>
          </a:xfrm>
          <a:custGeom>
            <a:avLst/>
            <a:gdLst>
              <a:gd name="connsiteX0" fmla="*/ 0 w 142875"/>
              <a:gd name="connsiteY0" fmla="*/ 0 h 376237"/>
              <a:gd name="connsiteX1" fmla="*/ 0 w 142875"/>
              <a:gd name="connsiteY1" fmla="*/ 376237 h 376237"/>
              <a:gd name="connsiteX2" fmla="*/ 142875 w 142875"/>
              <a:gd name="connsiteY2" fmla="*/ 376237 h 37623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42875" h="376237">
                <a:moveTo>
                  <a:pt x="0" y="0"/>
                </a:moveTo>
                <a:lnTo>
                  <a:pt x="0" y="376237"/>
                </a:lnTo>
                <a:lnTo>
                  <a:pt x="142875" y="376237"/>
                </a:lnTo>
              </a:path>
            </a:pathLst>
          </a:cu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44" name="Freeform: Shape 43">
            <a:extLst>
              <a:ext uri="{FF2B5EF4-FFF2-40B4-BE49-F238E27FC236}">
                <a16:creationId xmlns:a16="http://schemas.microsoft.com/office/drawing/2014/main" id="{9F4AC50E-C63A-4E91-AE7E-8D01D4064FFF}"/>
              </a:ext>
            </a:extLst>
          </xdr:cNvPr>
          <xdr:cNvSpPr/>
        </xdr:nvSpPr>
        <xdr:spPr>
          <a:xfrm>
            <a:off x="5729293" y="2095500"/>
            <a:ext cx="147638" cy="376238"/>
          </a:xfrm>
          <a:custGeom>
            <a:avLst/>
            <a:gdLst>
              <a:gd name="connsiteX0" fmla="*/ 147638 w 147638"/>
              <a:gd name="connsiteY0" fmla="*/ 0 h 376238"/>
              <a:gd name="connsiteX1" fmla="*/ 147638 w 147638"/>
              <a:gd name="connsiteY1" fmla="*/ 376238 h 376238"/>
              <a:gd name="connsiteX2" fmla="*/ 0 w 147638"/>
              <a:gd name="connsiteY2" fmla="*/ 376238 h 37623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47638" h="376238">
                <a:moveTo>
                  <a:pt x="147638" y="0"/>
                </a:moveTo>
                <a:lnTo>
                  <a:pt x="147638" y="376238"/>
                </a:lnTo>
                <a:lnTo>
                  <a:pt x="0" y="376238"/>
                </a:lnTo>
              </a:path>
            </a:pathLst>
          </a:cu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46" name="Straight Connector 45">
            <a:extLst>
              <a:ext uri="{FF2B5EF4-FFF2-40B4-BE49-F238E27FC236}">
                <a16:creationId xmlns:a16="http://schemas.microsoft.com/office/drawing/2014/main" id="{8C095277-2167-43A1-BC3C-9068F4622421}"/>
              </a:ext>
            </a:extLst>
          </xdr:cNvPr>
          <xdr:cNvCxnSpPr/>
        </xdr:nvCxnSpPr>
        <xdr:spPr>
          <a:xfrm flipH="1">
            <a:off x="409575" y="1752601"/>
            <a:ext cx="69056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" name="Straight Connector 47">
            <a:extLst>
              <a:ext uri="{FF2B5EF4-FFF2-40B4-BE49-F238E27FC236}">
                <a16:creationId xmlns:a16="http://schemas.microsoft.com/office/drawing/2014/main" id="{C3E57923-A3BE-4366-8FF0-0DE8757D6169}"/>
              </a:ext>
            </a:extLst>
          </xdr:cNvPr>
          <xdr:cNvCxnSpPr/>
        </xdr:nvCxnSpPr>
        <xdr:spPr>
          <a:xfrm>
            <a:off x="809625" y="1685925"/>
            <a:ext cx="0" cy="1857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" name="Straight Connector 49">
            <a:extLst>
              <a:ext uri="{FF2B5EF4-FFF2-40B4-BE49-F238E27FC236}">
                <a16:creationId xmlns:a16="http://schemas.microsoft.com/office/drawing/2014/main" id="{977B0FC1-F92F-4C7F-A0EE-526971B461B5}"/>
              </a:ext>
            </a:extLst>
          </xdr:cNvPr>
          <xdr:cNvCxnSpPr/>
        </xdr:nvCxnSpPr>
        <xdr:spPr>
          <a:xfrm flipH="1">
            <a:off x="757237" y="1709737"/>
            <a:ext cx="95250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" name="Straight Connector 51">
            <a:extLst>
              <a:ext uri="{FF2B5EF4-FFF2-40B4-BE49-F238E27FC236}">
                <a16:creationId xmlns:a16="http://schemas.microsoft.com/office/drawing/2014/main" id="{ADA65B53-DBAA-43D9-9E73-60CD64A4DCB0}"/>
              </a:ext>
            </a:extLst>
          </xdr:cNvPr>
          <xdr:cNvCxnSpPr/>
        </xdr:nvCxnSpPr>
        <xdr:spPr>
          <a:xfrm flipH="1">
            <a:off x="414338" y="3467102"/>
            <a:ext cx="12763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" name="Straight Connector 52">
            <a:extLst>
              <a:ext uri="{FF2B5EF4-FFF2-40B4-BE49-F238E27FC236}">
                <a16:creationId xmlns:a16="http://schemas.microsoft.com/office/drawing/2014/main" id="{1DF5F521-D7B2-4042-94E2-2260F2C744CE}"/>
              </a:ext>
            </a:extLst>
          </xdr:cNvPr>
          <xdr:cNvCxnSpPr/>
        </xdr:nvCxnSpPr>
        <xdr:spPr>
          <a:xfrm flipH="1">
            <a:off x="757236" y="3424238"/>
            <a:ext cx="95250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" name="Straight Connector 56">
            <a:extLst>
              <a:ext uri="{FF2B5EF4-FFF2-40B4-BE49-F238E27FC236}">
                <a16:creationId xmlns:a16="http://schemas.microsoft.com/office/drawing/2014/main" id="{4D45A0D5-B3A1-442F-A686-1555210D1273}"/>
              </a:ext>
            </a:extLst>
          </xdr:cNvPr>
          <xdr:cNvCxnSpPr/>
        </xdr:nvCxnSpPr>
        <xdr:spPr>
          <a:xfrm flipV="1">
            <a:off x="1785938" y="1233488"/>
            <a:ext cx="0" cy="481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" name="Straight Connector 58">
            <a:extLst>
              <a:ext uri="{FF2B5EF4-FFF2-40B4-BE49-F238E27FC236}">
                <a16:creationId xmlns:a16="http://schemas.microsoft.com/office/drawing/2014/main" id="{44C8AA89-327A-423B-A68E-17146251E274}"/>
              </a:ext>
            </a:extLst>
          </xdr:cNvPr>
          <xdr:cNvCxnSpPr/>
        </xdr:nvCxnSpPr>
        <xdr:spPr>
          <a:xfrm flipH="1">
            <a:off x="1738313" y="1276350"/>
            <a:ext cx="95250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" name="Straight Connector 59">
            <a:extLst>
              <a:ext uri="{FF2B5EF4-FFF2-40B4-BE49-F238E27FC236}">
                <a16:creationId xmlns:a16="http://schemas.microsoft.com/office/drawing/2014/main" id="{7CB91B56-6DBF-4B05-A158-BB6F270ACE4D}"/>
              </a:ext>
            </a:extLst>
          </xdr:cNvPr>
          <xdr:cNvCxnSpPr/>
        </xdr:nvCxnSpPr>
        <xdr:spPr>
          <a:xfrm flipV="1">
            <a:off x="2428876" y="1233488"/>
            <a:ext cx="0" cy="481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" name="Straight Connector 60">
            <a:extLst>
              <a:ext uri="{FF2B5EF4-FFF2-40B4-BE49-F238E27FC236}">
                <a16:creationId xmlns:a16="http://schemas.microsoft.com/office/drawing/2014/main" id="{8A1F0445-5D08-4EDD-89AB-2644A901CC1E}"/>
              </a:ext>
            </a:extLst>
          </xdr:cNvPr>
          <xdr:cNvCxnSpPr/>
        </xdr:nvCxnSpPr>
        <xdr:spPr>
          <a:xfrm flipH="1">
            <a:off x="2381251" y="1276350"/>
            <a:ext cx="95250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" name="Straight Connector 61">
            <a:extLst>
              <a:ext uri="{FF2B5EF4-FFF2-40B4-BE49-F238E27FC236}">
                <a16:creationId xmlns:a16="http://schemas.microsoft.com/office/drawing/2014/main" id="{B7830992-D6CF-45FB-8130-D65E53C4EEF0}"/>
              </a:ext>
            </a:extLst>
          </xdr:cNvPr>
          <xdr:cNvCxnSpPr/>
        </xdr:nvCxnSpPr>
        <xdr:spPr>
          <a:xfrm flipV="1">
            <a:off x="4695826" y="1233488"/>
            <a:ext cx="0" cy="481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" name="Straight Connector 62">
            <a:extLst>
              <a:ext uri="{FF2B5EF4-FFF2-40B4-BE49-F238E27FC236}">
                <a16:creationId xmlns:a16="http://schemas.microsoft.com/office/drawing/2014/main" id="{1A89ECAB-AB72-43AF-89E3-102465EE4566}"/>
              </a:ext>
            </a:extLst>
          </xdr:cNvPr>
          <xdr:cNvCxnSpPr/>
        </xdr:nvCxnSpPr>
        <xdr:spPr>
          <a:xfrm flipH="1">
            <a:off x="4648201" y="1276350"/>
            <a:ext cx="95250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" name="Straight Connector 63">
            <a:extLst>
              <a:ext uri="{FF2B5EF4-FFF2-40B4-BE49-F238E27FC236}">
                <a16:creationId xmlns:a16="http://schemas.microsoft.com/office/drawing/2014/main" id="{E29E959D-6B6D-4791-869E-543CDFB0A98B}"/>
              </a:ext>
            </a:extLst>
          </xdr:cNvPr>
          <xdr:cNvCxnSpPr/>
        </xdr:nvCxnSpPr>
        <xdr:spPr>
          <a:xfrm flipV="1">
            <a:off x="5357812" y="1233487"/>
            <a:ext cx="0" cy="481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" name="Straight Connector 64">
            <a:extLst>
              <a:ext uri="{FF2B5EF4-FFF2-40B4-BE49-F238E27FC236}">
                <a16:creationId xmlns:a16="http://schemas.microsoft.com/office/drawing/2014/main" id="{C14E73EE-9DF6-434D-8F53-9E2F3D01E422}"/>
              </a:ext>
            </a:extLst>
          </xdr:cNvPr>
          <xdr:cNvCxnSpPr/>
        </xdr:nvCxnSpPr>
        <xdr:spPr>
          <a:xfrm flipH="1">
            <a:off x="5310187" y="1276349"/>
            <a:ext cx="95250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" name="Straight Connector 65">
            <a:extLst>
              <a:ext uri="{FF2B5EF4-FFF2-40B4-BE49-F238E27FC236}">
                <a16:creationId xmlns:a16="http://schemas.microsoft.com/office/drawing/2014/main" id="{DA7532E3-767C-4F68-AC55-6B767B7E017F}"/>
              </a:ext>
            </a:extLst>
          </xdr:cNvPr>
          <xdr:cNvCxnSpPr/>
        </xdr:nvCxnSpPr>
        <xdr:spPr>
          <a:xfrm flipH="1">
            <a:off x="1085850" y="990600"/>
            <a:ext cx="95250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" name="Straight Connector 66">
            <a:extLst>
              <a:ext uri="{FF2B5EF4-FFF2-40B4-BE49-F238E27FC236}">
                <a16:creationId xmlns:a16="http://schemas.microsoft.com/office/drawing/2014/main" id="{6FD04F1C-CE88-4786-B277-594CFE856D80}"/>
              </a:ext>
            </a:extLst>
          </xdr:cNvPr>
          <xdr:cNvCxnSpPr/>
        </xdr:nvCxnSpPr>
        <xdr:spPr>
          <a:xfrm flipH="1">
            <a:off x="1085850" y="1276350"/>
            <a:ext cx="95250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" name="Straight Connector 67">
            <a:extLst>
              <a:ext uri="{FF2B5EF4-FFF2-40B4-BE49-F238E27FC236}">
                <a16:creationId xmlns:a16="http://schemas.microsoft.com/office/drawing/2014/main" id="{3F2776B1-E828-4098-8E5B-FD839474EB3D}"/>
              </a:ext>
            </a:extLst>
          </xdr:cNvPr>
          <xdr:cNvCxnSpPr/>
        </xdr:nvCxnSpPr>
        <xdr:spPr>
          <a:xfrm flipV="1">
            <a:off x="5991225" y="971550"/>
            <a:ext cx="0" cy="69532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" name="Straight Connector 68">
            <a:extLst>
              <a:ext uri="{FF2B5EF4-FFF2-40B4-BE49-F238E27FC236}">
                <a16:creationId xmlns:a16="http://schemas.microsoft.com/office/drawing/2014/main" id="{F2B47436-10B7-4820-A12E-B41F52DDF590}"/>
              </a:ext>
            </a:extLst>
          </xdr:cNvPr>
          <xdr:cNvCxnSpPr/>
        </xdr:nvCxnSpPr>
        <xdr:spPr>
          <a:xfrm flipH="1">
            <a:off x="5943600" y="990600"/>
            <a:ext cx="95250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" name="Straight Connector 69">
            <a:extLst>
              <a:ext uri="{FF2B5EF4-FFF2-40B4-BE49-F238E27FC236}">
                <a16:creationId xmlns:a16="http://schemas.microsoft.com/office/drawing/2014/main" id="{D6CC142C-ECE6-49E7-97DC-A377D034EF65}"/>
              </a:ext>
            </a:extLst>
          </xdr:cNvPr>
          <xdr:cNvCxnSpPr/>
        </xdr:nvCxnSpPr>
        <xdr:spPr>
          <a:xfrm flipH="1">
            <a:off x="5943600" y="1276350"/>
            <a:ext cx="95250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" name="Straight Connector 73">
            <a:extLst>
              <a:ext uri="{FF2B5EF4-FFF2-40B4-BE49-F238E27FC236}">
                <a16:creationId xmlns:a16="http://schemas.microsoft.com/office/drawing/2014/main" id="{4EAFEF58-B90A-4CD5-92B0-58B464D47C26}"/>
              </a:ext>
            </a:extLst>
          </xdr:cNvPr>
          <xdr:cNvCxnSpPr/>
        </xdr:nvCxnSpPr>
        <xdr:spPr>
          <a:xfrm>
            <a:off x="3557587" y="1666875"/>
            <a:ext cx="0" cy="476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" name="Straight Connector 74">
            <a:extLst>
              <a:ext uri="{FF2B5EF4-FFF2-40B4-BE49-F238E27FC236}">
                <a16:creationId xmlns:a16="http://schemas.microsoft.com/office/drawing/2014/main" id="{DE6EAC84-40A3-476D-B7CA-D88C3E23E490}"/>
              </a:ext>
            </a:extLst>
          </xdr:cNvPr>
          <xdr:cNvCxnSpPr/>
        </xdr:nvCxnSpPr>
        <xdr:spPr>
          <a:xfrm flipH="1">
            <a:off x="3505201" y="1709737"/>
            <a:ext cx="95250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" name="Straight Connector 75">
            <a:extLst>
              <a:ext uri="{FF2B5EF4-FFF2-40B4-BE49-F238E27FC236}">
                <a16:creationId xmlns:a16="http://schemas.microsoft.com/office/drawing/2014/main" id="{CA61CB41-E65A-46A3-8D1D-C8F9EEF8CBCC}"/>
              </a:ext>
            </a:extLst>
          </xdr:cNvPr>
          <xdr:cNvCxnSpPr/>
        </xdr:nvCxnSpPr>
        <xdr:spPr>
          <a:xfrm flipH="1">
            <a:off x="3509964" y="2024065"/>
            <a:ext cx="95250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" name="Straight Connector 78">
            <a:extLst>
              <a:ext uri="{FF2B5EF4-FFF2-40B4-BE49-F238E27FC236}">
                <a16:creationId xmlns:a16="http://schemas.microsoft.com/office/drawing/2014/main" id="{73835AD4-7CC0-4208-8FB0-3B1F516D29CC}"/>
              </a:ext>
            </a:extLst>
          </xdr:cNvPr>
          <xdr:cNvCxnSpPr/>
        </xdr:nvCxnSpPr>
        <xdr:spPr>
          <a:xfrm>
            <a:off x="485775" y="1681162"/>
            <a:ext cx="0" cy="1857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" name="Straight Connector 79">
            <a:extLst>
              <a:ext uri="{FF2B5EF4-FFF2-40B4-BE49-F238E27FC236}">
                <a16:creationId xmlns:a16="http://schemas.microsoft.com/office/drawing/2014/main" id="{6039D878-2FB3-474B-BAE6-EED1D7D27E03}"/>
              </a:ext>
            </a:extLst>
          </xdr:cNvPr>
          <xdr:cNvCxnSpPr/>
        </xdr:nvCxnSpPr>
        <xdr:spPr>
          <a:xfrm flipH="1">
            <a:off x="433387" y="1704974"/>
            <a:ext cx="95250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" name="Straight Connector 80">
            <a:extLst>
              <a:ext uri="{FF2B5EF4-FFF2-40B4-BE49-F238E27FC236}">
                <a16:creationId xmlns:a16="http://schemas.microsoft.com/office/drawing/2014/main" id="{F18CDA11-A00B-404B-A8CA-2AC73D770A44}"/>
              </a:ext>
            </a:extLst>
          </xdr:cNvPr>
          <xdr:cNvCxnSpPr/>
        </xdr:nvCxnSpPr>
        <xdr:spPr>
          <a:xfrm flipH="1">
            <a:off x="433386" y="3419475"/>
            <a:ext cx="95250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" name="Straight Connector 82">
            <a:extLst>
              <a:ext uri="{FF2B5EF4-FFF2-40B4-BE49-F238E27FC236}">
                <a16:creationId xmlns:a16="http://schemas.microsoft.com/office/drawing/2014/main" id="{43245289-64F8-4D2B-B354-EEE511268568}"/>
              </a:ext>
            </a:extLst>
          </xdr:cNvPr>
          <xdr:cNvCxnSpPr/>
        </xdr:nvCxnSpPr>
        <xdr:spPr>
          <a:xfrm>
            <a:off x="719138" y="2071688"/>
            <a:ext cx="168116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" name="Straight Connector 85">
            <a:extLst>
              <a:ext uri="{FF2B5EF4-FFF2-40B4-BE49-F238E27FC236}">
                <a16:creationId xmlns:a16="http://schemas.microsoft.com/office/drawing/2014/main" id="{5E34E782-7E15-4E90-BA13-F5008A6F2F0D}"/>
              </a:ext>
            </a:extLst>
          </xdr:cNvPr>
          <xdr:cNvCxnSpPr/>
        </xdr:nvCxnSpPr>
        <xdr:spPr>
          <a:xfrm flipH="1">
            <a:off x="757237" y="2024061"/>
            <a:ext cx="95250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" name="Straight Connector 86">
            <a:extLst>
              <a:ext uri="{FF2B5EF4-FFF2-40B4-BE49-F238E27FC236}">
                <a16:creationId xmlns:a16="http://schemas.microsoft.com/office/drawing/2014/main" id="{2E6A1A44-EB7F-4A86-9632-3335EED6E617}"/>
              </a:ext>
            </a:extLst>
          </xdr:cNvPr>
          <xdr:cNvCxnSpPr/>
        </xdr:nvCxnSpPr>
        <xdr:spPr>
          <a:xfrm>
            <a:off x="723894" y="3138489"/>
            <a:ext cx="168116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" name="Straight Connector 87">
            <a:extLst>
              <a:ext uri="{FF2B5EF4-FFF2-40B4-BE49-F238E27FC236}">
                <a16:creationId xmlns:a16="http://schemas.microsoft.com/office/drawing/2014/main" id="{2FC8589C-11E2-44BF-B559-662D8B496275}"/>
              </a:ext>
            </a:extLst>
          </xdr:cNvPr>
          <xdr:cNvCxnSpPr/>
        </xdr:nvCxnSpPr>
        <xdr:spPr>
          <a:xfrm flipH="1">
            <a:off x="761993" y="3090862"/>
            <a:ext cx="95250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" name="Straight Connector 117">
            <a:extLst>
              <a:ext uri="{FF2B5EF4-FFF2-40B4-BE49-F238E27FC236}">
                <a16:creationId xmlns:a16="http://schemas.microsoft.com/office/drawing/2014/main" id="{A5583393-82A7-4B5D-833B-CF59DAC2ED8A}"/>
              </a:ext>
            </a:extLst>
          </xdr:cNvPr>
          <xdr:cNvCxnSpPr/>
        </xdr:nvCxnSpPr>
        <xdr:spPr>
          <a:xfrm>
            <a:off x="5191125" y="2857500"/>
            <a:ext cx="762000" cy="9525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" name="Straight Connector 50">
            <a:extLst>
              <a:ext uri="{FF2B5EF4-FFF2-40B4-BE49-F238E27FC236}">
                <a16:creationId xmlns:a16="http://schemas.microsoft.com/office/drawing/2014/main" id="{E967B058-52B3-4FFA-8143-EA68ACD7E110}"/>
              </a:ext>
            </a:extLst>
          </xdr:cNvPr>
          <xdr:cNvCxnSpPr/>
        </xdr:nvCxnSpPr>
        <xdr:spPr>
          <a:xfrm>
            <a:off x="2466975" y="2066925"/>
            <a:ext cx="247650" cy="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" name="Straight Connector 136">
            <a:extLst>
              <a:ext uri="{FF2B5EF4-FFF2-40B4-BE49-F238E27FC236}">
                <a16:creationId xmlns:a16="http://schemas.microsoft.com/office/drawing/2014/main" id="{04A9370E-7BB0-4239-B563-B26B85AAF88C}"/>
              </a:ext>
            </a:extLst>
          </xdr:cNvPr>
          <xdr:cNvCxnSpPr/>
        </xdr:nvCxnSpPr>
        <xdr:spPr>
          <a:xfrm>
            <a:off x="4410075" y="2066925"/>
            <a:ext cx="247650" cy="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" name="Straight Connector 137">
            <a:extLst>
              <a:ext uri="{FF2B5EF4-FFF2-40B4-BE49-F238E27FC236}">
                <a16:creationId xmlns:a16="http://schemas.microsoft.com/office/drawing/2014/main" id="{E61692F6-3E59-4746-9FFE-2C71B6A883A8}"/>
              </a:ext>
            </a:extLst>
          </xdr:cNvPr>
          <xdr:cNvCxnSpPr/>
        </xdr:nvCxnSpPr>
        <xdr:spPr>
          <a:xfrm>
            <a:off x="2466975" y="3143250"/>
            <a:ext cx="247650" cy="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9" name="Straight Connector 138">
            <a:extLst>
              <a:ext uri="{FF2B5EF4-FFF2-40B4-BE49-F238E27FC236}">
                <a16:creationId xmlns:a16="http://schemas.microsoft.com/office/drawing/2014/main" id="{76848446-8870-4FB7-8F40-06F07A7A1AED}"/>
              </a:ext>
            </a:extLst>
          </xdr:cNvPr>
          <xdr:cNvCxnSpPr/>
        </xdr:nvCxnSpPr>
        <xdr:spPr>
          <a:xfrm>
            <a:off x="4410075" y="3143250"/>
            <a:ext cx="247650" cy="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B1B3A9A8-9607-4418-A360-DE1DDD8E230D}"/>
              </a:ext>
            </a:extLst>
          </xdr:cNvPr>
          <xdr:cNvCxnSpPr/>
        </xdr:nvCxnSpPr>
        <xdr:spPr>
          <a:xfrm>
            <a:off x="6034088" y="1752600"/>
            <a:ext cx="8286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" name="Straight Connector 40">
            <a:extLst>
              <a:ext uri="{FF2B5EF4-FFF2-40B4-BE49-F238E27FC236}">
                <a16:creationId xmlns:a16="http://schemas.microsoft.com/office/drawing/2014/main" id="{AA4A446E-2DB7-4220-85EB-2F7B846E3B5D}"/>
              </a:ext>
            </a:extLst>
          </xdr:cNvPr>
          <xdr:cNvCxnSpPr/>
        </xdr:nvCxnSpPr>
        <xdr:spPr>
          <a:xfrm>
            <a:off x="5405438" y="3462338"/>
            <a:ext cx="14573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" name="Straight Connector 70">
            <a:extLst>
              <a:ext uri="{FF2B5EF4-FFF2-40B4-BE49-F238E27FC236}">
                <a16:creationId xmlns:a16="http://schemas.microsoft.com/office/drawing/2014/main" id="{FA6C711F-29B8-4449-99A8-41B41A30BD6B}"/>
              </a:ext>
            </a:extLst>
          </xdr:cNvPr>
          <xdr:cNvCxnSpPr/>
        </xdr:nvCxnSpPr>
        <xdr:spPr>
          <a:xfrm>
            <a:off x="6477000" y="1681163"/>
            <a:ext cx="0" cy="18621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" name="Straight Connector 123">
            <a:extLst>
              <a:ext uri="{FF2B5EF4-FFF2-40B4-BE49-F238E27FC236}">
                <a16:creationId xmlns:a16="http://schemas.microsoft.com/office/drawing/2014/main" id="{C3095B9B-BE7D-4CE9-AC09-0CB558B9DFB8}"/>
              </a:ext>
            </a:extLst>
          </xdr:cNvPr>
          <xdr:cNvCxnSpPr/>
        </xdr:nvCxnSpPr>
        <xdr:spPr>
          <a:xfrm flipH="1">
            <a:off x="6429375" y="1709737"/>
            <a:ext cx="95250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2" name="Straight Connector 251">
            <a:extLst>
              <a:ext uri="{FF2B5EF4-FFF2-40B4-BE49-F238E27FC236}">
                <a16:creationId xmlns:a16="http://schemas.microsoft.com/office/drawing/2014/main" id="{D0CF2206-5E72-4436-AAA7-369509AB1D3A}"/>
              </a:ext>
            </a:extLst>
          </xdr:cNvPr>
          <xdr:cNvCxnSpPr/>
        </xdr:nvCxnSpPr>
        <xdr:spPr>
          <a:xfrm flipH="1">
            <a:off x="6424613" y="3419475"/>
            <a:ext cx="95250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4" name="Straight Connector 253">
            <a:extLst>
              <a:ext uri="{FF2B5EF4-FFF2-40B4-BE49-F238E27FC236}">
                <a16:creationId xmlns:a16="http://schemas.microsoft.com/office/drawing/2014/main" id="{26F10FFF-E23D-45D6-BFBD-7FDAE8AACBF2}"/>
              </a:ext>
            </a:extLst>
          </xdr:cNvPr>
          <xdr:cNvCxnSpPr/>
        </xdr:nvCxnSpPr>
        <xdr:spPr>
          <a:xfrm>
            <a:off x="6800850" y="1681163"/>
            <a:ext cx="0" cy="18621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6" name="Straight Connector 255">
            <a:extLst>
              <a:ext uri="{FF2B5EF4-FFF2-40B4-BE49-F238E27FC236}">
                <a16:creationId xmlns:a16="http://schemas.microsoft.com/office/drawing/2014/main" id="{5A2CE89F-1136-40A7-B223-FF0F7C8E7C4E}"/>
              </a:ext>
            </a:extLst>
          </xdr:cNvPr>
          <xdr:cNvCxnSpPr/>
        </xdr:nvCxnSpPr>
        <xdr:spPr>
          <a:xfrm flipH="1">
            <a:off x="6753225" y="1709737"/>
            <a:ext cx="95250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8" name="Straight Connector 257">
            <a:extLst>
              <a:ext uri="{FF2B5EF4-FFF2-40B4-BE49-F238E27FC236}">
                <a16:creationId xmlns:a16="http://schemas.microsoft.com/office/drawing/2014/main" id="{4CB20CE3-1A8B-4E8E-A42C-49C5965F4E84}"/>
              </a:ext>
            </a:extLst>
          </xdr:cNvPr>
          <xdr:cNvCxnSpPr/>
        </xdr:nvCxnSpPr>
        <xdr:spPr>
          <a:xfrm flipH="1">
            <a:off x="6748463" y="3419475"/>
            <a:ext cx="95250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" name="Straight Connector 192">
            <a:extLst>
              <a:ext uri="{FF2B5EF4-FFF2-40B4-BE49-F238E27FC236}">
                <a16:creationId xmlns:a16="http://schemas.microsoft.com/office/drawing/2014/main" id="{992255BA-1D1C-43C5-B155-D3B76435E72E}"/>
              </a:ext>
            </a:extLst>
          </xdr:cNvPr>
          <xdr:cNvCxnSpPr/>
        </xdr:nvCxnSpPr>
        <xdr:spPr>
          <a:xfrm>
            <a:off x="4714875" y="3138488"/>
            <a:ext cx="18430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1" name="Straight Connector 260">
            <a:extLst>
              <a:ext uri="{FF2B5EF4-FFF2-40B4-BE49-F238E27FC236}">
                <a16:creationId xmlns:a16="http://schemas.microsoft.com/office/drawing/2014/main" id="{32D9248C-4328-4F01-9BF5-DB70EC0EC2A3}"/>
              </a:ext>
            </a:extLst>
          </xdr:cNvPr>
          <xdr:cNvCxnSpPr/>
        </xdr:nvCxnSpPr>
        <xdr:spPr>
          <a:xfrm flipH="1">
            <a:off x="6424613" y="3100387"/>
            <a:ext cx="95250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3" name="Straight Connector 262">
            <a:extLst>
              <a:ext uri="{FF2B5EF4-FFF2-40B4-BE49-F238E27FC236}">
                <a16:creationId xmlns:a16="http://schemas.microsoft.com/office/drawing/2014/main" id="{289CA421-C37E-406F-A7EA-DA63F7963F56}"/>
              </a:ext>
            </a:extLst>
          </xdr:cNvPr>
          <xdr:cNvCxnSpPr/>
        </xdr:nvCxnSpPr>
        <xdr:spPr>
          <a:xfrm>
            <a:off x="4714878" y="2066926"/>
            <a:ext cx="18430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4" name="Straight Connector 263">
            <a:extLst>
              <a:ext uri="{FF2B5EF4-FFF2-40B4-BE49-F238E27FC236}">
                <a16:creationId xmlns:a16="http://schemas.microsoft.com/office/drawing/2014/main" id="{3371C131-5967-43CE-8A97-FE55C74784D3}"/>
              </a:ext>
            </a:extLst>
          </xdr:cNvPr>
          <xdr:cNvCxnSpPr/>
        </xdr:nvCxnSpPr>
        <xdr:spPr>
          <a:xfrm flipH="1">
            <a:off x="6424616" y="2028825"/>
            <a:ext cx="95250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677EE-FB64-4983-8E23-E4B341FE340F}">
  <sheetPr>
    <pageSetUpPr fitToPage="1"/>
  </sheetPr>
  <dimension ref="B1:BE266"/>
  <sheetViews>
    <sheetView showGridLines="0" tabSelected="1" zoomScaleNormal="100" workbookViewId="0">
      <selection activeCell="AY13" sqref="AY13"/>
    </sheetView>
  </sheetViews>
  <sheetFormatPr defaultRowHeight="11.25" x14ac:dyDescent="0.2"/>
  <cols>
    <col min="1" max="276" width="2.83203125" style="1" customWidth="1"/>
    <col min="277" max="16384" width="9.33203125" style="1"/>
  </cols>
  <sheetData>
    <row r="1" spans="2:46" ht="12" thickBot="1" x14ac:dyDescent="0.25"/>
    <row r="2" spans="2:46" ht="47.25" customHeight="1" x14ac:dyDescent="0.2">
      <c r="B2" s="58" t="s">
        <v>111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60"/>
    </row>
    <row r="3" spans="2:46" x14ac:dyDescent="0.2">
      <c r="B3" s="2"/>
      <c r="C3" s="3"/>
      <c r="D3" s="6" t="s">
        <v>83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4" t="s">
        <v>29</v>
      </c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5"/>
    </row>
    <row r="4" spans="2:46" x14ac:dyDescent="0.2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 t="s">
        <v>4</v>
      </c>
      <c r="U4" s="3"/>
      <c r="V4" s="49">
        <f>+I6+M6+V6+AE6+AI6</f>
        <v>16.5</v>
      </c>
      <c r="W4" s="49"/>
      <c r="X4" s="3" t="s">
        <v>0</v>
      </c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5"/>
    </row>
    <row r="5" spans="2:46" x14ac:dyDescent="0.2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5"/>
    </row>
    <row r="6" spans="2:46" x14ac:dyDescent="0.2">
      <c r="B6" s="2"/>
      <c r="C6" s="3"/>
      <c r="D6" s="3"/>
      <c r="E6" s="3"/>
      <c r="F6" s="3"/>
      <c r="G6" s="3"/>
      <c r="H6" s="3"/>
      <c r="I6" s="49">
        <f>C14*H15/G13</f>
        <v>3.9</v>
      </c>
      <c r="J6" s="49"/>
      <c r="K6" s="3" t="s">
        <v>0</v>
      </c>
      <c r="L6" s="3"/>
      <c r="M6" s="49">
        <f>+M23</f>
        <v>2.5</v>
      </c>
      <c r="N6" s="49"/>
      <c r="O6" s="3" t="s">
        <v>0</v>
      </c>
      <c r="P6" s="3"/>
      <c r="Q6" s="3"/>
      <c r="R6" s="3"/>
      <c r="S6" s="3"/>
      <c r="T6" s="3"/>
      <c r="U6" s="3"/>
      <c r="V6" s="49">
        <f>+P23+V23+AB23</f>
        <v>3.7</v>
      </c>
      <c r="W6" s="49"/>
      <c r="X6" s="3" t="s">
        <v>0</v>
      </c>
      <c r="Y6" s="3"/>
      <c r="Z6" s="3"/>
      <c r="AA6" s="3"/>
      <c r="AB6" s="3"/>
      <c r="AC6" s="3"/>
      <c r="AD6" s="3"/>
      <c r="AE6" s="49">
        <f>+AE23</f>
        <v>2.5</v>
      </c>
      <c r="AF6" s="49"/>
      <c r="AG6" s="3" t="s">
        <v>0</v>
      </c>
      <c r="AH6" s="3"/>
      <c r="AI6" s="49">
        <f>AP15*AJ15/AK13</f>
        <v>3.9</v>
      </c>
      <c r="AJ6" s="49"/>
      <c r="AK6" s="3" t="s">
        <v>0</v>
      </c>
      <c r="AL6" s="3"/>
      <c r="AM6" s="64" t="s">
        <v>121</v>
      </c>
      <c r="AN6" s="64"/>
      <c r="AO6" s="64"/>
      <c r="AP6" s="64"/>
      <c r="AQ6" s="64"/>
      <c r="AR6" s="64"/>
      <c r="AS6" s="64"/>
      <c r="AT6" s="5"/>
    </row>
    <row r="7" spans="2:46" x14ac:dyDescent="0.2"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64"/>
      <c r="AN7" s="64"/>
      <c r="AO7" s="64"/>
      <c r="AP7" s="64"/>
      <c r="AQ7" s="64"/>
      <c r="AR7" s="64"/>
      <c r="AS7" s="64"/>
      <c r="AT7" s="5"/>
    </row>
    <row r="8" spans="2:46" x14ac:dyDescent="0.2"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64"/>
      <c r="AN8" s="64"/>
      <c r="AO8" s="64"/>
      <c r="AP8" s="64"/>
      <c r="AQ8" s="64"/>
      <c r="AR8" s="64"/>
      <c r="AS8" s="64"/>
      <c r="AT8" s="5"/>
    </row>
    <row r="9" spans="2:46" ht="11.25" customHeight="1" x14ac:dyDescent="0.2"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49">
        <f>+D10</f>
        <v>0.2</v>
      </c>
      <c r="W9" s="49"/>
      <c r="X9" s="3" t="s">
        <v>0</v>
      </c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T9" s="5"/>
    </row>
    <row r="10" spans="2:46" x14ac:dyDescent="0.2">
      <c r="B10" s="2"/>
      <c r="C10" s="3"/>
      <c r="D10" s="50">
        <v>0.2</v>
      </c>
      <c r="E10" s="50"/>
      <c r="F10" s="49" t="s">
        <v>0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71">
        <f>+D10</f>
        <v>0.2</v>
      </c>
      <c r="AN10" s="71"/>
      <c r="AO10" s="71" t="s">
        <v>0</v>
      </c>
      <c r="AT10" s="5"/>
    </row>
    <row r="11" spans="2:46" x14ac:dyDescent="0.2">
      <c r="B11" s="2"/>
      <c r="C11" s="3"/>
      <c r="D11" s="50"/>
      <c r="E11" s="50"/>
      <c r="F11" s="49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71"/>
      <c r="AN11" s="71"/>
      <c r="AO11" s="71"/>
      <c r="AT11" s="5"/>
    </row>
    <row r="12" spans="2:46" x14ac:dyDescent="0.2"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5"/>
    </row>
    <row r="13" spans="2:46" x14ac:dyDescent="0.2">
      <c r="B13" s="2"/>
      <c r="C13" s="8" t="s">
        <v>0</v>
      </c>
      <c r="D13" s="3"/>
      <c r="F13" s="3"/>
      <c r="G13" s="50">
        <v>1</v>
      </c>
      <c r="H13" s="50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50">
        <v>1</v>
      </c>
      <c r="AL13" s="50"/>
      <c r="AM13" s="3"/>
      <c r="AN13" s="3"/>
      <c r="AO13" s="3"/>
      <c r="AP13" s="3"/>
      <c r="AQ13" s="3"/>
      <c r="AR13" s="3"/>
      <c r="AS13" s="3"/>
      <c r="AT13" s="5"/>
    </row>
    <row r="14" spans="2:46" x14ac:dyDescent="0.2">
      <c r="B14" s="2"/>
      <c r="C14" s="61">
        <v>3.9</v>
      </c>
      <c r="E14" s="8" t="s">
        <v>0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8" t="s">
        <v>0</v>
      </c>
      <c r="AO14" s="3"/>
      <c r="AP14" s="8" t="s">
        <v>0</v>
      </c>
      <c r="AQ14" s="3"/>
      <c r="AR14" s="3"/>
      <c r="AS14" s="3"/>
      <c r="AT14" s="5"/>
    </row>
    <row r="15" spans="2:46" x14ac:dyDescent="0.2">
      <c r="B15" s="2"/>
      <c r="C15" s="61"/>
      <c r="E15" s="68">
        <f>+C14-D10-D20</f>
        <v>3.4999999999999996</v>
      </c>
      <c r="F15" s="3"/>
      <c r="G15" s="3"/>
      <c r="H15" s="50">
        <v>1</v>
      </c>
      <c r="I15" s="50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50">
        <v>1</v>
      </c>
      <c r="AK15" s="50"/>
      <c r="AL15" s="3"/>
      <c r="AM15" s="3"/>
      <c r="AN15" s="68">
        <f>+E15</f>
        <v>3.4999999999999996</v>
      </c>
      <c r="AO15" s="3"/>
      <c r="AP15" s="68">
        <f>+C14</f>
        <v>3.9</v>
      </c>
      <c r="AQ15" s="3"/>
      <c r="AR15" s="3"/>
      <c r="AS15" s="3"/>
      <c r="AT15" s="5"/>
    </row>
    <row r="16" spans="2:46" x14ac:dyDescent="0.2">
      <c r="B16" s="2"/>
      <c r="C16" s="61"/>
      <c r="E16" s="68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68"/>
      <c r="AO16" s="3"/>
      <c r="AP16" s="68"/>
      <c r="AQ16" s="3"/>
      <c r="AR16" s="3"/>
      <c r="AS16" s="3"/>
      <c r="AT16" s="5"/>
    </row>
    <row r="17" spans="2:46" x14ac:dyDescent="0.2">
      <c r="B17" s="2"/>
      <c r="C17" s="3"/>
      <c r="E17" s="68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68"/>
      <c r="AO17" s="3"/>
      <c r="AP17" s="68"/>
      <c r="AQ17" s="3"/>
      <c r="AR17" s="3"/>
      <c r="AS17" s="3"/>
      <c r="AT17" s="5"/>
    </row>
    <row r="18" spans="2:46" x14ac:dyDescent="0.2">
      <c r="B18" s="2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5"/>
    </row>
    <row r="19" spans="2:46" x14ac:dyDescent="0.2"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S19" s="3"/>
      <c r="AT19" s="5"/>
    </row>
    <row r="20" spans="2:46" x14ac:dyDescent="0.2">
      <c r="B20" s="2"/>
      <c r="C20" s="3"/>
      <c r="D20" s="50">
        <v>0.2</v>
      </c>
      <c r="E20" s="50"/>
      <c r="F20" s="49" t="s">
        <v>0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M20" s="71">
        <f>+D20</f>
        <v>0.2</v>
      </c>
      <c r="AN20" s="71"/>
      <c r="AO20" s="71" t="s">
        <v>0</v>
      </c>
      <c r="AS20" s="3"/>
      <c r="AT20" s="5"/>
    </row>
    <row r="21" spans="2:46" x14ac:dyDescent="0.2">
      <c r="B21" s="2"/>
      <c r="C21" s="3"/>
      <c r="D21" s="50"/>
      <c r="E21" s="50"/>
      <c r="F21" s="49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M21" s="71"/>
      <c r="AN21" s="71"/>
      <c r="AO21" s="71"/>
      <c r="AS21" s="3"/>
      <c r="AT21" s="5"/>
    </row>
    <row r="22" spans="2:46" x14ac:dyDescent="0.2">
      <c r="B22" s="2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S22" s="3"/>
      <c r="AT22" s="5"/>
    </row>
    <row r="23" spans="2:46" x14ac:dyDescent="0.2">
      <c r="B23" s="2"/>
      <c r="J23" s="3"/>
      <c r="K23" s="3"/>
      <c r="L23" s="3"/>
      <c r="M23" s="50">
        <v>2.5</v>
      </c>
      <c r="N23" s="50"/>
      <c r="O23" s="3" t="s">
        <v>0</v>
      </c>
      <c r="P23" s="50">
        <v>0.2</v>
      </c>
      <c r="Q23" s="50"/>
      <c r="R23" s="3" t="s">
        <v>0</v>
      </c>
      <c r="S23" s="3"/>
      <c r="T23" s="3"/>
      <c r="U23" s="3"/>
      <c r="V23" s="50">
        <v>3.3</v>
      </c>
      <c r="W23" s="50"/>
      <c r="X23" s="3" t="s">
        <v>0</v>
      </c>
      <c r="Y23" s="3"/>
      <c r="Z23" s="3"/>
      <c r="AA23" s="3"/>
      <c r="AB23" s="49">
        <f>+P23</f>
        <v>0.2</v>
      </c>
      <c r="AC23" s="49"/>
      <c r="AD23" s="3" t="s">
        <v>0</v>
      </c>
      <c r="AE23" s="50">
        <v>2.5</v>
      </c>
      <c r="AF23" s="50"/>
      <c r="AG23" s="3" t="s">
        <v>0</v>
      </c>
      <c r="AH23" s="3"/>
      <c r="AI23" s="3"/>
      <c r="AJ23" s="3"/>
      <c r="AK23" s="3"/>
      <c r="AS23" s="3"/>
      <c r="AT23" s="5"/>
    </row>
    <row r="24" spans="2:46" x14ac:dyDescent="0.2">
      <c r="B24" s="2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64" t="s">
        <v>30</v>
      </c>
      <c r="AL24" s="64"/>
      <c r="AM24" s="64"/>
      <c r="AN24" s="64"/>
      <c r="AO24" s="64"/>
      <c r="AP24" s="64"/>
      <c r="AQ24" s="64"/>
      <c r="AR24" s="3"/>
      <c r="AS24" s="3"/>
      <c r="AT24" s="5"/>
    </row>
    <row r="25" spans="2:46" x14ac:dyDescent="0.2">
      <c r="B25" s="2"/>
      <c r="J25" s="3"/>
      <c r="K25" s="3"/>
      <c r="L25" s="3"/>
      <c r="M25" s="3"/>
      <c r="N25" s="3"/>
      <c r="O25" s="3"/>
      <c r="P25" s="3"/>
      <c r="Q25" s="3"/>
      <c r="R25" s="3"/>
      <c r="S25" s="3"/>
      <c r="T25" s="3" t="s">
        <v>3</v>
      </c>
      <c r="U25" s="3"/>
      <c r="V25" s="49">
        <f>+M23+P23+V23+AB23+AE23</f>
        <v>8.6999999999999993</v>
      </c>
      <c r="W25" s="49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64"/>
      <c r="AL25" s="64"/>
      <c r="AM25" s="64"/>
      <c r="AN25" s="64"/>
      <c r="AO25" s="64"/>
      <c r="AP25" s="64"/>
      <c r="AQ25" s="64"/>
      <c r="AR25" s="3"/>
      <c r="AS25" s="3"/>
      <c r="AT25" s="5"/>
    </row>
    <row r="26" spans="2:46" x14ac:dyDescent="0.2">
      <c r="B26" s="2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64"/>
      <c r="AL26" s="64"/>
      <c r="AM26" s="64"/>
      <c r="AN26" s="64"/>
      <c r="AO26" s="64"/>
      <c r="AP26" s="64"/>
      <c r="AQ26" s="64"/>
      <c r="AR26" s="3"/>
      <c r="AS26" s="3"/>
      <c r="AT26" s="5"/>
    </row>
    <row r="27" spans="2:46" x14ac:dyDescent="0.2"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 t="s">
        <v>5</v>
      </c>
      <c r="T27" s="3"/>
      <c r="U27" s="3"/>
      <c r="V27" s="3"/>
      <c r="W27" s="3"/>
      <c r="X27" s="3"/>
      <c r="Y27" s="3"/>
      <c r="Z27" s="3"/>
      <c r="AA27" s="50">
        <v>32</v>
      </c>
      <c r="AB27" s="50"/>
      <c r="AC27" s="3" t="s">
        <v>0</v>
      </c>
      <c r="AD27" s="3"/>
      <c r="AE27" s="3"/>
      <c r="AF27" s="3"/>
      <c r="AG27" s="3"/>
      <c r="AH27" s="3"/>
      <c r="AI27" s="3"/>
      <c r="AJ27" s="3"/>
      <c r="AK27" s="64"/>
      <c r="AL27" s="64"/>
      <c r="AM27" s="64"/>
      <c r="AN27" s="64"/>
      <c r="AO27" s="64"/>
      <c r="AP27" s="64"/>
      <c r="AQ27" s="64"/>
      <c r="AR27" s="3"/>
      <c r="AS27" s="3"/>
      <c r="AT27" s="5"/>
    </row>
    <row r="28" spans="2:46" x14ac:dyDescent="0.2">
      <c r="B28" s="2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7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5"/>
    </row>
    <row r="29" spans="2:46" x14ac:dyDescent="0.2">
      <c r="B29" s="2"/>
      <c r="C29" s="6" t="s">
        <v>2</v>
      </c>
      <c r="AT29" s="5"/>
    </row>
    <row r="30" spans="2:46" x14ac:dyDescent="0.2">
      <c r="B30" s="2"/>
      <c r="C30" s="1" t="s">
        <v>15</v>
      </c>
      <c r="D30" s="71">
        <f>+V25</f>
        <v>8.6999999999999993</v>
      </c>
      <c r="E30" s="71"/>
      <c r="F30" s="11" t="s">
        <v>6</v>
      </c>
      <c r="G30" s="71">
        <f>+V4</f>
        <v>16.5</v>
      </c>
      <c r="H30" s="71"/>
      <c r="I30" s="1" t="s">
        <v>38</v>
      </c>
      <c r="J30" s="1">
        <v>2</v>
      </c>
      <c r="K30" s="11" t="s">
        <v>9</v>
      </c>
      <c r="L30" s="71">
        <f>+C14</f>
        <v>3.9</v>
      </c>
      <c r="M30" s="71"/>
      <c r="N30" s="11" t="s">
        <v>9</v>
      </c>
      <c r="O30" s="71">
        <f>+AA27</f>
        <v>32</v>
      </c>
      <c r="P30" s="71"/>
      <c r="Q30" s="43" t="s">
        <v>7</v>
      </c>
      <c r="R30" s="97">
        <f>(D30+G30)/J30*L30*O30</f>
        <v>1572.48</v>
      </c>
      <c r="S30" s="97"/>
      <c r="T30" s="97"/>
      <c r="U30" s="97"/>
      <c r="V30" s="10" t="s">
        <v>13</v>
      </c>
      <c r="Y30" s="1" t="s">
        <v>42</v>
      </c>
      <c r="AT30" s="5"/>
    </row>
    <row r="31" spans="2:46" x14ac:dyDescent="0.2">
      <c r="B31" s="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5"/>
    </row>
    <row r="32" spans="2:46" x14ac:dyDescent="0.2">
      <c r="B32" s="2"/>
      <c r="C32" s="6" t="s">
        <v>14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5"/>
    </row>
    <row r="33" spans="2:46" x14ac:dyDescent="0.2">
      <c r="B33" s="2"/>
      <c r="C33" s="3" t="s">
        <v>15</v>
      </c>
      <c r="D33" s="49">
        <f>+V23</f>
        <v>3.3</v>
      </c>
      <c r="E33" s="49"/>
      <c r="F33" s="9" t="s">
        <v>6</v>
      </c>
      <c r="G33" s="49">
        <f>+C14</f>
        <v>3.9</v>
      </c>
      <c r="H33" s="49"/>
      <c r="I33" s="9" t="s">
        <v>6</v>
      </c>
      <c r="J33" s="49">
        <f>+C14</f>
        <v>3.9</v>
      </c>
      <c r="K33" s="49"/>
      <c r="L33" s="9" t="s">
        <v>6</v>
      </c>
      <c r="M33" s="49">
        <f>+E15</f>
        <v>3.4999999999999996</v>
      </c>
      <c r="N33" s="49"/>
      <c r="O33" s="9" t="s">
        <v>6</v>
      </c>
      <c r="P33" s="49">
        <f>+E15</f>
        <v>3.4999999999999996</v>
      </c>
      <c r="Q33" s="49"/>
      <c r="R33" s="9" t="s">
        <v>10</v>
      </c>
      <c r="S33" s="49">
        <f>+AA27</f>
        <v>32</v>
      </c>
      <c r="T33" s="49"/>
      <c r="U33" s="3" t="s">
        <v>11</v>
      </c>
      <c r="V33" s="49">
        <f>+V6</f>
        <v>3.7</v>
      </c>
      <c r="W33" s="49"/>
      <c r="X33" s="9" t="s">
        <v>9</v>
      </c>
      <c r="Y33" s="49">
        <f>+C14</f>
        <v>3.9</v>
      </c>
      <c r="Z33" s="49"/>
      <c r="AA33" s="9" t="s">
        <v>16</v>
      </c>
      <c r="AB33" s="49">
        <f>+V23</f>
        <v>3.3</v>
      </c>
      <c r="AC33" s="49"/>
      <c r="AD33" s="9" t="s">
        <v>9</v>
      </c>
      <c r="AE33" s="49">
        <f>+E15</f>
        <v>3.4999999999999996</v>
      </c>
      <c r="AF33" s="49"/>
      <c r="AG33" s="3" t="s">
        <v>10</v>
      </c>
      <c r="AH33" s="3">
        <v>2</v>
      </c>
      <c r="AI33" s="9" t="s">
        <v>7</v>
      </c>
      <c r="AJ33" s="57">
        <f>(D33+G33+J33+M33+P33)*S33+(V33*Y33-AB33*AE33)*AH33</f>
        <v>584.95999999999992</v>
      </c>
      <c r="AK33" s="57"/>
      <c r="AL33" s="57"/>
      <c r="AM33" s="57"/>
      <c r="AN33" s="10" t="s">
        <v>17</v>
      </c>
      <c r="AO33" s="3"/>
      <c r="AP33" s="3"/>
      <c r="AQ33" s="3"/>
      <c r="AR33" s="3"/>
      <c r="AS33" s="3"/>
      <c r="AT33" s="5"/>
    </row>
    <row r="34" spans="2:46" x14ac:dyDescent="0.2">
      <c r="B34" s="2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5"/>
    </row>
    <row r="35" spans="2:46" x14ac:dyDescent="0.2">
      <c r="B35" s="2"/>
      <c r="C35" s="6" t="s">
        <v>18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5"/>
    </row>
    <row r="36" spans="2:46" x14ac:dyDescent="0.2">
      <c r="B36" s="2"/>
      <c r="C36" s="3" t="s">
        <v>15</v>
      </c>
      <c r="D36" s="49">
        <f>+V6</f>
        <v>3.7</v>
      </c>
      <c r="E36" s="49"/>
      <c r="F36" s="9" t="s">
        <v>9</v>
      </c>
      <c r="G36" s="49">
        <f>+C14</f>
        <v>3.9</v>
      </c>
      <c r="H36" s="49"/>
      <c r="I36" s="9" t="s">
        <v>16</v>
      </c>
      <c r="J36" s="49">
        <f>+V23</f>
        <v>3.3</v>
      </c>
      <c r="K36" s="49"/>
      <c r="L36" s="9" t="s">
        <v>9</v>
      </c>
      <c r="M36" s="49">
        <f>+E15</f>
        <v>3.4999999999999996</v>
      </c>
      <c r="N36" s="49"/>
      <c r="O36" s="3" t="s">
        <v>10</v>
      </c>
      <c r="P36" s="49">
        <f>+AA27</f>
        <v>32</v>
      </c>
      <c r="Q36" s="49"/>
      <c r="R36" s="9" t="s">
        <v>7</v>
      </c>
      <c r="S36" s="57">
        <f>(D36*G36-J36*M36)*P36</f>
        <v>92.160000000000082</v>
      </c>
      <c r="T36" s="57"/>
      <c r="U36" s="57"/>
      <c r="V36" s="57"/>
      <c r="W36" s="10" t="s">
        <v>13</v>
      </c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5"/>
    </row>
    <row r="37" spans="2:46" x14ac:dyDescent="0.2">
      <c r="B37" s="2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5"/>
    </row>
    <row r="38" spans="2:46" x14ac:dyDescent="0.2">
      <c r="B38" s="2"/>
      <c r="C38" s="6" t="s">
        <v>19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5"/>
    </row>
    <row r="39" spans="2:46" x14ac:dyDescent="0.2">
      <c r="B39" s="2"/>
      <c r="AN39" s="3"/>
      <c r="AO39" s="3"/>
      <c r="AP39" s="3"/>
      <c r="AQ39" s="3"/>
      <c r="AR39" s="3"/>
      <c r="AS39" s="3"/>
      <c r="AT39" s="5"/>
    </row>
    <row r="40" spans="2:46" x14ac:dyDescent="0.2">
      <c r="B40" s="2"/>
      <c r="D40" s="71">
        <f>+D10</f>
        <v>0.2</v>
      </c>
      <c r="E40" s="71"/>
      <c r="F40" s="71" t="s">
        <v>0</v>
      </c>
      <c r="AN40" s="3"/>
      <c r="AO40" s="3"/>
      <c r="AP40" s="3"/>
      <c r="AQ40" s="3"/>
      <c r="AR40" s="3"/>
      <c r="AS40" s="3"/>
      <c r="AT40" s="5"/>
    </row>
    <row r="41" spans="2:46" x14ac:dyDescent="0.2">
      <c r="B41" s="2"/>
      <c r="D41" s="71"/>
      <c r="E41" s="71"/>
      <c r="F41" s="71"/>
      <c r="AN41" s="3"/>
      <c r="AO41" s="3"/>
      <c r="AP41" s="3"/>
      <c r="AQ41" s="3"/>
      <c r="AR41" s="3"/>
      <c r="AS41" s="3"/>
      <c r="AT41" s="5"/>
    </row>
    <row r="42" spans="2:46" x14ac:dyDescent="0.2">
      <c r="B42" s="2"/>
      <c r="AN42" s="3"/>
      <c r="AO42" s="3"/>
      <c r="AP42" s="3"/>
      <c r="AQ42" s="3"/>
      <c r="AR42" s="3"/>
      <c r="AS42" s="3"/>
      <c r="AT42" s="5"/>
    </row>
    <row r="43" spans="2:46" x14ac:dyDescent="0.2">
      <c r="B43" s="2"/>
      <c r="C43" s="12" t="s">
        <v>0</v>
      </c>
      <c r="AN43" s="3"/>
      <c r="AO43" s="3"/>
      <c r="AP43" s="3"/>
      <c r="AQ43" s="3"/>
      <c r="AR43" s="3"/>
      <c r="AS43" s="3"/>
      <c r="AT43" s="5"/>
    </row>
    <row r="44" spans="2:46" x14ac:dyDescent="0.2">
      <c r="B44" s="2"/>
      <c r="C44" s="96">
        <f>+C14</f>
        <v>3.9</v>
      </c>
      <c r="E44" s="12" t="s">
        <v>0</v>
      </c>
      <c r="AN44" s="3"/>
      <c r="AO44" s="3"/>
      <c r="AP44" s="3"/>
      <c r="AQ44" s="3"/>
      <c r="AR44" s="3"/>
      <c r="AS44" s="3"/>
      <c r="AT44" s="5"/>
    </row>
    <row r="45" spans="2:46" x14ac:dyDescent="0.2">
      <c r="B45" s="2"/>
      <c r="C45" s="96"/>
      <c r="E45" s="96">
        <f>+C44-D40-D50</f>
        <v>3.4999999999999996</v>
      </c>
      <c r="AN45" s="3"/>
      <c r="AO45" s="3"/>
      <c r="AP45" s="3"/>
      <c r="AQ45" s="3"/>
      <c r="AR45" s="3"/>
      <c r="AS45" s="3"/>
      <c r="AT45" s="5"/>
    </row>
    <row r="46" spans="2:46" x14ac:dyDescent="0.2">
      <c r="B46" s="2"/>
      <c r="C46" s="96"/>
      <c r="E46" s="96"/>
      <c r="AN46" s="3"/>
      <c r="AO46" s="3"/>
      <c r="AP46" s="3"/>
      <c r="AQ46" s="3"/>
      <c r="AR46" s="3"/>
      <c r="AS46" s="3"/>
      <c r="AT46" s="5"/>
    </row>
    <row r="47" spans="2:46" x14ac:dyDescent="0.2">
      <c r="B47" s="2"/>
      <c r="C47" s="96" t="s">
        <v>35</v>
      </c>
      <c r="E47" s="96"/>
      <c r="AN47" s="3"/>
      <c r="AO47" s="3"/>
      <c r="AP47" s="3"/>
      <c r="AQ47" s="3"/>
      <c r="AR47" s="3"/>
      <c r="AS47" s="3"/>
      <c r="AT47" s="5"/>
    </row>
    <row r="48" spans="2:46" x14ac:dyDescent="0.2">
      <c r="B48" s="2"/>
      <c r="C48" s="96"/>
      <c r="AN48" s="3"/>
      <c r="AO48" s="3"/>
      <c r="AP48" s="3"/>
      <c r="AQ48" s="3"/>
      <c r="AR48" s="3"/>
      <c r="AS48" s="3"/>
      <c r="AT48" s="5"/>
    </row>
    <row r="49" spans="2:46" x14ac:dyDescent="0.2">
      <c r="B49" s="2"/>
      <c r="AK49" s="71">
        <f>AH53/(AJ15/AK13+AG55/C44)</f>
        <v>-0.3666666666666667</v>
      </c>
      <c r="AL49" s="71"/>
      <c r="AM49" s="1" t="s">
        <v>0</v>
      </c>
      <c r="AN49" s="3"/>
      <c r="AO49" s="3"/>
      <c r="AP49" s="3"/>
      <c r="AQ49" s="3"/>
      <c r="AR49" s="3"/>
      <c r="AS49" s="3"/>
      <c r="AT49" s="5"/>
    </row>
    <row r="50" spans="2:46" x14ac:dyDescent="0.2">
      <c r="B50" s="2"/>
      <c r="D50" s="71">
        <f>+D20</f>
        <v>0.2</v>
      </c>
      <c r="E50" s="71"/>
      <c r="F50" s="71" t="s">
        <v>0</v>
      </c>
      <c r="L50" s="71">
        <f>H53/(H15/G13+J55/C44)</f>
        <v>-0.3666666666666667</v>
      </c>
      <c r="M50" s="71"/>
      <c r="N50" s="1" t="s">
        <v>0</v>
      </c>
      <c r="AN50" s="3"/>
      <c r="AO50" s="3"/>
      <c r="AP50" s="3"/>
      <c r="AQ50" s="3"/>
      <c r="AR50" s="3"/>
      <c r="AS50" s="3"/>
      <c r="AT50" s="5"/>
    </row>
    <row r="51" spans="2:46" x14ac:dyDescent="0.2">
      <c r="B51" s="2"/>
      <c r="D51" s="71"/>
      <c r="E51" s="71"/>
      <c r="F51" s="71"/>
      <c r="AN51" s="3"/>
      <c r="AO51" s="3"/>
      <c r="AP51" s="3"/>
      <c r="AQ51" s="3"/>
      <c r="AR51" s="3"/>
      <c r="AS51" s="3"/>
      <c r="AT51" s="5"/>
    </row>
    <row r="52" spans="2:46" x14ac:dyDescent="0.2">
      <c r="B52" s="2"/>
      <c r="AN52" s="3"/>
      <c r="AO52" s="3"/>
      <c r="AP52" s="3"/>
      <c r="AQ52" s="3"/>
      <c r="AR52" s="3"/>
      <c r="AS52" s="3"/>
      <c r="AT52" s="5"/>
    </row>
    <row r="53" spans="2:46" x14ac:dyDescent="0.2">
      <c r="B53" s="2"/>
      <c r="H53" s="71">
        <f>+J55-M53</f>
        <v>-0.55000000000000004</v>
      </c>
      <c r="I53" s="71"/>
      <c r="J53" s="1" t="s">
        <v>0</v>
      </c>
      <c r="M53" s="71">
        <f>+M23</f>
        <v>2.5</v>
      </c>
      <c r="N53" s="71"/>
      <c r="O53" s="1" t="s">
        <v>0</v>
      </c>
      <c r="AD53" s="71">
        <f>+AE23</f>
        <v>2.5</v>
      </c>
      <c r="AE53" s="71"/>
      <c r="AF53" s="1" t="s">
        <v>0</v>
      </c>
      <c r="AH53" s="71">
        <f>+AG55-AD53</f>
        <v>-0.55000000000000004</v>
      </c>
      <c r="AI53" s="71"/>
      <c r="AJ53" s="1" t="s">
        <v>0</v>
      </c>
      <c r="AN53" s="3"/>
      <c r="AO53" s="3"/>
      <c r="AP53" s="3"/>
      <c r="AQ53" s="3"/>
      <c r="AR53" s="3"/>
      <c r="AS53" s="3"/>
      <c r="AT53" s="5"/>
    </row>
    <row r="54" spans="2:46" x14ac:dyDescent="0.2">
      <c r="B54" s="2"/>
      <c r="AN54" s="3"/>
      <c r="AO54" s="3"/>
      <c r="AP54" s="3"/>
      <c r="AQ54" s="3"/>
      <c r="AR54" s="3"/>
      <c r="AS54" s="3"/>
      <c r="AT54" s="5"/>
    </row>
    <row r="55" spans="2:46" x14ac:dyDescent="0.2">
      <c r="B55" s="2"/>
      <c r="H55" s="1" t="s">
        <v>34</v>
      </c>
      <c r="J55" s="71">
        <f>+C44/2</f>
        <v>1.95</v>
      </c>
      <c r="K55" s="71"/>
      <c r="L55" s="1" t="s">
        <v>0</v>
      </c>
      <c r="AE55" s="1" t="s">
        <v>34</v>
      </c>
      <c r="AG55" s="71">
        <f>+C44/2</f>
        <v>1.95</v>
      </c>
      <c r="AH55" s="71"/>
      <c r="AI55" s="1" t="s">
        <v>0</v>
      </c>
      <c r="AN55" s="3"/>
      <c r="AO55" s="3"/>
      <c r="AP55" s="3"/>
      <c r="AQ55" s="3"/>
      <c r="AR55" s="3"/>
      <c r="AS55" s="3"/>
      <c r="AT55" s="5"/>
    </row>
    <row r="56" spans="2:46" x14ac:dyDescent="0.2">
      <c r="B56" s="2"/>
      <c r="AN56" s="3"/>
      <c r="AO56" s="3"/>
      <c r="AP56" s="3"/>
      <c r="AQ56" s="3"/>
      <c r="AR56" s="3"/>
      <c r="AS56" s="3"/>
      <c r="AT56" s="5"/>
    </row>
    <row r="57" spans="2:46" x14ac:dyDescent="0.2">
      <c r="B57" s="2"/>
      <c r="C57" s="13" t="s">
        <v>32</v>
      </c>
      <c r="D57" s="3"/>
      <c r="E57" s="3"/>
      <c r="F57" s="3"/>
      <c r="G57" s="3"/>
      <c r="H57" s="3"/>
      <c r="I57" s="3"/>
      <c r="J57" s="3" t="s">
        <v>37</v>
      </c>
      <c r="K57" s="49">
        <f>+C44</f>
        <v>3.9</v>
      </c>
      <c r="L57" s="49"/>
      <c r="M57" s="9" t="s">
        <v>9</v>
      </c>
      <c r="N57" s="49">
        <f>+J55</f>
        <v>1.95</v>
      </c>
      <c r="O57" s="49"/>
      <c r="P57" s="9" t="s">
        <v>8</v>
      </c>
      <c r="Q57" s="1">
        <v>2</v>
      </c>
      <c r="R57" s="1" t="s">
        <v>36</v>
      </c>
      <c r="S57" s="71">
        <f>IF(OR(H53=0,H53&lt;0),0,H53)</f>
        <v>0</v>
      </c>
      <c r="T57" s="71"/>
      <c r="U57" s="11" t="s">
        <v>9</v>
      </c>
      <c r="V57" s="71">
        <f>IF(OR(H53=0,H53&lt;0),0,+L50)</f>
        <v>0</v>
      </c>
      <c r="W57" s="71"/>
      <c r="X57" s="1" t="s">
        <v>8</v>
      </c>
      <c r="Y57" s="1">
        <v>2</v>
      </c>
      <c r="Z57" s="3" t="s">
        <v>10</v>
      </c>
      <c r="AA57" s="49">
        <f>+AA27</f>
        <v>32</v>
      </c>
      <c r="AB57" s="49"/>
      <c r="AC57" s="9" t="s">
        <v>7</v>
      </c>
      <c r="AD57" s="49">
        <f>((K57*N57/Q57)-S57*V57/Y57)*AA57</f>
        <v>121.67999999999999</v>
      </c>
      <c r="AE57" s="49"/>
      <c r="AF57" s="49"/>
      <c r="AG57" s="3" t="s">
        <v>17</v>
      </c>
      <c r="AH57" s="3"/>
      <c r="AI57" s="3"/>
      <c r="AJ57" s="9"/>
      <c r="AK57" s="3"/>
      <c r="AL57" s="3"/>
      <c r="AM57" s="3"/>
      <c r="AR57" s="3"/>
      <c r="AS57" s="3"/>
      <c r="AT57" s="5"/>
    </row>
    <row r="58" spans="2:46" x14ac:dyDescent="0.2">
      <c r="B58" s="2"/>
      <c r="C58" s="3" t="s">
        <v>31</v>
      </c>
      <c r="K58" s="49">
        <f>+V23</f>
        <v>3.3</v>
      </c>
      <c r="L58" s="49"/>
      <c r="M58" s="9" t="s">
        <v>9</v>
      </c>
      <c r="N58" s="49">
        <f>+E15</f>
        <v>3.4999999999999996</v>
      </c>
      <c r="O58" s="49"/>
      <c r="P58" s="9" t="s">
        <v>9</v>
      </c>
      <c r="Q58" s="49">
        <f>+AA27</f>
        <v>32</v>
      </c>
      <c r="R58" s="49"/>
      <c r="S58" s="9" t="s">
        <v>7</v>
      </c>
      <c r="T58" s="49">
        <f>+K58*N58*Q58</f>
        <v>369.59999999999991</v>
      </c>
      <c r="U58" s="49"/>
      <c r="V58" s="49"/>
      <c r="W58" s="3" t="s">
        <v>13</v>
      </c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5"/>
    </row>
    <row r="59" spans="2:46" x14ac:dyDescent="0.2">
      <c r="B59" s="2"/>
      <c r="C59" s="13" t="s">
        <v>125</v>
      </c>
      <c r="D59" s="3"/>
      <c r="E59" s="3"/>
      <c r="F59" s="3"/>
      <c r="G59" s="3"/>
      <c r="H59" s="3"/>
      <c r="I59" s="3"/>
      <c r="J59" s="3" t="s">
        <v>37</v>
      </c>
      <c r="K59" s="49">
        <f>+C44</f>
        <v>3.9</v>
      </c>
      <c r="L59" s="49"/>
      <c r="M59" s="9" t="s">
        <v>9</v>
      </c>
      <c r="N59" s="49">
        <f>+AG55</f>
        <v>1.95</v>
      </c>
      <c r="O59" s="49"/>
      <c r="P59" s="9" t="s">
        <v>8</v>
      </c>
      <c r="Q59" s="1">
        <v>2</v>
      </c>
      <c r="R59" s="1" t="s">
        <v>36</v>
      </c>
      <c r="S59" s="71">
        <f>IF(OR(AH53=0,AH53&lt;0),0,AH53)</f>
        <v>0</v>
      </c>
      <c r="T59" s="71"/>
      <c r="U59" s="11" t="s">
        <v>9</v>
      </c>
      <c r="V59" s="71">
        <f>IF(OR(AH53=0,AH53&lt;0),0,+AK49)</f>
        <v>0</v>
      </c>
      <c r="W59" s="71"/>
      <c r="X59" s="1" t="s">
        <v>8</v>
      </c>
      <c r="Y59" s="1">
        <v>2</v>
      </c>
      <c r="Z59" s="3" t="s">
        <v>10</v>
      </c>
      <c r="AA59" s="49">
        <f>+AA57</f>
        <v>32</v>
      </c>
      <c r="AB59" s="49"/>
      <c r="AC59" s="9" t="s">
        <v>7</v>
      </c>
      <c r="AD59" s="49">
        <f>((K59*N59/Q59)-S59*V59/Y59)*AA59</f>
        <v>121.67999999999999</v>
      </c>
      <c r="AE59" s="49"/>
      <c r="AF59" s="49"/>
      <c r="AG59" s="3" t="s">
        <v>17</v>
      </c>
      <c r="AH59" s="3"/>
      <c r="AI59" s="3"/>
      <c r="AJ59" s="9"/>
      <c r="AK59" s="3"/>
      <c r="AL59" s="3"/>
      <c r="AM59" s="3"/>
      <c r="AR59" s="3"/>
      <c r="AS59" s="3"/>
      <c r="AT59" s="5"/>
    </row>
    <row r="60" spans="2:46" x14ac:dyDescent="0.2">
      <c r="B60" s="2"/>
      <c r="C60" s="13" t="s">
        <v>33</v>
      </c>
      <c r="D60" s="3"/>
      <c r="E60" s="3"/>
      <c r="F60" s="3"/>
      <c r="G60" s="49">
        <f>+AD57</f>
        <v>121.67999999999999</v>
      </c>
      <c r="H60" s="49"/>
      <c r="I60" s="49"/>
      <c r="J60" s="9" t="s">
        <v>6</v>
      </c>
      <c r="K60" s="49">
        <f>+T58</f>
        <v>369.59999999999991</v>
      </c>
      <c r="L60" s="49"/>
      <c r="M60" s="49"/>
      <c r="N60" s="9" t="s">
        <v>6</v>
      </c>
      <c r="O60" s="49">
        <f>+AD59</f>
        <v>121.67999999999999</v>
      </c>
      <c r="P60" s="49"/>
      <c r="Q60" s="49"/>
      <c r="R60" s="9" t="s">
        <v>7</v>
      </c>
      <c r="S60" s="57">
        <f>+G60+K60+O60</f>
        <v>612.95999999999992</v>
      </c>
      <c r="T60" s="57"/>
      <c r="U60" s="57"/>
      <c r="V60" s="10" t="s">
        <v>17</v>
      </c>
      <c r="W60" s="11"/>
      <c r="X60" s="11"/>
      <c r="Y60" s="11"/>
      <c r="Z60" s="3"/>
      <c r="AA60" s="3"/>
      <c r="AB60" s="9"/>
      <c r="AC60" s="9"/>
      <c r="AD60" s="9"/>
      <c r="AE60" s="3"/>
      <c r="AF60" s="9"/>
      <c r="AG60" s="9"/>
      <c r="AH60" s="3"/>
      <c r="AI60" s="3"/>
      <c r="AJ60" s="9"/>
      <c r="AK60" s="9"/>
      <c r="AL60" s="9"/>
      <c r="AM60" s="3"/>
      <c r="AS60" s="3"/>
      <c r="AT60" s="5"/>
    </row>
    <row r="61" spans="2:46" x14ac:dyDescent="0.2">
      <c r="B61" s="2"/>
      <c r="C61" s="13"/>
      <c r="D61" s="3"/>
      <c r="E61" s="3"/>
      <c r="F61" s="3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15"/>
      <c r="T61" s="15"/>
      <c r="U61" s="15"/>
      <c r="V61" s="10"/>
      <c r="W61" s="11"/>
      <c r="X61" s="11"/>
      <c r="Y61" s="11"/>
      <c r="Z61" s="3"/>
      <c r="AA61" s="3"/>
      <c r="AB61" s="9"/>
      <c r="AC61" s="9"/>
      <c r="AD61" s="9"/>
      <c r="AE61" s="3"/>
      <c r="AF61" s="9"/>
      <c r="AG61" s="9"/>
      <c r="AH61" s="3"/>
      <c r="AI61" s="3"/>
      <c r="AJ61" s="9"/>
      <c r="AK61" s="9"/>
      <c r="AL61" s="9"/>
      <c r="AM61" s="3"/>
      <c r="AN61" s="14"/>
      <c r="AO61" s="14"/>
      <c r="AP61" s="14"/>
      <c r="AQ61" s="3"/>
      <c r="AR61" s="3"/>
      <c r="AS61" s="3"/>
      <c r="AT61" s="5"/>
    </row>
    <row r="62" spans="2:46" x14ac:dyDescent="0.2">
      <c r="B62" s="2"/>
      <c r="C62" s="6" t="s">
        <v>20</v>
      </c>
      <c r="D62" s="3"/>
      <c r="E62" s="3"/>
      <c r="F62" s="3"/>
      <c r="G62" s="3"/>
      <c r="H62" s="3"/>
      <c r="I62" s="3"/>
      <c r="J62" s="3"/>
      <c r="K62" s="3"/>
      <c r="L62" s="3"/>
      <c r="M62" s="3"/>
      <c r="AK62" s="3"/>
      <c r="AL62" s="3"/>
      <c r="AM62" s="3"/>
      <c r="AN62" s="3"/>
      <c r="AO62" s="3"/>
      <c r="AP62" s="3"/>
      <c r="AQ62" s="3"/>
      <c r="AR62" s="3"/>
      <c r="AS62" s="3"/>
      <c r="AT62" s="5"/>
    </row>
    <row r="63" spans="2:46" x14ac:dyDescent="0.2">
      <c r="B63" s="2"/>
      <c r="C63" s="1" t="s">
        <v>126</v>
      </c>
      <c r="I63" s="3" t="s">
        <v>15</v>
      </c>
      <c r="J63" s="49">
        <f>+M23</f>
        <v>2.5</v>
      </c>
      <c r="K63" s="49"/>
      <c r="L63" s="9" t="s">
        <v>6</v>
      </c>
      <c r="M63" s="49">
        <f>+M6</f>
        <v>2.5</v>
      </c>
      <c r="N63" s="49"/>
      <c r="O63" s="9" t="s">
        <v>6</v>
      </c>
      <c r="P63" s="49">
        <f>+I6</f>
        <v>3.9</v>
      </c>
      <c r="Q63" s="49"/>
      <c r="R63" s="1" t="s">
        <v>38</v>
      </c>
      <c r="S63" s="1">
        <v>2</v>
      </c>
      <c r="T63" s="11" t="s">
        <v>9</v>
      </c>
      <c r="U63" s="71">
        <f>+C14</f>
        <v>3.9</v>
      </c>
      <c r="V63" s="71"/>
      <c r="W63" s="11" t="s">
        <v>9</v>
      </c>
      <c r="X63" s="71">
        <f>+AA27</f>
        <v>32</v>
      </c>
      <c r="Y63" s="71"/>
      <c r="Z63" s="9" t="s">
        <v>7</v>
      </c>
      <c r="AA63" s="99">
        <f>(J63+M63+P63)/S63*U63*X63</f>
        <v>555.36</v>
      </c>
      <c r="AB63" s="99"/>
      <c r="AC63" s="99"/>
      <c r="AD63" s="99"/>
      <c r="AE63" s="13" t="s">
        <v>13</v>
      </c>
      <c r="AL63" s="3"/>
      <c r="AP63" s="3"/>
      <c r="AQ63" s="3"/>
      <c r="AR63" s="3"/>
      <c r="AS63" s="3"/>
      <c r="AT63" s="5"/>
    </row>
    <row r="64" spans="2:46" x14ac:dyDescent="0.2">
      <c r="B64" s="2"/>
      <c r="C64" s="1" t="s">
        <v>127</v>
      </c>
      <c r="D64" s="3"/>
      <c r="E64" s="3"/>
      <c r="F64" s="3"/>
      <c r="G64" s="3"/>
      <c r="H64" s="3"/>
      <c r="I64" s="3" t="s">
        <v>15</v>
      </c>
      <c r="J64" s="49">
        <f>+AE23</f>
        <v>2.5</v>
      </c>
      <c r="K64" s="49"/>
      <c r="L64" s="45" t="s">
        <v>6</v>
      </c>
      <c r="M64" s="49">
        <f>+AE6</f>
        <v>2.5</v>
      </c>
      <c r="N64" s="49"/>
      <c r="O64" s="45" t="s">
        <v>6</v>
      </c>
      <c r="P64" s="49">
        <f>+AI6</f>
        <v>3.9</v>
      </c>
      <c r="Q64" s="49"/>
      <c r="R64" s="1" t="s">
        <v>38</v>
      </c>
      <c r="S64" s="1">
        <v>2</v>
      </c>
      <c r="T64" s="46" t="s">
        <v>9</v>
      </c>
      <c r="U64" s="71">
        <f>+AP15</f>
        <v>3.9</v>
      </c>
      <c r="V64" s="71"/>
      <c r="W64" s="46" t="s">
        <v>9</v>
      </c>
      <c r="X64" s="71">
        <f>+X63</f>
        <v>32</v>
      </c>
      <c r="Y64" s="71"/>
      <c r="Z64" s="45" t="s">
        <v>7</v>
      </c>
      <c r="AA64" s="100">
        <f>(J64+M64+P64)/S64*U64*X64</f>
        <v>555.36</v>
      </c>
      <c r="AB64" s="100"/>
      <c r="AC64" s="100"/>
      <c r="AD64" s="100"/>
      <c r="AE64" s="48" t="s">
        <v>13</v>
      </c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5"/>
    </row>
    <row r="65" spans="2:46" x14ac:dyDescent="0.2">
      <c r="B65" s="2"/>
      <c r="C65" s="3"/>
      <c r="D65" s="3"/>
      <c r="E65" s="3"/>
      <c r="F65" s="3"/>
      <c r="G65" s="3"/>
      <c r="H65" s="3"/>
      <c r="I65" s="3"/>
      <c r="J65" s="45"/>
      <c r="K65" s="45"/>
      <c r="L65" s="45"/>
      <c r="M65" s="45"/>
      <c r="N65" s="45"/>
      <c r="O65" s="45"/>
      <c r="P65" s="45"/>
      <c r="Q65" s="45"/>
      <c r="T65" s="46"/>
      <c r="U65" s="46"/>
      <c r="V65" s="46"/>
      <c r="X65" s="47" t="s">
        <v>79</v>
      </c>
      <c r="Y65" s="46"/>
      <c r="Z65" s="45"/>
      <c r="AA65" s="57">
        <f>SUM(AA63:AD64)</f>
        <v>1110.72</v>
      </c>
      <c r="AB65" s="57"/>
      <c r="AC65" s="57"/>
      <c r="AD65" s="57"/>
      <c r="AE65" s="10" t="s">
        <v>13</v>
      </c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5"/>
    </row>
    <row r="66" spans="2:46" x14ac:dyDescent="0.2">
      <c r="B66" s="2"/>
      <c r="C66" s="6" t="s">
        <v>21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5"/>
    </row>
    <row r="67" spans="2:46" x14ac:dyDescent="0.2">
      <c r="B67" s="2"/>
      <c r="C67" s="71">
        <f>+R30</f>
        <v>1572.48</v>
      </c>
      <c r="D67" s="71"/>
      <c r="E67" s="71"/>
      <c r="F67" s="71"/>
      <c r="G67" s="11" t="s">
        <v>16</v>
      </c>
      <c r="H67" s="71">
        <f>+AA65</f>
        <v>1110.72</v>
      </c>
      <c r="I67" s="71"/>
      <c r="J67" s="71"/>
      <c r="K67" s="71"/>
      <c r="L67" s="9" t="s">
        <v>7</v>
      </c>
      <c r="M67" s="49">
        <f>+C67-H67</f>
        <v>461.76</v>
      </c>
      <c r="N67" s="49"/>
      <c r="O67" s="49"/>
      <c r="P67" s="49"/>
      <c r="Q67" s="3" t="s">
        <v>13</v>
      </c>
      <c r="R67" s="3"/>
      <c r="S67" s="3"/>
      <c r="T67" s="3"/>
      <c r="U67" s="3"/>
      <c r="V67" s="3"/>
      <c r="W67" s="3"/>
      <c r="X67" s="3"/>
      <c r="AN67" s="3"/>
      <c r="AO67" s="3"/>
      <c r="AP67" s="3"/>
      <c r="AQ67" s="3"/>
      <c r="AR67" s="3"/>
      <c r="AS67" s="3"/>
      <c r="AT67" s="5"/>
    </row>
    <row r="68" spans="2:46" x14ac:dyDescent="0.2">
      <c r="B68" s="2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AM68" s="3"/>
      <c r="AN68" s="3"/>
      <c r="AO68" s="3"/>
      <c r="AP68" s="3"/>
      <c r="AQ68" s="3"/>
      <c r="AR68" s="3"/>
      <c r="AS68" s="3"/>
      <c r="AT68" s="5"/>
    </row>
    <row r="69" spans="2:46" x14ac:dyDescent="0.2">
      <c r="B69" s="2"/>
      <c r="C69" s="6" t="s">
        <v>22</v>
      </c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U69" s="3"/>
      <c r="V69" s="3"/>
      <c r="X69" s="23"/>
      <c r="AO69" s="3"/>
      <c r="AP69" s="3"/>
      <c r="AQ69" s="3"/>
      <c r="AR69" s="3"/>
      <c r="AS69" s="3"/>
      <c r="AT69" s="5"/>
    </row>
    <row r="70" spans="2:46" x14ac:dyDescent="0.2">
      <c r="B70" s="2"/>
      <c r="C70" s="3" t="s">
        <v>84</v>
      </c>
      <c r="D70" s="50">
        <v>154</v>
      </c>
      <c r="E70" s="50"/>
      <c r="F70" s="1" t="s">
        <v>123</v>
      </c>
      <c r="N70" s="3" t="s">
        <v>85</v>
      </c>
      <c r="O70" s="50">
        <v>43</v>
      </c>
      <c r="P70" s="50"/>
      <c r="Q70" s="3" t="s">
        <v>86</v>
      </c>
      <c r="S70" s="3" t="s">
        <v>124</v>
      </c>
      <c r="AG70" s="2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5"/>
    </row>
    <row r="71" spans="2:46" x14ac:dyDescent="0.2">
      <c r="B71" s="2"/>
      <c r="C71" s="3" t="s">
        <v>122</v>
      </c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S71" s="3" t="s">
        <v>23</v>
      </c>
      <c r="T71" s="3"/>
      <c r="U71" s="3"/>
      <c r="V71" s="50">
        <v>1.8</v>
      </c>
      <c r="W71" s="50"/>
      <c r="X71" s="3" t="s">
        <v>41</v>
      </c>
      <c r="Y71" s="3"/>
      <c r="Z71" s="3"/>
      <c r="AA71" s="3"/>
      <c r="AB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5"/>
    </row>
    <row r="72" spans="2:46" x14ac:dyDescent="0.2">
      <c r="B72" s="2"/>
      <c r="C72" s="3" t="s">
        <v>24</v>
      </c>
      <c r="D72" s="3"/>
      <c r="E72" s="71">
        <v>1.25</v>
      </c>
      <c r="F72" s="71"/>
      <c r="G72" s="44" t="s">
        <v>9</v>
      </c>
      <c r="H72" s="51">
        <f>+D70</f>
        <v>154</v>
      </c>
      <c r="I72" s="51"/>
      <c r="J72" s="3" t="s">
        <v>25</v>
      </c>
      <c r="K72" s="49">
        <v>6.9999999999999999E-4</v>
      </c>
      <c r="L72" s="49"/>
      <c r="M72" s="49"/>
      <c r="N72" s="9" t="s">
        <v>9</v>
      </c>
      <c r="O72" s="51">
        <f>+O70</f>
        <v>43</v>
      </c>
      <c r="P72" s="51"/>
      <c r="Q72" s="9" t="s">
        <v>6</v>
      </c>
      <c r="R72" s="49">
        <v>0.01</v>
      </c>
      <c r="S72" s="49"/>
      <c r="T72" s="49"/>
      <c r="U72" s="3" t="s">
        <v>12</v>
      </c>
      <c r="V72" s="49">
        <f>E72*H72*(K72*O72+R72)</f>
        <v>7.7192499999999997</v>
      </c>
      <c r="W72" s="49"/>
      <c r="X72" s="49"/>
      <c r="Y72" s="3" t="s">
        <v>40</v>
      </c>
      <c r="Z72" s="3"/>
      <c r="AS72" s="3"/>
      <c r="AT72" s="5"/>
    </row>
    <row r="73" spans="2:46" x14ac:dyDescent="0.2">
      <c r="B73" s="2"/>
      <c r="C73" s="49">
        <f>+M67</f>
        <v>461.76</v>
      </c>
      <c r="D73" s="49"/>
      <c r="E73" s="49"/>
      <c r="F73" s="49"/>
      <c r="G73" s="3" t="s">
        <v>39</v>
      </c>
      <c r="H73" s="3"/>
      <c r="I73" s="49">
        <f>+V71</f>
        <v>1.8</v>
      </c>
      <c r="J73" s="49"/>
      <c r="K73" s="3" t="s">
        <v>41</v>
      </c>
      <c r="L73" s="3"/>
      <c r="M73" s="3"/>
      <c r="N73" s="9" t="s">
        <v>7</v>
      </c>
      <c r="O73" s="49">
        <f>+C73*I73</f>
        <v>831.16800000000001</v>
      </c>
      <c r="P73" s="49"/>
      <c r="Q73" s="49"/>
      <c r="R73" s="49"/>
      <c r="S73" s="3" t="s">
        <v>27</v>
      </c>
      <c r="W73" s="3"/>
      <c r="X73" s="3"/>
      <c r="AK73" s="3"/>
      <c r="AL73" s="3"/>
      <c r="AM73" s="3"/>
      <c r="AN73" s="3"/>
      <c r="AO73" s="3"/>
      <c r="AP73" s="3"/>
      <c r="AQ73" s="3"/>
      <c r="AR73" s="3"/>
      <c r="AS73" s="3"/>
      <c r="AT73" s="5"/>
    </row>
    <row r="74" spans="2:46" x14ac:dyDescent="0.2">
      <c r="B74" s="2"/>
      <c r="C74" s="49">
        <f>+O73</f>
        <v>831.16800000000001</v>
      </c>
      <c r="D74" s="49"/>
      <c r="E74" s="49"/>
      <c r="F74" s="49"/>
      <c r="G74" s="3" t="s">
        <v>27</v>
      </c>
      <c r="H74" s="3"/>
      <c r="I74" s="9" t="s">
        <v>9</v>
      </c>
      <c r="J74" s="49">
        <f>+V72</f>
        <v>7.7192499999999997</v>
      </c>
      <c r="K74" s="49"/>
      <c r="L74" s="49"/>
      <c r="M74" s="3" t="s">
        <v>26</v>
      </c>
      <c r="N74" s="3"/>
      <c r="O74" s="3"/>
      <c r="P74" s="9" t="s">
        <v>7</v>
      </c>
      <c r="Q74" s="57">
        <f>+C74*J74</f>
        <v>6415.9935839999998</v>
      </c>
      <c r="R74" s="57"/>
      <c r="S74" s="57"/>
      <c r="T74" s="10" t="s">
        <v>28</v>
      </c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5"/>
    </row>
    <row r="75" spans="2:46" ht="12" thickBot="1" x14ac:dyDescent="0.25"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8"/>
    </row>
    <row r="76" spans="2:46" ht="12" thickBot="1" x14ac:dyDescent="0.25"/>
    <row r="77" spans="2:46" ht="53.25" customHeight="1" x14ac:dyDescent="0.2">
      <c r="B77" s="58" t="s">
        <v>119</v>
      </c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  <c r="AT77" s="60"/>
    </row>
    <row r="78" spans="2:46" x14ac:dyDescent="0.2">
      <c r="B78" s="2"/>
      <c r="C78" s="6" t="s">
        <v>81</v>
      </c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4" t="s">
        <v>29</v>
      </c>
      <c r="AA78" s="3"/>
      <c r="AB78" s="3"/>
      <c r="AC78" s="3"/>
      <c r="AD78" s="3"/>
      <c r="AE78" s="3"/>
      <c r="AF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5"/>
    </row>
    <row r="79" spans="2:46" ht="12" thickBot="1" x14ac:dyDescent="0.25">
      <c r="B79" s="2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5"/>
    </row>
    <row r="80" spans="2:46" x14ac:dyDescent="0.2">
      <c r="B80" s="2"/>
      <c r="C80" s="3"/>
      <c r="D80" s="3"/>
      <c r="E80" s="3"/>
      <c r="F80" s="30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2"/>
      <c r="AM80" s="3"/>
      <c r="AN80" s="3"/>
      <c r="AO80" s="3"/>
      <c r="AP80" s="3"/>
      <c r="AQ80" s="3"/>
      <c r="AR80" s="3"/>
      <c r="AS80" s="3"/>
      <c r="AT80" s="5"/>
    </row>
    <row r="81" spans="2:48" x14ac:dyDescent="0.2">
      <c r="B81" s="2"/>
      <c r="C81" s="3"/>
      <c r="D81" s="3"/>
      <c r="E81" s="3"/>
      <c r="F81" s="33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 t="s">
        <v>88</v>
      </c>
      <c r="S81" s="29"/>
      <c r="T81" s="42"/>
      <c r="U81" s="29"/>
      <c r="V81" s="29"/>
      <c r="W81" s="29"/>
      <c r="X81" s="29"/>
      <c r="Y81" s="72">
        <f>+U133</f>
        <v>17</v>
      </c>
      <c r="Z81" s="72"/>
      <c r="AA81" s="29" t="s">
        <v>46</v>
      </c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34"/>
      <c r="AM81" s="3"/>
      <c r="AN81" s="3"/>
      <c r="AO81" s="3"/>
      <c r="AP81" s="3"/>
      <c r="AQ81" s="3"/>
      <c r="AR81" s="3"/>
      <c r="AS81" s="3"/>
      <c r="AT81" s="5"/>
    </row>
    <row r="82" spans="2:48" x14ac:dyDescent="0.2">
      <c r="B82" s="2"/>
      <c r="C82" s="3"/>
      <c r="D82" s="3"/>
      <c r="E82" s="3"/>
      <c r="F82" s="33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93" t="s">
        <v>90</v>
      </c>
      <c r="R82" s="29"/>
      <c r="S82" s="42"/>
      <c r="T82" s="42"/>
      <c r="U82" s="42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34"/>
      <c r="AM82" s="3"/>
      <c r="AN82" s="3"/>
      <c r="AO82" s="3"/>
      <c r="AP82" s="3"/>
      <c r="AQ82" s="3"/>
      <c r="AR82" s="3"/>
      <c r="AS82" s="3"/>
      <c r="AT82" s="5"/>
    </row>
    <row r="83" spans="2:48" x14ac:dyDescent="0.2">
      <c r="B83" s="2"/>
      <c r="C83" s="3"/>
      <c r="D83" s="3"/>
      <c r="E83" s="3"/>
      <c r="F83" s="33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93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34"/>
      <c r="AM83" s="3"/>
      <c r="AN83" s="3"/>
      <c r="AO83" s="3"/>
      <c r="AP83" s="3"/>
      <c r="AQ83" s="3"/>
      <c r="AR83" s="3"/>
      <c r="AS83" s="3"/>
      <c r="AT83" s="5"/>
    </row>
    <row r="84" spans="2:48" x14ac:dyDescent="0.2">
      <c r="B84" s="2"/>
      <c r="C84" s="3"/>
      <c r="D84" s="3"/>
      <c r="E84" s="3"/>
      <c r="F84" s="33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93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34"/>
      <c r="AM84" s="3"/>
      <c r="AN84" s="3"/>
      <c r="AO84" s="3"/>
      <c r="AP84" s="3"/>
      <c r="AQ84" s="3"/>
      <c r="AR84" s="3"/>
      <c r="AS84" s="3"/>
      <c r="AT84" s="5"/>
    </row>
    <row r="85" spans="2:48" ht="11.25" customHeight="1" x14ac:dyDescent="0.2">
      <c r="B85" s="2"/>
      <c r="C85" s="3"/>
      <c r="D85" s="3"/>
      <c r="E85" s="3"/>
      <c r="F85" s="33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93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34"/>
      <c r="AM85" s="3"/>
      <c r="AN85" s="3"/>
      <c r="AO85" s="3"/>
      <c r="AP85" s="3"/>
      <c r="AQ85" s="3"/>
      <c r="AR85" s="3"/>
      <c r="AS85" s="3"/>
      <c r="AT85" s="5"/>
    </row>
    <row r="86" spans="2:48" x14ac:dyDescent="0.2">
      <c r="B86" s="2"/>
      <c r="C86" s="3"/>
      <c r="D86" s="3"/>
      <c r="E86" s="3"/>
      <c r="F86" s="33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92">
        <v>30</v>
      </c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34"/>
      <c r="AM86" s="3"/>
      <c r="AN86" s="3"/>
      <c r="AO86" s="3"/>
      <c r="AP86" s="3"/>
      <c r="AQ86" s="3"/>
      <c r="AR86" s="3"/>
      <c r="AS86" s="3"/>
      <c r="AT86" s="5"/>
    </row>
    <row r="87" spans="2:48" x14ac:dyDescent="0.2">
      <c r="B87" s="2"/>
      <c r="C87" s="3"/>
      <c r="D87" s="3"/>
      <c r="E87" s="3"/>
      <c r="F87" s="33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92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34"/>
      <c r="AM87" s="3"/>
      <c r="AN87" s="3"/>
      <c r="AO87" s="3"/>
      <c r="AP87" s="3"/>
      <c r="AQ87" s="3"/>
      <c r="AR87" s="3"/>
      <c r="AS87" s="3"/>
      <c r="AT87" s="5"/>
    </row>
    <row r="88" spans="2:48" x14ac:dyDescent="0.2">
      <c r="B88" s="2"/>
      <c r="C88" s="3"/>
      <c r="D88" s="3"/>
      <c r="E88" s="3"/>
      <c r="F88" s="33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95">
        <v>8</v>
      </c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34"/>
      <c r="AM88" s="3"/>
      <c r="AN88" s="3"/>
      <c r="AO88" s="3"/>
      <c r="AP88" s="3"/>
      <c r="AQ88" s="3"/>
      <c r="AR88" s="3"/>
      <c r="AS88" s="3"/>
      <c r="AT88" s="5"/>
    </row>
    <row r="89" spans="2:48" x14ac:dyDescent="0.2">
      <c r="B89" s="2"/>
      <c r="C89" s="3"/>
      <c r="D89" s="3"/>
      <c r="E89" s="3"/>
      <c r="F89" s="33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95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34"/>
      <c r="AM89" s="3"/>
      <c r="AN89" s="3"/>
      <c r="AO89" s="3"/>
      <c r="AP89" s="3"/>
      <c r="AQ89" s="3"/>
      <c r="AR89" s="3"/>
      <c r="AS89" s="3"/>
      <c r="AT89" s="5"/>
    </row>
    <row r="90" spans="2:48" x14ac:dyDescent="0.2">
      <c r="B90" s="2"/>
      <c r="C90" s="3"/>
      <c r="D90" s="3"/>
      <c r="E90" s="3"/>
      <c r="F90" s="33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95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34"/>
      <c r="AM90" s="3"/>
      <c r="AN90" s="3"/>
      <c r="AO90" s="3"/>
      <c r="AP90" s="3"/>
      <c r="AQ90" s="3"/>
      <c r="AR90" s="3"/>
      <c r="AS90" s="3"/>
      <c r="AT90" s="5"/>
    </row>
    <row r="91" spans="2:48" ht="11.25" customHeight="1" x14ac:dyDescent="0.2">
      <c r="B91" s="2"/>
      <c r="C91" s="3"/>
      <c r="D91" s="3"/>
      <c r="E91" s="3"/>
      <c r="F91" s="33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93" t="s">
        <v>90</v>
      </c>
      <c r="V91" s="29"/>
      <c r="W91" s="93" t="s">
        <v>90</v>
      </c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34"/>
      <c r="AM91" s="3"/>
      <c r="AN91" s="3"/>
      <c r="AO91" s="3"/>
      <c r="AP91" s="3"/>
      <c r="AQ91" s="3"/>
      <c r="AR91" s="3"/>
      <c r="AS91" s="3"/>
      <c r="AT91" s="5"/>
      <c r="AV91" s="28"/>
    </row>
    <row r="92" spans="2:48" x14ac:dyDescent="0.2">
      <c r="B92" s="2"/>
      <c r="C92" s="3"/>
      <c r="D92" s="3"/>
      <c r="E92" s="3"/>
      <c r="F92" s="33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93"/>
      <c r="V92" s="29"/>
      <c r="W92" s="93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34"/>
      <c r="AM92" s="3"/>
      <c r="AN92" s="3"/>
      <c r="AO92" s="3"/>
      <c r="AP92" s="3"/>
      <c r="AQ92" s="3"/>
      <c r="AR92" s="3"/>
      <c r="AS92" s="3"/>
      <c r="AT92" s="5"/>
      <c r="AV92" s="28"/>
    </row>
    <row r="93" spans="2:48" x14ac:dyDescent="0.2">
      <c r="B93" s="2"/>
      <c r="C93" s="3"/>
      <c r="D93" s="3" t="s">
        <v>1</v>
      </c>
      <c r="E93" s="3"/>
      <c r="F93" s="33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93"/>
      <c r="V93" s="29"/>
      <c r="W93" s="93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34"/>
      <c r="AM93" s="3"/>
      <c r="AN93" s="3" t="s">
        <v>1</v>
      </c>
      <c r="AO93" s="3"/>
      <c r="AP93" s="3"/>
      <c r="AQ93" s="3"/>
      <c r="AR93" s="3"/>
      <c r="AS93" s="3"/>
      <c r="AT93" s="5"/>
      <c r="AV93" s="28"/>
    </row>
    <row r="94" spans="2:48" ht="11.25" customHeight="1" x14ac:dyDescent="0.2">
      <c r="B94" s="2"/>
      <c r="C94" s="3"/>
      <c r="D94" s="3"/>
      <c r="E94" s="3"/>
      <c r="F94" s="33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93"/>
      <c r="V94" s="35"/>
      <c r="W94" s="93"/>
      <c r="X94" s="29"/>
      <c r="Y94" s="50">
        <v>485</v>
      </c>
      <c r="Z94" s="50"/>
      <c r="AA94" s="29" t="s">
        <v>43</v>
      </c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34"/>
      <c r="AM94" s="3"/>
      <c r="AN94" s="3"/>
      <c r="AO94" s="3"/>
      <c r="AP94" s="3"/>
      <c r="AQ94" s="3"/>
      <c r="AR94" s="3"/>
      <c r="AS94" s="3"/>
      <c r="AT94" s="5"/>
    </row>
    <row r="95" spans="2:48" x14ac:dyDescent="0.2">
      <c r="B95" s="2"/>
      <c r="C95" s="3"/>
      <c r="D95" s="3"/>
      <c r="E95" s="3"/>
      <c r="F95" s="33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92">
        <v>23</v>
      </c>
      <c r="V95" s="35"/>
      <c r="W95" s="91">
        <f>+U95</f>
        <v>23</v>
      </c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34"/>
      <c r="AM95" s="3"/>
      <c r="AN95" s="3"/>
      <c r="AO95" s="3"/>
      <c r="AP95" s="3"/>
      <c r="AQ95" s="3"/>
      <c r="AR95" s="3"/>
      <c r="AS95" s="3"/>
      <c r="AT95" s="5"/>
    </row>
    <row r="96" spans="2:48" x14ac:dyDescent="0.2">
      <c r="B96" s="2"/>
      <c r="C96" s="3"/>
      <c r="D96" s="3"/>
      <c r="E96" s="3"/>
      <c r="F96" s="33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92"/>
      <c r="V96" s="35"/>
      <c r="W96" s="91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34"/>
      <c r="AM96" s="3"/>
      <c r="AN96" s="3"/>
      <c r="AO96" s="3"/>
      <c r="AP96" s="3"/>
      <c r="AQ96" s="3"/>
      <c r="AR96" s="3"/>
      <c r="AS96" s="3"/>
      <c r="AT96" s="5"/>
    </row>
    <row r="97" spans="2:46" x14ac:dyDescent="0.2">
      <c r="B97" s="2"/>
      <c r="C97" s="3"/>
      <c r="D97" s="3"/>
      <c r="E97" s="3"/>
      <c r="F97" s="33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95">
        <v>8</v>
      </c>
      <c r="V97" s="36"/>
      <c r="W97" s="98">
        <f>+U97</f>
        <v>8</v>
      </c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34"/>
      <c r="AM97" s="3"/>
      <c r="AN97" s="3"/>
      <c r="AO97" s="3"/>
      <c r="AP97" s="3"/>
      <c r="AQ97" s="3"/>
      <c r="AR97" s="3"/>
      <c r="AS97" s="3"/>
      <c r="AT97" s="5"/>
    </row>
    <row r="98" spans="2:46" x14ac:dyDescent="0.2">
      <c r="B98" s="2"/>
      <c r="C98" s="3"/>
      <c r="D98" s="3"/>
      <c r="E98" s="3"/>
      <c r="F98" s="33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95"/>
      <c r="V98" s="36"/>
      <c r="W98" s="98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34"/>
      <c r="AM98" s="3"/>
      <c r="AN98" s="3"/>
      <c r="AO98" s="3"/>
      <c r="AP98" s="3"/>
      <c r="AQ98" s="3"/>
      <c r="AR98" s="3"/>
      <c r="AS98" s="3"/>
      <c r="AT98" s="5"/>
    </row>
    <row r="99" spans="2:46" x14ac:dyDescent="0.2">
      <c r="B99" s="2"/>
      <c r="C99" s="3"/>
      <c r="D99" s="3"/>
      <c r="E99" s="3"/>
      <c r="F99" s="33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95"/>
      <c r="V99" s="36"/>
      <c r="W99" s="98"/>
      <c r="X99" s="29"/>
      <c r="Y99" s="29" t="s">
        <v>93</v>
      </c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34"/>
      <c r="AM99" s="3"/>
      <c r="AN99" s="3"/>
      <c r="AO99" s="3"/>
      <c r="AP99" s="3"/>
      <c r="AQ99" s="3"/>
      <c r="AR99" s="3"/>
      <c r="AS99" s="3"/>
      <c r="AT99" s="5"/>
    </row>
    <row r="100" spans="2:46" x14ac:dyDescent="0.2">
      <c r="B100" s="2"/>
      <c r="C100" s="3"/>
      <c r="D100" s="3"/>
      <c r="E100" s="3"/>
      <c r="F100" s="33"/>
      <c r="G100" s="29"/>
      <c r="H100" s="29"/>
      <c r="I100" s="29"/>
      <c r="J100" s="29"/>
      <c r="K100" s="29"/>
      <c r="L100" s="29"/>
      <c r="M100" s="29"/>
      <c r="N100" s="29"/>
      <c r="O100" s="29"/>
      <c r="P100" s="29" t="s">
        <v>94</v>
      </c>
      <c r="Q100" s="29"/>
      <c r="R100" s="29"/>
      <c r="S100" s="29"/>
      <c r="T100" s="29"/>
      <c r="U100" s="29"/>
      <c r="V100" s="29"/>
      <c r="W100" s="29"/>
      <c r="X100" s="29"/>
      <c r="Y100" s="72">
        <f>+O128</f>
        <v>23</v>
      </c>
      <c r="Z100" s="72"/>
      <c r="AA100" s="29" t="s">
        <v>46</v>
      </c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34"/>
      <c r="AM100" s="3"/>
      <c r="AN100" s="3"/>
      <c r="AO100" s="3"/>
      <c r="AP100" s="3"/>
      <c r="AQ100" s="3"/>
      <c r="AR100" s="3"/>
      <c r="AS100" s="3"/>
      <c r="AT100" s="5"/>
    </row>
    <row r="101" spans="2:46" x14ac:dyDescent="0.2">
      <c r="B101" s="2"/>
      <c r="C101" s="3"/>
      <c r="D101" s="3"/>
      <c r="E101" s="3"/>
      <c r="F101" s="33"/>
      <c r="G101" s="29"/>
      <c r="H101" s="29"/>
      <c r="I101" s="29"/>
      <c r="J101" s="29"/>
      <c r="K101" s="29"/>
      <c r="L101" s="29"/>
      <c r="M101" s="29"/>
      <c r="N101" s="29"/>
      <c r="O101" s="29"/>
      <c r="P101" s="72">
        <f>+L129</f>
        <v>22</v>
      </c>
      <c r="Q101" s="72"/>
      <c r="R101" s="29" t="s">
        <v>46</v>
      </c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34"/>
      <c r="AM101" s="3"/>
      <c r="AN101" s="3"/>
      <c r="AO101" s="3"/>
      <c r="AP101" s="3"/>
      <c r="AQ101" s="3"/>
      <c r="AR101" s="3"/>
      <c r="AS101" s="3"/>
      <c r="AT101" s="5"/>
    </row>
    <row r="102" spans="2:46" x14ac:dyDescent="0.2">
      <c r="B102" s="2"/>
      <c r="C102" s="3"/>
      <c r="D102" s="3"/>
      <c r="E102" s="3"/>
      <c r="F102" s="33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34"/>
      <c r="AM102" s="3"/>
      <c r="AN102" s="3"/>
      <c r="AO102" s="3"/>
      <c r="AP102" s="3"/>
      <c r="AQ102" s="3"/>
      <c r="AR102" s="3"/>
      <c r="AS102" s="3"/>
      <c r="AT102" s="5"/>
    </row>
    <row r="103" spans="2:46" x14ac:dyDescent="0.2">
      <c r="B103" s="2"/>
      <c r="C103" s="3"/>
      <c r="D103" s="3"/>
      <c r="E103" s="3"/>
      <c r="F103" s="33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34"/>
      <c r="AM103" s="3"/>
      <c r="AN103" s="3"/>
      <c r="AO103" s="3"/>
      <c r="AP103" s="3"/>
      <c r="AQ103" s="3"/>
      <c r="AR103" s="3"/>
      <c r="AS103" s="3"/>
      <c r="AT103" s="5"/>
    </row>
    <row r="104" spans="2:46" x14ac:dyDescent="0.2">
      <c r="B104" s="2"/>
      <c r="C104" s="3"/>
      <c r="D104" s="3"/>
      <c r="E104" s="3"/>
      <c r="F104" s="33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34"/>
      <c r="AM104" s="3"/>
      <c r="AN104" s="3"/>
      <c r="AO104" s="3"/>
      <c r="AP104" s="3"/>
      <c r="AQ104" s="3"/>
      <c r="AR104" s="3"/>
      <c r="AS104" s="3"/>
      <c r="AT104" s="5"/>
    </row>
    <row r="105" spans="2:46" x14ac:dyDescent="0.2">
      <c r="B105" s="2"/>
      <c r="C105" s="3"/>
      <c r="D105" s="3"/>
      <c r="E105" s="3"/>
      <c r="F105" s="33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34"/>
      <c r="AM105" s="3"/>
      <c r="AN105" s="3"/>
      <c r="AO105" s="3"/>
      <c r="AP105" s="3"/>
      <c r="AQ105" s="3"/>
      <c r="AR105" s="3"/>
      <c r="AS105" s="3"/>
      <c r="AT105" s="5"/>
    </row>
    <row r="106" spans="2:46" x14ac:dyDescent="0.2">
      <c r="B106" s="2"/>
      <c r="C106" s="3"/>
      <c r="D106" s="3"/>
      <c r="E106" s="3"/>
      <c r="F106" s="33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34"/>
      <c r="AM106" s="3"/>
      <c r="AN106" s="3"/>
      <c r="AO106" s="3"/>
      <c r="AP106" s="3"/>
      <c r="AQ106" s="3"/>
      <c r="AR106" s="3"/>
      <c r="AS106" s="3"/>
      <c r="AT106" s="5"/>
    </row>
    <row r="107" spans="2:46" x14ac:dyDescent="0.2">
      <c r="B107" s="2"/>
      <c r="C107" s="3"/>
      <c r="D107" s="3"/>
      <c r="E107" s="3"/>
      <c r="F107" s="33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34"/>
      <c r="AM107" s="3"/>
      <c r="AN107" s="3"/>
      <c r="AO107" s="3"/>
      <c r="AP107" s="3"/>
      <c r="AQ107" s="3"/>
      <c r="AR107" s="3"/>
      <c r="AS107" s="3"/>
      <c r="AT107" s="5"/>
    </row>
    <row r="108" spans="2:46" x14ac:dyDescent="0.2">
      <c r="B108" s="2"/>
      <c r="C108" s="3"/>
      <c r="D108" s="3"/>
      <c r="E108" s="3"/>
      <c r="F108" s="33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34"/>
      <c r="AM108" s="3"/>
      <c r="AN108" s="3"/>
      <c r="AO108" s="3"/>
      <c r="AP108" s="3"/>
      <c r="AQ108" s="3"/>
      <c r="AR108" s="3"/>
      <c r="AS108" s="3"/>
      <c r="AT108" s="5"/>
    </row>
    <row r="109" spans="2:46" x14ac:dyDescent="0.2">
      <c r="B109" s="2"/>
      <c r="C109" s="3"/>
      <c r="D109" s="3"/>
      <c r="E109" s="3"/>
      <c r="F109" s="33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 t="s">
        <v>87</v>
      </c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34"/>
      <c r="AM109" s="3"/>
      <c r="AN109" s="3"/>
      <c r="AO109" s="3"/>
      <c r="AP109" s="3"/>
      <c r="AQ109" s="3"/>
      <c r="AR109" s="3"/>
      <c r="AS109" s="3"/>
      <c r="AT109" s="5"/>
    </row>
    <row r="110" spans="2:46" x14ac:dyDescent="0.2">
      <c r="B110" s="2"/>
      <c r="C110" s="3"/>
      <c r="D110" s="3"/>
      <c r="E110" s="3"/>
      <c r="F110" s="33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34"/>
      <c r="AM110" s="3"/>
      <c r="AN110" s="3"/>
      <c r="AO110" s="3"/>
      <c r="AP110" s="3"/>
      <c r="AQ110" s="3"/>
      <c r="AR110" s="3"/>
      <c r="AS110" s="3"/>
      <c r="AT110" s="5"/>
    </row>
    <row r="111" spans="2:46" x14ac:dyDescent="0.2">
      <c r="B111" s="2"/>
      <c r="C111" s="3"/>
      <c r="D111" s="3"/>
      <c r="E111" s="3"/>
      <c r="F111" s="33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34"/>
      <c r="AM111" s="3"/>
      <c r="AN111" s="3"/>
      <c r="AO111" s="3"/>
      <c r="AP111" s="3"/>
      <c r="AQ111" s="3"/>
      <c r="AR111" s="3"/>
      <c r="AS111" s="3"/>
      <c r="AT111" s="5"/>
    </row>
    <row r="112" spans="2:46" ht="12" thickBot="1" x14ac:dyDescent="0.25">
      <c r="B112" s="2"/>
      <c r="C112" s="3"/>
      <c r="D112" s="3"/>
      <c r="E112" s="3"/>
      <c r="F112" s="37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39"/>
      <c r="AM112" s="3"/>
      <c r="AN112" s="3"/>
      <c r="AO112" s="3"/>
      <c r="AP112" s="3"/>
      <c r="AQ112" s="3"/>
      <c r="AR112" s="3"/>
      <c r="AS112" s="3"/>
      <c r="AT112" s="5"/>
    </row>
    <row r="113" spans="2:46" x14ac:dyDescent="0.2">
      <c r="B113" s="2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5"/>
    </row>
    <row r="114" spans="2:46" x14ac:dyDescent="0.2">
      <c r="B114" s="2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 t="s">
        <v>89</v>
      </c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5"/>
    </row>
    <row r="115" spans="2:46" x14ac:dyDescent="0.2">
      <c r="B115" s="2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5"/>
    </row>
    <row r="116" spans="2:46" x14ac:dyDescent="0.2">
      <c r="B116" s="2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5"/>
    </row>
    <row r="117" spans="2:46" x14ac:dyDescent="0.2">
      <c r="B117" s="2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5"/>
    </row>
    <row r="118" spans="2:46" x14ac:dyDescent="0.2">
      <c r="B118" s="2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5"/>
    </row>
    <row r="119" spans="2:46" x14ac:dyDescent="0.2">
      <c r="B119" s="2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T119" s="3" t="s">
        <v>91</v>
      </c>
      <c r="U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5"/>
    </row>
    <row r="120" spans="2:46" x14ac:dyDescent="0.2">
      <c r="B120" s="2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T120" s="3"/>
      <c r="U120" s="71">
        <f>+Y94</f>
        <v>485</v>
      </c>
      <c r="V120" s="71"/>
      <c r="W120" s="3" t="s">
        <v>43</v>
      </c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5"/>
    </row>
    <row r="121" spans="2:46" x14ac:dyDescent="0.2">
      <c r="B121" s="2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5"/>
    </row>
    <row r="122" spans="2:46" x14ac:dyDescent="0.2">
      <c r="B122" s="2"/>
      <c r="C122" s="94" t="s">
        <v>118</v>
      </c>
      <c r="D122" s="94"/>
      <c r="E122" s="94"/>
      <c r="F122" s="94"/>
      <c r="G122" s="94"/>
      <c r="H122" s="94"/>
      <c r="I122" s="94"/>
      <c r="J122" s="94"/>
      <c r="K122" s="94"/>
      <c r="L122" s="94"/>
      <c r="M122" s="94"/>
      <c r="N122" s="94"/>
      <c r="O122" s="94"/>
      <c r="P122" s="94"/>
      <c r="Q122" s="94"/>
      <c r="R122" s="94"/>
      <c r="S122" s="94"/>
      <c r="T122" s="94"/>
      <c r="U122" s="94"/>
      <c r="V122" s="94"/>
      <c r="W122" s="94"/>
      <c r="X122" s="94"/>
      <c r="Y122" s="94"/>
      <c r="Z122" s="94"/>
      <c r="AA122" s="94"/>
      <c r="AB122" s="94"/>
      <c r="AC122" s="94"/>
      <c r="AD122" s="94"/>
      <c r="AE122" s="94"/>
      <c r="AF122" s="94"/>
      <c r="AG122" s="94"/>
      <c r="AH122" s="94"/>
      <c r="AI122" s="94"/>
      <c r="AJ122" s="94"/>
      <c r="AK122" s="94"/>
      <c r="AL122" s="94"/>
      <c r="AM122" s="94"/>
      <c r="AN122" s="94"/>
      <c r="AO122" s="94"/>
      <c r="AP122" s="94"/>
      <c r="AQ122" s="94"/>
      <c r="AR122" s="94"/>
      <c r="AS122" s="94"/>
      <c r="AT122" s="5"/>
    </row>
    <row r="123" spans="2:46" x14ac:dyDescent="0.2">
      <c r="B123" s="2"/>
      <c r="C123" s="94"/>
      <c r="D123" s="94"/>
      <c r="E123" s="94"/>
      <c r="F123" s="94"/>
      <c r="G123" s="94"/>
      <c r="H123" s="94"/>
      <c r="I123" s="94"/>
      <c r="J123" s="94"/>
      <c r="K123" s="94"/>
      <c r="L123" s="94"/>
      <c r="M123" s="94"/>
      <c r="N123" s="94"/>
      <c r="O123" s="94"/>
      <c r="P123" s="94"/>
      <c r="Q123" s="94"/>
      <c r="R123" s="94"/>
      <c r="S123" s="94"/>
      <c r="T123" s="94"/>
      <c r="U123" s="94"/>
      <c r="V123" s="94"/>
      <c r="W123" s="94"/>
      <c r="X123" s="94"/>
      <c r="Y123" s="94"/>
      <c r="Z123" s="94"/>
      <c r="AA123" s="94"/>
      <c r="AB123" s="94"/>
      <c r="AC123" s="94"/>
      <c r="AD123" s="94"/>
      <c r="AE123" s="94"/>
      <c r="AF123" s="94"/>
      <c r="AG123" s="94"/>
      <c r="AH123" s="94"/>
      <c r="AI123" s="94"/>
      <c r="AJ123" s="94"/>
      <c r="AK123" s="94"/>
      <c r="AL123" s="94"/>
      <c r="AM123" s="94"/>
      <c r="AN123" s="94"/>
      <c r="AO123" s="94"/>
      <c r="AP123" s="94"/>
      <c r="AQ123" s="94"/>
      <c r="AR123" s="94"/>
      <c r="AS123" s="94"/>
      <c r="AT123" s="5"/>
    </row>
    <row r="124" spans="2:46" x14ac:dyDescent="0.2">
      <c r="B124" s="2"/>
      <c r="C124" s="94"/>
      <c r="D124" s="94"/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94"/>
      <c r="AA124" s="94"/>
      <c r="AB124" s="94"/>
      <c r="AC124" s="94"/>
      <c r="AD124" s="94"/>
      <c r="AE124" s="94"/>
      <c r="AF124" s="94"/>
      <c r="AG124" s="94"/>
      <c r="AH124" s="94"/>
      <c r="AI124" s="94"/>
      <c r="AJ124" s="94"/>
      <c r="AK124" s="94"/>
      <c r="AL124" s="94"/>
      <c r="AM124" s="94"/>
      <c r="AN124" s="94"/>
      <c r="AO124" s="94"/>
      <c r="AP124" s="94"/>
      <c r="AQ124" s="94"/>
      <c r="AR124" s="94"/>
      <c r="AS124" s="94"/>
      <c r="AT124" s="5"/>
    </row>
    <row r="125" spans="2:46" x14ac:dyDescent="0.2">
      <c r="B125" s="2"/>
      <c r="C125" s="6" t="s">
        <v>50</v>
      </c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5"/>
    </row>
    <row r="126" spans="2:46" x14ac:dyDescent="0.2">
      <c r="B126" s="2"/>
      <c r="C126" s="3" t="s">
        <v>92</v>
      </c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R126" s="51">
        <f>+Y94</f>
        <v>485</v>
      </c>
      <c r="S126" s="51"/>
      <c r="T126" s="26" t="s">
        <v>44</v>
      </c>
      <c r="U126" s="26"/>
      <c r="V126" s="78">
        <f>+U95</f>
        <v>23</v>
      </c>
      <c r="W126" s="51"/>
      <c r="X126" s="3" t="s">
        <v>43</v>
      </c>
      <c r="Y126" s="3"/>
      <c r="Z126" s="9" t="s">
        <v>7</v>
      </c>
      <c r="AA126" s="49">
        <f>+R126/V126</f>
        <v>21.086956521739129</v>
      </c>
      <c r="AB126" s="49"/>
      <c r="AC126" s="49"/>
      <c r="AD126" s="3" t="s">
        <v>45</v>
      </c>
      <c r="AE126" s="3"/>
      <c r="AF126" s="49">
        <f>ROUNDDOWN(AA126,0)</f>
        <v>21</v>
      </c>
      <c r="AG126" s="49"/>
      <c r="AH126" s="3" t="s">
        <v>46</v>
      </c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5"/>
    </row>
    <row r="127" spans="2:46" x14ac:dyDescent="0.2">
      <c r="B127" s="2"/>
      <c r="C127" s="49">
        <f>+R126</f>
        <v>485</v>
      </c>
      <c r="D127" s="49"/>
      <c r="E127" s="3" t="s">
        <v>43</v>
      </c>
      <c r="F127" s="3"/>
      <c r="G127" s="9" t="s">
        <v>16</v>
      </c>
      <c r="H127" s="49">
        <f>+V126</f>
        <v>23</v>
      </c>
      <c r="I127" s="49"/>
      <c r="J127" s="3" t="s">
        <v>47</v>
      </c>
      <c r="K127" s="3"/>
      <c r="L127" s="49">
        <f>+AF126</f>
        <v>21</v>
      </c>
      <c r="M127" s="49"/>
      <c r="N127" s="3" t="s">
        <v>46</v>
      </c>
      <c r="O127" s="3"/>
      <c r="P127" s="41" t="s">
        <v>7</v>
      </c>
      <c r="Q127" s="49">
        <f>+C127-H127*L127</f>
        <v>2</v>
      </c>
      <c r="R127" s="49"/>
      <c r="S127" s="9" t="str">
        <f>IF(Q127&lt;Y127,"&lt;","&gt;")</f>
        <v>&lt;</v>
      </c>
      <c r="T127" s="49">
        <f>+V126</f>
        <v>23</v>
      </c>
      <c r="U127" s="49"/>
      <c r="V127" s="3" t="s">
        <v>8</v>
      </c>
      <c r="W127" s="3">
        <v>2</v>
      </c>
      <c r="X127" s="9" t="s">
        <v>7</v>
      </c>
      <c r="Y127" s="49">
        <f>+T127/W127</f>
        <v>11.5</v>
      </c>
      <c r="Z127" s="49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5"/>
    </row>
    <row r="128" spans="2:46" x14ac:dyDescent="0.2">
      <c r="B128" s="2"/>
      <c r="C128" s="3" t="s">
        <v>48</v>
      </c>
      <c r="D128" s="3"/>
      <c r="E128" s="3"/>
      <c r="F128" s="3"/>
      <c r="G128" s="3"/>
      <c r="H128" s="3"/>
      <c r="I128" s="49">
        <f>+AF126</f>
        <v>21</v>
      </c>
      <c r="J128" s="49"/>
      <c r="K128" s="9" t="s">
        <v>6</v>
      </c>
      <c r="L128" s="49">
        <f>IF(Q127&lt;Y127,Q127,1)</f>
        <v>2</v>
      </c>
      <c r="M128" s="49"/>
      <c r="N128" s="9" t="s">
        <v>7</v>
      </c>
      <c r="O128" s="57">
        <f>+I128+L128</f>
        <v>23</v>
      </c>
      <c r="P128" s="57"/>
      <c r="Q128" s="10" t="s">
        <v>46</v>
      </c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5"/>
    </row>
    <row r="129" spans="2:46" x14ac:dyDescent="0.2">
      <c r="B129" s="2"/>
      <c r="C129" s="3" t="s">
        <v>49</v>
      </c>
      <c r="D129" s="3"/>
      <c r="E129" s="3"/>
      <c r="F129" s="3"/>
      <c r="G129" s="49">
        <f>IF(Q127&lt;Y127,O128,IF(Q127&gt;Y127,O128,+AF126))</f>
        <v>23</v>
      </c>
      <c r="H129" s="49"/>
      <c r="I129" s="9" t="s">
        <v>16</v>
      </c>
      <c r="J129" s="3">
        <f>IF(Q127&lt;Y127,1,IF(AA126=AF126,1,0))</f>
        <v>1</v>
      </c>
      <c r="K129" s="9" t="s">
        <v>7</v>
      </c>
      <c r="L129" s="57">
        <f>+G129-J129</f>
        <v>22</v>
      </c>
      <c r="M129" s="57"/>
      <c r="N129" s="10" t="s">
        <v>46</v>
      </c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5"/>
    </row>
    <row r="130" spans="2:46" x14ac:dyDescent="0.2">
      <c r="B130" s="2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5"/>
    </row>
    <row r="131" spans="2:46" x14ac:dyDescent="0.2">
      <c r="B131" s="2"/>
      <c r="C131" s="6" t="s">
        <v>51</v>
      </c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5"/>
    </row>
    <row r="132" spans="2:46" x14ac:dyDescent="0.2">
      <c r="B132" s="2"/>
      <c r="C132" s="3" t="s">
        <v>92</v>
      </c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R132" s="51">
        <f>+Y94</f>
        <v>485</v>
      </c>
      <c r="S132" s="51"/>
      <c r="T132" s="26" t="s">
        <v>44</v>
      </c>
      <c r="U132" s="26"/>
      <c r="V132" s="78">
        <f>+Q86</f>
        <v>30</v>
      </c>
      <c r="W132" s="51"/>
      <c r="X132" s="3" t="s">
        <v>43</v>
      </c>
      <c r="Y132" s="3"/>
      <c r="Z132" s="9" t="s">
        <v>7</v>
      </c>
      <c r="AA132" s="49">
        <f>+R132/V132</f>
        <v>16.166666666666668</v>
      </c>
      <c r="AB132" s="49"/>
      <c r="AC132" s="49"/>
      <c r="AD132" s="3" t="s">
        <v>45</v>
      </c>
      <c r="AE132" s="3"/>
      <c r="AF132" s="49">
        <f>ROUNDDOWN(AA132,0)</f>
        <v>16</v>
      </c>
      <c r="AG132" s="49"/>
      <c r="AH132" s="3" t="s">
        <v>46</v>
      </c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5"/>
    </row>
    <row r="133" spans="2:46" x14ac:dyDescent="0.2">
      <c r="B133" s="2"/>
      <c r="C133" s="3" t="s">
        <v>52</v>
      </c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49">
        <f>+AF132</f>
        <v>16</v>
      </c>
      <c r="Q133" s="49"/>
      <c r="R133" s="9" t="s">
        <v>6</v>
      </c>
      <c r="S133" s="3">
        <v>1</v>
      </c>
      <c r="T133" s="9" t="s">
        <v>7</v>
      </c>
      <c r="U133" s="57">
        <f>+P133+S133</f>
        <v>17</v>
      </c>
      <c r="V133" s="57"/>
      <c r="W133" s="10" t="s">
        <v>46</v>
      </c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5"/>
    </row>
    <row r="134" spans="2:46" x14ac:dyDescent="0.2">
      <c r="B134" s="2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5"/>
    </row>
    <row r="135" spans="2:46" x14ac:dyDescent="0.2">
      <c r="B135" s="2"/>
      <c r="C135" s="6" t="s">
        <v>54</v>
      </c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5"/>
    </row>
    <row r="136" spans="2:46" x14ac:dyDescent="0.2">
      <c r="B136" s="2"/>
      <c r="C136" s="55">
        <v>8</v>
      </c>
      <c r="D136" s="55"/>
      <c r="E136" s="3"/>
      <c r="F136" s="3"/>
      <c r="G136" s="3"/>
      <c r="H136" s="49">
        <f>ROUND(PI()*C136^2/4*7850/1000000,3)</f>
        <v>0.39500000000000002</v>
      </c>
      <c r="I136" s="49"/>
      <c r="J136" s="49"/>
      <c r="K136" s="3" t="s">
        <v>53</v>
      </c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5"/>
    </row>
    <row r="137" spans="2:46" ht="12" thickBot="1" x14ac:dyDescent="0.25">
      <c r="B137" s="16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8"/>
    </row>
    <row r="138" spans="2:46" ht="12" thickBot="1" x14ac:dyDescent="0.25"/>
    <row r="139" spans="2:46" ht="48.75" customHeight="1" x14ac:dyDescent="0.2">
      <c r="B139" s="58" t="s">
        <v>112</v>
      </c>
      <c r="C139" s="59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  <c r="AA139" s="59"/>
      <c r="AB139" s="59"/>
      <c r="AC139" s="59"/>
      <c r="AD139" s="59"/>
      <c r="AE139" s="59"/>
      <c r="AF139" s="59"/>
      <c r="AG139" s="59"/>
      <c r="AH139" s="59"/>
      <c r="AI139" s="59"/>
      <c r="AJ139" s="59"/>
      <c r="AK139" s="59"/>
      <c r="AL139" s="59"/>
      <c r="AM139" s="59"/>
      <c r="AN139" s="59"/>
      <c r="AO139" s="59"/>
      <c r="AP139" s="59"/>
      <c r="AQ139" s="59"/>
      <c r="AR139" s="59"/>
      <c r="AS139" s="59"/>
      <c r="AT139" s="60"/>
    </row>
    <row r="140" spans="2:46" x14ac:dyDescent="0.2">
      <c r="B140" s="2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4" t="s">
        <v>29</v>
      </c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5"/>
    </row>
    <row r="141" spans="2:46" x14ac:dyDescent="0.2">
      <c r="B141" s="2"/>
      <c r="C141" s="6" t="s">
        <v>95</v>
      </c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5"/>
    </row>
    <row r="142" spans="2:46" x14ac:dyDescent="0.2">
      <c r="B142" s="2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5"/>
    </row>
    <row r="143" spans="2:46" x14ac:dyDescent="0.2">
      <c r="B143" s="2"/>
      <c r="C143" s="79" t="s">
        <v>55</v>
      </c>
      <c r="D143" s="79"/>
      <c r="E143" s="79"/>
      <c r="F143" s="79"/>
      <c r="G143" s="79"/>
      <c r="H143" s="79" t="s">
        <v>56</v>
      </c>
      <c r="I143" s="79"/>
      <c r="J143" s="79"/>
      <c r="K143" s="79"/>
      <c r="L143" s="79"/>
      <c r="M143" s="79"/>
      <c r="N143" s="81" t="s">
        <v>57</v>
      </c>
      <c r="O143" s="82"/>
      <c r="P143" s="82"/>
      <c r="Q143" s="82"/>
      <c r="R143" s="82"/>
      <c r="S143" s="82"/>
      <c r="T143" s="82"/>
      <c r="U143" s="8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5"/>
    </row>
    <row r="144" spans="2:46" ht="12" thickBot="1" x14ac:dyDescent="0.25">
      <c r="B144" s="2"/>
      <c r="C144" s="80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4"/>
      <c r="O144" s="85"/>
      <c r="P144" s="85"/>
      <c r="Q144" s="85"/>
      <c r="R144" s="85"/>
      <c r="S144" s="85"/>
      <c r="T144" s="85"/>
      <c r="U144" s="86"/>
      <c r="V144" s="3"/>
      <c r="W144" s="3"/>
      <c r="X144" s="3"/>
      <c r="Y144" s="22">
        <v>4</v>
      </c>
      <c r="Z144" s="3" t="s">
        <v>66</v>
      </c>
      <c r="AA144" s="3"/>
      <c r="AB144" s="3"/>
      <c r="AC144" s="3"/>
      <c r="AD144" s="3"/>
      <c r="AE144" s="3"/>
      <c r="AF144" s="3"/>
      <c r="AG144" s="3"/>
      <c r="AH144" s="3"/>
      <c r="AI144" s="3"/>
      <c r="AJ144" s="7" t="s">
        <v>77</v>
      </c>
      <c r="AK144" s="3"/>
      <c r="AL144" s="3"/>
      <c r="AM144" s="3"/>
      <c r="AN144" s="3"/>
      <c r="AO144" s="3"/>
      <c r="AP144" s="3"/>
      <c r="AQ144" s="3"/>
      <c r="AR144" s="3"/>
      <c r="AS144" s="3"/>
      <c r="AT144" s="5"/>
    </row>
    <row r="145" spans="2:46" ht="12" thickTop="1" x14ac:dyDescent="0.2">
      <c r="B145" s="2"/>
      <c r="C145" s="87" t="s">
        <v>58</v>
      </c>
      <c r="D145" s="87"/>
      <c r="E145" s="87"/>
      <c r="F145" s="87"/>
      <c r="G145" s="87"/>
      <c r="H145" s="73">
        <v>460</v>
      </c>
      <c r="I145" s="73"/>
      <c r="J145" s="73"/>
      <c r="K145" s="74"/>
      <c r="L145" s="75" t="s">
        <v>13</v>
      </c>
      <c r="M145" s="76"/>
      <c r="N145" s="77">
        <v>0.7</v>
      </c>
      <c r="O145" s="77"/>
      <c r="P145" s="77"/>
      <c r="Q145" s="77"/>
      <c r="R145" s="77"/>
      <c r="S145" s="77"/>
      <c r="T145" s="77"/>
      <c r="U145" s="77"/>
      <c r="V145" s="3"/>
      <c r="W145" s="3"/>
      <c r="X145" s="3"/>
      <c r="Y145" s="22">
        <v>10</v>
      </c>
      <c r="Z145" s="3" t="s">
        <v>120</v>
      </c>
      <c r="AA145" s="3"/>
      <c r="AB145" s="3"/>
      <c r="AC145" s="3"/>
      <c r="AD145" s="3"/>
      <c r="AE145" s="3"/>
      <c r="AF145" s="3"/>
      <c r="AG145" s="3"/>
      <c r="AH145" s="3"/>
      <c r="AI145" s="3"/>
      <c r="AJ145" s="3" t="s">
        <v>73</v>
      </c>
      <c r="AK145" s="3"/>
      <c r="AL145" s="3"/>
      <c r="AM145" s="22">
        <v>8</v>
      </c>
      <c r="AN145" s="3" t="s">
        <v>74</v>
      </c>
      <c r="AO145" s="3"/>
      <c r="AP145" s="3"/>
      <c r="AQ145" s="3"/>
      <c r="AR145" s="3"/>
      <c r="AS145" s="3"/>
      <c r="AT145" s="5"/>
    </row>
    <row r="146" spans="2:46" x14ac:dyDescent="0.2">
      <c r="B146" s="2"/>
      <c r="C146" s="52" t="s">
        <v>59</v>
      </c>
      <c r="D146" s="52"/>
      <c r="E146" s="52"/>
      <c r="F146" s="52"/>
      <c r="G146" s="52"/>
      <c r="H146" s="53">
        <v>96</v>
      </c>
      <c r="I146" s="53"/>
      <c r="J146" s="53"/>
      <c r="K146" s="54"/>
      <c r="L146" s="88" t="s">
        <v>13</v>
      </c>
      <c r="M146" s="89"/>
      <c r="N146" s="90">
        <v>3.1</v>
      </c>
      <c r="O146" s="90"/>
      <c r="P146" s="90"/>
      <c r="Q146" s="90"/>
      <c r="R146" s="90"/>
      <c r="S146" s="90"/>
      <c r="T146" s="90"/>
      <c r="U146" s="90"/>
      <c r="V146" s="3"/>
      <c r="W146" s="3"/>
      <c r="X146" s="3"/>
      <c r="Y146" s="23" t="s">
        <v>68</v>
      </c>
      <c r="Z146" s="50">
        <v>0.8</v>
      </c>
      <c r="AA146" s="50"/>
      <c r="AB146" s="3" t="s">
        <v>67</v>
      </c>
      <c r="AC146" s="3"/>
      <c r="AD146" s="3"/>
      <c r="AE146" s="3"/>
      <c r="AF146" s="3"/>
      <c r="AG146" s="3"/>
      <c r="AH146" s="3"/>
      <c r="AI146" s="3"/>
      <c r="AJ146" s="3" t="s">
        <v>75</v>
      </c>
      <c r="AK146" s="3"/>
      <c r="AL146" s="3"/>
      <c r="AM146" s="22">
        <v>6</v>
      </c>
      <c r="AN146" s="3" t="s">
        <v>76</v>
      </c>
      <c r="AO146" s="3"/>
      <c r="AP146" s="3"/>
      <c r="AQ146" s="3"/>
      <c r="AR146" s="3"/>
      <c r="AS146" s="3"/>
      <c r="AT146" s="5"/>
    </row>
    <row r="147" spans="2:46" x14ac:dyDescent="0.2">
      <c r="B147" s="2"/>
      <c r="C147" s="52" t="s">
        <v>64</v>
      </c>
      <c r="D147" s="52"/>
      <c r="E147" s="52"/>
      <c r="F147" s="52"/>
      <c r="G147" s="52"/>
      <c r="H147" s="53">
        <v>1024</v>
      </c>
      <c r="I147" s="53"/>
      <c r="J147" s="53"/>
      <c r="K147" s="54"/>
      <c r="L147" s="88" t="s">
        <v>17</v>
      </c>
      <c r="M147" s="89"/>
      <c r="N147" s="90">
        <v>1.5</v>
      </c>
      <c r="O147" s="90"/>
      <c r="P147" s="90"/>
      <c r="Q147" s="90"/>
      <c r="R147" s="90"/>
      <c r="S147" s="90"/>
      <c r="T147" s="90"/>
      <c r="U147" s="90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5"/>
    </row>
    <row r="148" spans="2:46" x14ac:dyDescent="0.2">
      <c r="B148" s="2"/>
      <c r="C148" s="52" t="s">
        <v>61</v>
      </c>
      <c r="D148" s="52"/>
      <c r="E148" s="52"/>
      <c r="F148" s="52"/>
      <c r="G148" s="52"/>
      <c r="H148" s="53">
        <v>14500</v>
      </c>
      <c r="I148" s="53"/>
      <c r="J148" s="53"/>
      <c r="K148" s="54"/>
      <c r="L148" s="88" t="s">
        <v>65</v>
      </c>
      <c r="M148" s="89"/>
      <c r="N148" s="90">
        <v>0.14000000000000001</v>
      </c>
      <c r="O148" s="90"/>
      <c r="P148" s="90"/>
      <c r="Q148" s="90"/>
      <c r="R148" s="90"/>
      <c r="S148" s="90"/>
      <c r="T148" s="90"/>
      <c r="U148" s="90"/>
      <c r="V148" s="3"/>
      <c r="W148" s="3"/>
      <c r="X148" s="3"/>
      <c r="Y148" s="3" t="s">
        <v>69</v>
      </c>
      <c r="Z148" s="3"/>
      <c r="AA148" s="3"/>
      <c r="AB148" s="22">
        <v>1</v>
      </c>
      <c r="AC148" s="3" t="s">
        <v>70</v>
      </c>
      <c r="AD148" s="3"/>
      <c r="AE148" s="3"/>
      <c r="AF148" s="3"/>
      <c r="AG148" s="3"/>
      <c r="AH148" s="3"/>
      <c r="AI148" s="3"/>
      <c r="AP148" s="3"/>
      <c r="AQ148" s="3"/>
      <c r="AR148" s="3"/>
      <c r="AS148" s="3"/>
      <c r="AT148" s="5"/>
    </row>
    <row r="149" spans="2:46" x14ac:dyDescent="0.2">
      <c r="B149" s="2"/>
      <c r="C149" s="52" t="s">
        <v>62</v>
      </c>
      <c r="D149" s="52"/>
      <c r="E149" s="52"/>
      <c r="F149" s="52"/>
      <c r="G149" s="52"/>
      <c r="H149" s="53">
        <v>385</v>
      </c>
      <c r="I149" s="53"/>
      <c r="J149" s="53"/>
      <c r="K149" s="54"/>
      <c r="L149" s="88" t="s">
        <v>13</v>
      </c>
      <c r="M149" s="89"/>
      <c r="N149" s="90">
        <v>0.5</v>
      </c>
      <c r="O149" s="90"/>
      <c r="P149" s="90"/>
      <c r="Q149" s="90"/>
      <c r="R149" s="90"/>
      <c r="S149" s="90"/>
      <c r="T149" s="90"/>
      <c r="U149" s="90"/>
      <c r="V149" s="3"/>
      <c r="W149" s="3"/>
      <c r="X149" s="3"/>
      <c r="Y149" s="3" t="s">
        <v>59</v>
      </c>
      <c r="Z149" s="3"/>
      <c r="AA149" s="3"/>
      <c r="AB149" s="22">
        <v>5</v>
      </c>
      <c r="AC149" s="3" t="s">
        <v>71</v>
      </c>
      <c r="AD149" s="3"/>
      <c r="AE149" s="3"/>
      <c r="AF149" s="3"/>
      <c r="AG149" s="3"/>
      <c r="AH149" s="3"/>
      <c r="AP149" s="3"/>
      <c r="AQ149" s="3"/>
      <c r="AR149" s="3"/>
      <c r="AS149" s="3"/>
      <c r="AT149" s="5"/>
    </row>
    <row r="150" spans="2:46" x14ac:dyDescent="0.2">
      <c r="B150" s="2"/>
      <c r="C150" s="52" t="s">
        <v>63</v>
      </c>
      <c r="D150" s="52"/>
      <c r="E150" s="52"/>
      <c r="F150" s="52"/>
      <c r="G150" s="52"/>
      <c r="H150" s="53">
        <v>230</v>
      </c>
      <c r="I150" s="53"/>
      <c r="J150" s="53"/>
      <c r="K150" s="54"/>
      <c r="L150" s="88" t="s">
        <v>13</v>
      </c>
      <c r="M150" s="89"/>
      <c r="N150" s="90">
        <v>4.8</v>
      </c>
      <c r="O150" s="90"/>
      <c r="P150" s="90"/>
      <c r="Q150" s="90"/>
      <c r="R150" s="90"/>
      <c r="S150" s="90"/>
      <c r="T150" s="90"/>
      <c r="U150" s="90"/>
      <c r="V150" s="3"/>
      <c r="W150" s="3"/>
      <c r="X150" s="3"/>
      <c r="Y150" s="3" t="s">
        <v>60</v>
      </c>
      <c r="Z150" s="3"/>
      <c r="AA150" s="3"/>
      <c r="AB150" s="22">
        <v>10</v>
      </c>
      <c r="AC150" s="3" t="s">
        <v>71</v>
      </c>
      <c r="AD150" s="3"/>
      <c r="AE150" s="3"/>
      <c r="AF150" s="3"/>
      <c r="AG150" s="3"/>
      <c r="AH150" s="3"/>
      <c r="AI150" s="3"/>
      <c r="AM150" s="3"/>
      <c r="AN150" s="3"/>
      <c r="AO150" s="3"/>
      <c r="AP150" s="3"/>
      <c r="AQ150" s="3"/>
      <c r="AR150" s="3"/>
      <c r="AS150" s="3"/>
      <c r="AT150" s="5"/>
    </row>
    <row r="151" spans="2:46" x14ac:dyDescent="0.2">
      <c r="B151" s="2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 t="s">
        <v>61</v>
      </c>
      <c r="Z151" s="3"/>
      <c r="AA151" s="3"/>
      <c r="AB151" s="22">
        <v>10</v>
      </c>
      <c r="AC151" s="3" t="s">
        <v>71</v>
      </c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5"/>
    </row>
    <row r="152" spans="2:46" x14ac:dyDescent="0.2">
      <c r="B152" s="2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 t="s">
        <v>62</v>
      </c>
      <c r="Z152" s="3"/>
      <c r="AA152" s="3"/>
      <c r="AB152" s="22">
        <v>10</v>
      </c>
      <c r="AC152" s="3" t="s">
        <v>71</v>
      </c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5"/>
    </row>
    <row r="153" spans="2:46" x14ac:dyDescent="0.2">
      <c r="B153" s="2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 t="s">
        <v>72</v>
      </c>
      <c r="Z153" s="3"/>
      <c r="AA153" s="3"/>
      <c r="AB153" s="22">
        <v>10</v>
      </c>
      <c r="AC153" s="3" t="s">
        <v>71</v>
      </c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5"/>
    </row>
    <row r="154" spans="2:46" x14ac:dyDescent="0.2">
      <c r="B154" s="2"/>
      <c r="C154" s="6" t="s">
        <v>82</v>
      </c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5"/>
    </row>
    <row r="155" spans="2:46" x14ac:dyDescent="0.2">
      <c r="B155" s="2"/>
      <c r="C155" s="3" t="s">
        <v>58</v>
      </c>
      <c r="D155" s="3"/>
      <c r="E155" s="3"/>
      <c r="F155" s="49">
        <f>+H145</f>
        <v>460</v>
      </c>
      <c r="G155" s="49"/>
      <c r="H155" s="9" t="s">
        <v>9</v>
      </c>
      <c r="I155" s="49">
        <f t="shared" ref="I155:I160" si="0">+N145</f>
        <v>0.7</v>
      </c>
      <c r="J155" s="49"/>
      <c r="K155" s="3" t="s">
        <v>8</v>
      </c>
      <c r="L155" s="49">
        <f>+Z146</f>
        <v>0.8</v>
      </c>
      <c r="M155" s="49"/>
      <c r="N155" s="3" t="s">
        <v>8</v>
      </c>
      <c r="O155" s="3">
        <f>+AM145</f>
        <v>8</v>
      </c>
      <c r="P155" s="3" t="s">
        <v>8</v>
      </c>
      <c r="Q155" s="3">
        <f>+AM146</f>
        <v>6</v>
      </c>
      <c r="R155" s="3" t="s">
        <v>8</v>
      </c>
      <c r="S155" s="3">
        <f t="shared" ref="S155:S160" si="1">+AB148</f>
        <v>1</v>
      </c>
      <c r="T155" s="3"/>
      <c r="U155" s="3"/>
      <c r="V155" s="9" t="s">
        <v>7</v>
      </c>
      <c r="W155" s="66">
        <f>ROUND(+F155*I155/L155/O155/Q155/S155,3)</f>
        <v>8.3849999999999998</v>
      </c>
      <c r="X155" s="66"/>
      <c r="Y155" s="66"/>
      <c r="Z155" s="24" t="s">
        <v>78</v>
      </c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5"/>
    </row>
    <row r="156" spans="2:46" x14ac:dyDescent="0.2">
      <c r="B156" s="2"/>
      <c r="C156" s="3" t="s">
        <v>59</v>
      </c>
      <c r="D156" s="3"/>
      <c r="E156" s="3"/>
      <c r="F156" s="49">
        <f>+H146</f>
        <v>96</v>
      </c>
      <c r="G156" s="49"/>
      <c r="H156" s="9" t="s">
        <v>9</v>
      </c>
      <c r="I156" s="49">
        <f t="shared" si="0"/>
        <v>3.1</v>
      </c>
      <c r="J156" s="49"/>
      <c r="K156" s="3" t="s">
        <v>8</v>
      </c>
      <c r="L156" s="49">
        <f>+L155</f>
        <v>0.8</v>
      </c>
      <c r="M156" s="49"/>
      <c r="N156" s="3" t="s">
        <v>8</v>
      </c>
      <c r="O156" s="3">
        <f>+O155</f>
        <v>8</v>
      </c>
      <c r="P156" s="3" t="s">
        <v>8</v>
      </c>
      <c r="Q156" s="3">
        <f>+Q155</f>
        <v>6</v>
      </c>
      <c r="R156" s="3" t="s">
        <v>8</v>
      </c>
      <c r="S156" s="3">
        <f t="shared" si="1"/>
        <v>5</v>
      </c>
      <c r="T156" s="3"/>
      <c r="U156" s="3"/>
      <c r="V156" s="9" t="s">
        <v>7</v>
      </c>
      <c r="W156" s="66">
        <f>ROUND(+F156*I156/L156/O156/Q156/S156,3)</f>
        <v>1.55</v>
      </c>
      <c r="X156" s="66"/>
      <c r="Y156" s="66"/>
      <c r="Z156" s="24" t="s">
        <v>78</v>
      </c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5"/>
    </row>
    <row r="157" spans="2:46" x14ac:dyDescent="0.2">
      <c r="B157" s="2"/>
      <c r="C157" s="3" t="s">
        <v>60</v>
      </c>
      <c r="D157" s="3"/>
      <c r="E157" s="3"/>
      <c r="F157" s="49">
        <f>+H147</f>
        <v>1024</v>
      </c>
      <c r="G157" s="49"/>
      <c r="H157" s="9" t="s">
        <v>9</v>
      </c>
      <c r="I157" s="49">
        <f t="shared" si="0"/>
        <v>1.5</v>
      </c>
      <c r="J157" s="49"/>
      <c r="K157" s="3" t="s">
        <v>8</v>
      </c>
      <c r="L157" s="49">
        <f>+L156</f>
        <v>0.8</v>
      </c>
      <c r="M157" s="49"/>
      <c r="N157" s="3" t="s">
        <v>8</v>
      </c>
      <c r="O157" s="3">
        <f>+O156</f>
        <v>8</v>
      </c>
      <c r="P157" s="3" t="s">
        <v>8</v>
      </c>
      <c r="Q157" s="3">
        <f>+Q156</f>
        <v>6</v>
      </c>
      <c r="R157" s="3" t="s">
        <v>8</v>
      </c>
      <c r="S157" s="3">
        <f t="shared" si="1"/>
        <v>10</v>
      </c>
      <c r="T157" s="9" t="s">
        <v>9</v>
      </c>
      <c r="U157" s="3">
        <f>+Y144</f>
        <v>4</v>
      </c>
      <c r="V157" s="9" t="s">
        <v>7</v>
      </c>
      <c r="W157" s="66">
        <f>ROUND(+F157*I157/L157/O157/Q157/S157*U157,3)</f>
        <v>16</v>
      </c>
      <c r="X157" s="66"/>
      <c r="Y157" s="66"/>
      <c r="Z157" s="24" t="s">
        <v>78</v>
      </c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5"/>
    </row>
    <row r="158" spans="2:46" x14ac:dyDescent="0.2">
      <c r="B158" s="2"/>
      <c r="C158" s="3" t="s">
        <v>61</v>
      </c>
      <c r="D158" s="3"/>
      <c r="E158" s="49">
        <f>+H148</f>
        <v>14500</v>
      </c>
      <c r="F158" s="49"/>
      <c r="G158" s="49"/>
      <c r="H158" s="9" t="s">
        <v>9</v>
      </c>
      <c r="I158" s="49">
        <f t="shared" si="0"/>
        <v>0.14000000000000001</v>
      </c>
      <c r="J158" s="49"/>
      <c r="K158" s="3" t="s">
        <v>8</v>
      </c>
      <c r="L158" s="49">
        <f>+L157</f>
        <v>0.8</v>
      </c>
      <c r="M158" s="49"/>
      <c r="N158" s="3" t="s">
        <v>8</v>
      </c>
      <c r="O158" s="3">
        <f>+O157</f>
        <v>8</v>
      </c>
      <c r="P158" s="3" t="s">
        <v>8</v>
      </c>
      <c r="Q158" s="3">
        <f>+Q157</f>
        <v>6</v>
      </c>
      <c r="R158" s="3" t="s">
        <v>8</v>
      </c>
      <c r="S158" s="3">
        <f t="shared" si="1"/>
        <v>10</v>
      </c>
      <c r="T158" s="9" t="s">
        <v>9</v>
      </c>
      <c r="U158" s="3">
        <f>+U157</f>
        <v>4</v>
      </c>
      <c r="V158" s="9" t="s">
        <v>7</v>
      </c>
      <c r="W158" s="66">
        <f>ROUND(+E158*I158/L158/O158/Q158/S158*U158,3)</f>
        <v>21.146000000000001</v>
      </c>
      <c r="X158" s="66"/>
      <c r="Y158" s="66"/>
      <c r="Z158" s="24" t="s">
        <v>78</v>
      </c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5"/>
    </row>
    <row r="159" spans="2:46" x14ac:dyDescent="0.2">
      <c r="B159" s="2"/>
      <c r="C159" s="3" t="s">
        <v>62</v>
      </c>
      <c r="D159" s="3"/>
      <c r="E159" s="3"/>
      <c r="F159" s="49">
        <f>+H149</f>
        <v>385</v>
      </c>
      <c r="G159" s="49"/>
      <c r="H159" s="9" t="s">
        <v>9</v>
      </c>
      <c r="I159" s="49">
        <f t="shared" si="0"/>
        <v>0.5</v>
      </c>
      <c r="J159" s="49"/>
      <c r="K159" s="3" t="s">
        <v>8</v>
      </c>
      <c r="L159" s="49">
        <f>+L157</f>
        <v>0.8</v>
      </c>
      <c r="M159" s="49"/>
      <c r="N159" s="3" t="s">
        <v>8</v>
      </c>
      <c r="O159" s="3">
        <f>+O157</f>
        <v>8</v>
      </c>
      <c r="P159" s="3" t="s">
        <v>8</v>
      </c>
      <c r="Q159" s="3">
        <f>+Q157</f>
        <v>6</v>
      </c>
      <c r="R159" s="3" t="s">
        <v>8</v>
      </c>
      <c r="S159" s="3">
        <f t="shared" si="1"/>
        <v>10</v>
      </c>
      <c r="T159" s="9" t="s">
        <v>9</v>
      </c>
      <c r="U159" s="3">
        <f>+U157</f>
        <v>4</v>
      </c>
      <c r="V159" s="9" t="s">
        <v>7</v>
      </c>
      <c r="W159" s="66">
        <f>ROUND(+F159*I159/L159/O159/Q159/S159*U159,3)</f>
        <v>2.0049999999999999</v>
      </c>
      <c r="X159" s="66"/>
      <c r="Y159" s="66"/>
      <c r="Z159" s="24" t="s">
        <v>78</v>
      </c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5"/>
    </row>
    <row r="160" spans="2:46" x14ac:dyDescent="0.2">
      <c r="B160" s="2"/>
      <c r="C160" s="3" t="s">
        <v>72</v>
      </c>
      <c r="D160" s="3"/>
      <c r="E160" s="3"/>
      <c r="F160" s="49">
        <f>+H150</f>
        <v>230</v>
      </c>
      <c r="G160" s="49"/>
      <c r="H160" s="9" t="s">
        <v>9</v>
      </c>
      <c r="I160" s="49">
        <f t="shared" si="0"/>
        <v>4.8</v>
      </c>
      <c r="J160" s="49"/>
      <c r="K160" s="3" t="s">
        <v>8</v>
      </c>
      <c r="L160" s="49">
        <f>+L159</f>
        <v>0.8</v>
      </c>
      <c r="M160" s="49"/>
      <c r="N160" s="3" t="s">
        <v>8</v>
      </c>
      <c r="O160" s="3">
        <f>+O159</f>
        <v>8</v>
      </c>
      <c r="P160" s="3" t="s">
        <v>8</v>
      </c>
      <c r="Q160" s="3">
        <f>+Q159</f>
        <v>6</v>
      </c>
      <c r="R160" s="3" t="s">
        <v>8</v>
      </c>
      <c r="S160" s="3">
        <f t="shared" si="1"/>
        <v>10</v>
      </c>
      <c r="T160" s="9" t="s">
        <v>9</v>
      </c>
      <c r="U160" s="3">
        <f>+U157</f>
        <v>4</v>
      </c>
      <c r="V160" s="9" t="s">
        <v>7</v>
      </c>
      <c r="W160" s="66">
        <f>ROUND(+F160*I160/L160/O160/Q160/S160*U160,3)</f>
        <v>11.5</v>
      </c>
      <c r="X160" s="66"/>
      <c r="Y160" s="66"/>
      <c r="Z160" s="24" t="s">
        <v>78</v>
      </c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5"/>
    </row>
    <row r="161" spans="2:57" x14ac:dyDescent="0.2">
      <c r="B161" s="2"/>
      <c r="C161" s="3" t="s">
        <v>80</v>
      </c>
      <c r="D161" s="3"/>
      <c r="E161" s="3"/>
      <c r="F161" s="9"/>
      <c r="G161" s="3"/>
      <c r="H161" s="3"/>
      <c r="I161" s="3"/>
      <c r="J161" s="3"/>
      <c r="K161" s="3"/>
      <c r="L161" s="9"/>
      <c r="M161" s="9"/>
      <c r="N161" s="3"/>
      <c r="O161" s="3"/>
      <c r="P161" s="3"/>
      <c r="Q161" s="3">
        <f>+Y144</f>
        <v>4</v>
      </c>
      <c r="R161" s="9" t="s">
        <v>9</v>
      </c>
      <c r="S161" s="9">
        <f>+Y145</f>
        <v>10</v>
      </c>
      <c r="T161" s="9" t="s">
        <v>8</v>
      </c>
      <c r="U161" s="9">
        <v>7</v>
      </c>
      <c r="V161" s="9" t="s">
        <v>7</v>
      </c>
      <c r="W161" s="66">
        <f>ROUND(+Q161*S161/U161,3)</f>
        <v>5.7140000000000004</v>
      </c>
      <c r="X161" s="66"/>
      <c r="Y161" s="66"/>
      <c r="Z161" s="24" t="s">
        <v>78</v>
      </c>
      <c r="AA161" s="3"/>
      <c r="AB161" s="3"/>
      <c r="AC161" s="3"/>
      <c r="AD161" s="3"/>
      <c r="AE161" s="3"/>
      <c r="AF161" s="9"/>
      <c r="AG161" s="9"/>
      <c r="AH161" s="9"/>
      <c r="AI161" s="9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5"/>
    </row>
    <row r="162" spans="2:57" x14ac:dyDescent="0.2">
      <c r="B162" s="2"/>
      <c r="C162" s="3" t="s">
        <v>117</v>
      </c>
      <c r="D162" s="3"/>
      <c r="E162" s="3"/>
      <c r="F162" s="40"/>
      <c r="G162" s="3"/>
      <c r="H162" s="3"/>
      <c r="I162" s="3"/>
      <c r="J162" s="3"/>
      <c r="K162" s="3"/>
      <c r="L162" s="40"/>
      <c r="M162" s="40"/>
      <c r="N162" s="3"/>
      <c r="O162" s="3"/>
      <c r="P162" s="3"/>
      <c r="Q162" s="3"/>
      <c r="R162" s="40"/>
      <c r="S162" s="40"/>
      <c r="T162" s="40"/>
      <c r="U162" s="40"/>
      <c r="V162" s="40"/>
      <c r="W162" s="70">
        <f>-MIN(W157,W158)</f>
        <v>-16</v>
      </c>
      <c r="X162" s="70"/>
      <c r="Y162" s="70"/>
      <c r="Z162" s="20" t="s">
        <v>78</v>
      </c>
      <c r="AA162" s="21"/>
      <c r="AB162" s="3"/>
      <c r="AD162" s="3"/>
      <c r="AE162" s="3"/>
      <c r="AF162" s="40"/>
      <c r="AG162" s="40"/>
      <c r="AH162" s="40"/>
      <c r="AI162" s="40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5"/>
    </row>
    <row r="163" spans="2:57" x14ac:dyDescent="0.2">
      <c r="B163" s="2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 t="s">
        <v>79</v>
      </c>
      <c r="U163" s="3"/>
      <c r="V163" s="3"/>
      <c r="W163" s="69">
        <f>SUM(W155:Y162)</f>
        <v>50.300000000000011</v>
      </c>
      <c r="X163" s="69"/>
      <c r="Y163" s="69"/>
      <c r="Z163" s="25" t="s">
        <v>78</v>
      </c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5"/>
      <c r="BE163" s="19"/>
    </row>
    <row r="164" spans="2:57" ht="12" thickBot="1" x14ac:dyDescent="0.25">
      <c r="B164" s="16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8"/>
    </row>
    <row r="165" spans="2:57" ht="12" thickBot="1" x14ac:dyDescent="0.25"/>
    <row r="166" spans="2:57" ht="42.75" customHeight="1" x14ac:dyDescent="0.2">
      <c r="B166" s="58" t="s">
        <v>111</v>
      </c>
      <c r="C166" s="59"/>
      <c r="D166" s="59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  <c r="AA166" s="59"/>
      <c r="AB166" s="59"/>
      <c r="AC166" s="59"/>
      <c r="AD166" s="59"/>
      <c r="AE166" s="59"/>
      <c r="AF166" s="59"/>
      <c r="AG166" s="59"/>
      <c r="AH166" s="59"/>
      <c r="AI166" s="59"/>
      <c r="AJ166" s="59"/>
      <c r="AK166" s="59"/>
      <c r="AL166" s="59"/>
      <c r="AM166" s="59"/>
      <c r="AN166" s="59"/>
      <c r="AO166" s="59"/>
      <c r="AP166" s="59"/>
      <c r="AQ166" s="59"/>
      <c r="AR166" s="59"/>
      <c r="AS166" s="59"/>
      <c r="AT166" s="60"/>
    </row>
    <row r="167" spans="2:57" x14ac:dyDescent="0.2">
      <c r="B167" s="2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4" t="s">
        <v>29</v>
      </c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5"/>
    </row>
    <row r="168" spans="2:57" x14ac:dyDescent="0.2">
      <c r="B168" s="2"/>
      <c r="C168" s="6" t="s">
        <v>83</v>
      </c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50">
        <v>0.4</v>
      </c>
      <c r="T168" s="50"/>
      <c r="U168" s="3" t="s">
        <v>0</v>
      </c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5"/>
    </row>
    <row r="169" spans="2:57" x14ac:dyDescent="0.2">
      <c r="B169" s="2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5"/>
    </row>
    <row r="170" spans="2:57" x14ac:dyDescent="0.2">
      <c r="B170" s="2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5"/>
    </row>
    <row r="171" spans="2:57" x14ac:dyDescent="0.2">
      <c r="B171" s="2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5"/>
    </row>
    <row r="172" spans="2:57" x14ac:dyDescent="0.2">
      <c r="B172" s="2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 t="s">
        <v>101</v>
      </c>
      <c r="Z172" s="3"/>
      <c r="AA172" s="3"/>
      <c r="AB172" s="3"/>
      <c r="AC172" s="3"/>
      <c r="AD172" s="50">
        <v>20</v>
      </c>
      <c r="AE172" s="50"/>
      <c r="AF172" s="3" t="s">
        <v>0</v>
      </c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5"/>
    </row>
    <row r="173" spans="2:57" x14ac:dyDescent="0.2">
      <c r="B173" s="2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5"/>
    </row>
    <row r="174" spans="2:57" x14ac:dyDescent="0.2">
      <c r="B174" s="2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5"/>
    </row>
    <row r="175" spans="2:57" x14ac:dyDescent="0.2">
      <c r="B175" s="2"/>
      <c r="C175" s="3"/>
      <c r="D175" s="3"/>
      <c r="E175" s="3"/>
      <c r="F175" s="3"/>
      <c r="G175" s="3"/>
      <c r="H175" s="8" t="s">
        <v>0</v>
      </c>
      <c r="I175" s="3"/>
      <c r="J175" s="8" t="s">
        <v>0</v>
      </c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5"/>
    </row>
    <row r="176" spans="2:57" x14ac:dyDescent="0.2">
      <c r="B176" s="2"/>
      <c r="C176" s="3"/>
      <c r="D176" s="3"/>
      <c r="E176" s="3"/>
      <c r="F176" s="3"/>
      <c r="G176" s="3"/>
      <c r="H176" s="68">
        <f>+I183+J176</f>
        <v>7.5</v>
      </c>
      <c r="I176" s="3"/>
      <c r="J176" s="61">
        <v>6.8</v>
      </c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5"/>
    </row>
    <row r="177" spans="2:46" x14ac:dyDescent="0.2">
      <c r="B177" s="2"/>
      <c r="C177" s="3"/>
      <c r="D177" s="3"/>
      <c r="E177" s="3"/>
      <c r="F177" s="3"/>
      <c r="G177" s="3"/>
      <c r="H177" s="68"/>
      <c r="I177" s="3"/>
      <c r="J177" s="61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5"/>
    </row>
    <row r="178" spans="2:46" x14ac:dyDescent="0.2">
      <c r="B178" s="2"/>
      <c r="C178" s="3"/>
      <c r="D178" s="3"/>
      <c r="E178" s="3"/>
      <c r="F178" s="3"/>
      <c r="G178" s="3"/>
      <c r="H178" s="68"/>
      <c r="I178" s="3"/>
      <c r="J178" s="61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5"/>
    </row>
    <row r="179" spans="2:46" x14ac:dyDescent="0.2">
      <c r="B179" s="2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5"/>
    </row>
    <row r="180" spans="2:46" x14ac:dyDescent="0.2">
      <c r="B180" s="2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5"/>
    </row>
    <row r="181" spans="2:46" x14ac:dyDescent="0.2">
      <c r="B181" s="2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5"/>
    </row>
    <row r="182" spans="2:46" x14ac:dyDescent="0.2">
      <c r="B182" s="2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5"/>
    </row>
    <row r="183" spans="2:46" x14ac:dyDescent="0.2">
      <c r="B183" s="2"/>
      <c r="C183" s="3"/>
      <c r="D183" s="3"/>
      <c r="E183" s="3"/>
      <c r="F183" s="3"/>
      <c r="G183" s="3"/>
      <c r="H183" s="3"/>
      <c r="I183" s="50">
        <v>0.7</v>
      </c>
      <c r="J183" s="50"/>
      <c r="K183" s="3" t="s">
        <v>0</v>
      </c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5"/>
    </row>
    <row r="184" spans="2:46" x14ac:dyDescent="0.2">
      <c r="B184" s="2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5"/>
    </row>
    <row r="185" spans="2:46" x14ac:dyDescent="0.2">
      <c r="B185" s="2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5"/>
    </row>
    <row r="186" spans="2:46" x14ac:dyDescent="0.2">
      <c r="B186" s="2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50">
        <v>0.9</v>
      </c>
      <c r="O186" s="50"/>
      <c r="P186" s="3" t="s">
        <v>0</v>
      </c>
      <c r="Q186" s="50">
        <v>0.3</v>
      </c>
      <c r="R186" s="50"/>
      <c r="S186" s="49">
        <f>+S168</f>
        <v>0.4</v>
      </c>
      <c r="T186" s="49"/>
      <c r="U186" s="3" t="s">
        <v>0</v>
      </c>
      <c r="V186" s="3"/>
      <c r="W186" s="50">
        <v>0.9</v>
      </c>
      <c r="X186" s="50"/>
      <c r="Y186" s="3" t="s">
        <v>0</v>
      </c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5"/>
    </row>
    <row r="187" spans="2:46" x14ac:dyDescent="0.2">
      <c r="B187" s="2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5"/>
    </row>
    <row r="188" spans="2:46" x14ac:dyDescent="0.2">
      <c r="B188" s="2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49">
        <f>+N186+Q186+S186+W186</f>
        <v>2.5</v>
      </c>
      <c r="S188" s="49"/>
      <c r="T188" s="3" t="s">
        <v>0</v>
      </c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5"/>
    </row>
    <row r="189" spans="2:46" x14ac:dyDescent="0.2">
      <c r="B189" s="2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5"/>
    </row>
    <row r="190" spans="2:46" x14ac:dyDescent="0.2">
      <c r="B190" s="2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6" t="s">
        <v>60</v>
      </c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5"/>
    </row>
    <row r="191" spans="2:46" x14ac:dyDescent="0.2">
      <c r="B191" s="2"/>
      <c r="C191" s="3"/>
      <c r="D191" s="3"/>
      <c r="E191" s="3"/>
      <c r="F191" s="3"/>
      <c r="G191" s="3"/>
      <c r="H191" s="3" t="s">
        <v>97</v>
      </c>
      <c r="I191" s="3"/>
      <c r="J191" s="3"/>
      <c r="K191" s="3"/>
      <c r="L191" s="3"/>
      <c r="M191" s="49">
        <f>+J176</f>
        <v>6.8</v>
      </c>
      <c r="N191" s="49"/>
      <c r="O191" s="27" t="s">
        <v>9</v>
      </c>
      <c r="P191" s="49">
        <f>+AD172</f>
        <v>20</v>
      </c>
      <c r="Q191" s="49"/>
      <c r="R191" s="27" t="s">
        <v>7</v>
      </c>
      <c r="S191" s="56">
        <f>+M191*P191</f>
        <v>136</v>
      </c>
      <c r="T191" s="56"/>
      <c r="U191" s="56"/>
      <c r="V191" s="3" t="s">
        <v>17</v>
      </c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5"/>
    </row>
    <row r="192" spans="2:46" x14ac:dyDescent="0.2">
      <c r="B192" s="2"/>
      <c r="C192" s="3"/>
      <c r="D192" s="3"/>
      <c r="E192" s="3"/>
      <c r="F192" s="3"/>
      <c r="G192" s="3"/>
      <c r="H192" s="3" t="s">
        <v>96</v>
      </c>
      <c r="I192" s="3"/>
      <c r="J192" s="3"/>
      <c r="K192" s="3"/>
      <c r="L192" s="3"/>
      <c r="M192" s="49">
        <f>SQRT(J176^2+Q186^2)</f>
        <v>6.806614430096654</v>
      </c>
      <c r="N192" s="49"/>
      <c r="O192" s="27" t="s">
        <v>9</v>
      </c>
      <c r="P192" s="49">
        <f>+P191</f>
        <v>20</v>
      </c>
      <c r="Q192" s="49"/>
      <c r="R192" s="27" t="s">
        <v>7</v>
      </c>
      <c r="S192" s="56">
        <f>+M192*P192</f>
        <v>136.13228860193308</v>
      </c>
      <c r="T192" s="56"/>
      <c r="U192" s="56"/>
      <c r="V192" s="3" t="s">
        <v>17</v>
      </c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5"/>
    </row>
    <row r="193" spans="2:46" x14ac:dyDescent="0.2">
      <c r="B193" s="2"/>
      <c r="C193" s="3"/>
      <c r="D193" s="3"/>
      <c r="E193" s="3"/>
      <c r="F193" s="3"/>
      <c r="G193" s="3"/>
      <c r="H193" s="3" t="s">
        <v>97</v>
      </c>
      <c r="I193" s="3"/>
      <c r="J193" s="3"/>
      <c r="K193" s="3"/>
      <c r="L193" s="3"/>
      <c r="M193" s="49">
        <f>+I183</f>
        <v>0.7</v>
      </c>
      <c r="N193" s="49"/>
      <c r="O193" s="27" t="s">
        <v>9</v>
      </c>
      <c r="P193" s="49">
        <f>+P192</f>
        <v>20</v>
      </c>
      <c r="Q193" s="49"/>
      <c r="R193" s="27" t="s">
        <v>7</v>
      </c>
      <c r="S193" s="56">
        <f>+M193*P193</f>
        <v>14</v>
      </c>
      <c r="T193" s="56"/>
      <c r="U193" s="56"/>
      <c r="V193" s="3" t="s">
        <v>17</v>
      </c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5"/>
    </row>
    <row r="194" spans="2:46" x14ac:dyDescent="0.2">
      <c r="B194" s="2"/>
      <c r="C194" s="3"/>
      <c r="D194" s="3"/>
      <c r="E194" s="3"/>
      <c r="F194" s="3"/>
      <c r="G194" s="3"/>
      <c r="H194" s="3" t="s">
        <v>96</v>
      </c>
      <c r="I194" s="3"/>
      <c r="J194" s="3"/>
      <c r="K194" s="3"/>
      <c r="L194" s="3"/>
      <c r="M194" s="49">
        <f>+I183</f>
        <v>0.7</v>
      </c>
      <c r="N194" s="49"/>
      <c r="O194" s="27" t="s">
        <v>9</v>
      </c>
      <c r="P194" s="49">
        <f>+P193</f>
        <v>20</v>
      </c>
      <c r="Q194" s="49"/>
      <c r="R194" s="27" t="s">
        <v>7</v>
      </c>
      <c r="S194" s="56">
        <f>+M194*P194</f>
        <v>14</v>
      </c>
      <c r="T194" s="56"/>
      <c r="U194" s="56"/>
      <c r="V194" s="3" t="s">
        <v>17</v>
      </c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5"/>
    </row>
    <row r="195" spans="2:46" x14ac:dyDescent="0.2">
      <c r="B195" s="2"/>
      <c r="C195" s="3"/>
      <c r="D195" s="3"/>
      <c r="E195" s="3"/>
      <c r="F195" s="3">
        <v>2</v>
      </c>
      <c r="G195" s="3" t="s">
        <v>25</v>
      </c>
      <c r="H195" s="49">
        <f>+S168</f>
        <v>0.4</v>
      </c>
      <c r="I195" s="49"/>
      <c r="J195" s="27" t="s">
        <v>6</v>
      </c>
      <c r="K195" s="49">
        <f>+Q186+S186</f>
        <v>0.7</v>
      </c>
      <c r="L195" s="49"/>
      <c r="M195" s="3" t="s">
        <v>38</v>
      </c>
      <c r="N195" s="3">
        <v>2</v>
      </c>
      <c r="O195" s="27" t="s">
        <v>9</v>
      </c>
      <c r="P195" s="49">
        <f>+J176</f>
        <v>6.8</v>
      </c>
      <c r="Q195" s="49"/>
      <c r="R195" s="27" t="s">
        <v>7</v>
      </c>
      <c r="S195" s="56">
        <f>F195*(H195+K195)/N195*P195</f>
        <v>7.48</v>
      </c>
      <c r="T195" s="56"/>
      <c r="U195" s="56"/>
      <c r="V195" s="3" t="s">
        <v>17</v>
      </c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5"/>
    </row>
    <row r="196" spans="2:46" x14ac:dyDescent="0.2">
      <c r="B196" s="2"/>
      <c r="C196" s="3"/>
      <c r="D196" s="3"/>
      <c r="E196" s="3"/>
      <c r="F196" s="3"/>
      <c r="G196" s="3"/>
      <c r="H196" s="3"/>
      <c r="I196" s="3"/>
      <c r="J196" s="3"/>
      <c r="K196" s="3">
        <v>2</v>
      </c>
      <c r="L196" s="27" t="s">
        <v>9</v>
      </c>
      <c r="M196" s="49">
        <f>+I183</f>
        <v>0.7</v>
      </c>
      <c r="N196" s="49"/>
      <c r="O196" s="27" t="s">
        <v>9</v>
      </c>
      <c r="P196" s="49">
        <f>+R188</f>
        <v>2.5</v>
      </c>
      <c r="Q196" s="49"/>
      <c r="R196" s="27" t="s">
        <v>7</v>
      </c>
      <c r="S196" s="67">
        <f>K196*M196*P196</f>
        <v>3.5</v>
      </c>
      <c r="T196" s="67"/>
      <c r="U196" s="67"/>
      <c r="V196" s="21" t="s">
        <v>17</v>
      </c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5"/>
    </row>
    <row r="197" spans="2:46" x14ac:dyDescent="0.2">
      <c r="B197" s="2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 t="s">
        <v>79</v>
      </c>
      <c r="Q197" s="3"/>
      <c r="R197" s="3"/>
      <c r="S197" s="65">
        <f>SUM(S191:U196)</f>
        <v>311.11228860193307</v>
      </c>
      <c r="T197" s="65"/>
      <c r="U197" s="65"/>
      <c r="V197" s="10" t="s">
        <v>17</v>
      </c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5"/>
    </row>
    <row r="198" spans="2:46" x14ac:dyDescent="0.2">
      <c r="B198" s="2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6" t="s">
        <v>62</v>
      </c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5"/>
    </row>
    <row r="199" spans="2:46" x14ac:dyDescent="0.2">
      <c r="B199" s="2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49">
        <f>+I183</f>
        <v>0.7</v>
      </c>
      <c r="N199" s="49"/>
      <c r="O199" s="27" t="s">
        <v>9</v>
      </c>
      <c r="P199" s="49">
        <f>+R188</f>
        <v>2.5</v>
      </c>
      <c r="Q199" s="49"/>
      <c r="R199" s="27" t="s">
        <v>9</v>
      </c>
      <c r="S199" s="49">
        <f>+AD172</f>
        <v>20</v>
      </c>
      <c r="T199" s="49"/>
      <c r="U199" s="27" t="s">
        <v>7</v>
      </c>
      <c r="V199" s="49">
        <f>+M199*P199*S199</f>
        <v>35</v>
      </c>
      <c r="W199" s="49"/>
      <c r="X199" s="49"/>
      <c r="Y199" s="3" t="s">
        <v>13</v>
      </c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5"/>
    </row>
    <row r="200" spans="2:46" x14ac:dyDescent="0.2">
      <c r="B200" s="2"/>
      <c r="C200" s="3"/>
      <c r="D200" s="3"/>
      <c r="E200" s="3"/>
      <c r="F200" s="3"/>
      <c r="G200" s="3" t="s">
        <v>15</v>
      </c>
      <c r="H200" s="49">
        <f>+S168</f>
        <v>0.4</v>
      </c>
      <c r="I200" s="49"/>
      <c r="J200" s="27" t="s">
        <v>6</v>
      </c>
      <c r="K200" s="49">
        <f>+Q186+S186</f>
        <v>0.7</v>
      </c>
      <c r="L200" s="49"/>
      <c r="M200" s="3" t="s">
        <v>38</v>
      </c>
      <c r="N200" s="3">
        <v>2</v>
      </c>
      <c r="O200" s="27" t="s">
        <v>9</v>
      </c>
      <c r="P200" s="49">
        <f>+J176</f>
        <v>6.8</v>
      </c>
      <c r="Q200" s="49"/>
      <c r="R200" s="27" t="s">
        <v>9</v>
      </c>
      <c r="S200" s="49">
        <f>+AD172</f>
        <v>20</v>
      </c>
      <c r="T200" s="49"/>
      <c r="U200" s="27" t="s">
        <v>7</v>
      </c>
      <c r="V200" s="63">
        <f>(H200+K200)/N200*P200*S200</f>
        <v>74.800000000000011</v>
      </c>
      <c r="W200" s="63"/>
      <c r="X200" s="63"/>
      <c r="Y200" s="21" t="s">
        <v>13</v>
      </c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5"/>
    </row>
    <row r="201" spans="2:46" x14ac:dyDescent="0.2">
      <c r="B201" s="2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 t="s">
        <v>79</v>
      </c>
      <c r="T201" s="3"/>
      <c r="U201" s="3"/>
      <c r="V201" s="57">
        <f>SUM(V199:X200)</f>
        <v>109.80000000000001</v>
      </c>
      <c r="W201" s="57"/>
      <c r="X201" s="57"/>
      <c r="Y201" s="10" t="s">
        <v>13</v>
      </c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5"/>
    </row>
    <row r="202" spans="2:46" x14ac:dyDescent="0.2">
      <c r="B202" s="2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5"/>
    </row>
    <row r="203" spans="2:46" x14ac:dyDescent="0.2">
      <c r="B203" s="2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6" t="s">
        <v>19</v>
      </c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5"/>
    </row>
    <row r="204" spans="2:46" x14ac:dyDescent="0.2">
      <c r="B204" s="2"/>
      <c r="C204" s="3"/>
      <c r="D204" s="3"/>
      <c r="E204" s="3"/>
      <c r="F204" s="3"/>
      <c r="G204" s="3"/>
      <c r="H204" s="3" t="s">
        <v>96</v>
      </c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49">
        <f>+J176</f>
        <v>6.8</v>
      </c>
      <c r="V204" s="49"/>
      <c r="W204" s="27" t="s">
        <v>9</v>
      </c>
      <c r="X204" s="49">
        <f>+U204/2</f>
        <v>3.4</v>
      </c>
      <c r="Y204" s="49"/>
      <c r="Z204" s="27" t="s">
        <v>8</v>
      </c>
      <c r="AA204" s="3">
        <v>2</v>
      </c>
      <c r="AB204" s="27" t="s">
        <v>9</v>
      </c>
      <c r="AC204" s="49">
        <f>+AD172</f>
        <v>20</v>
      </c>
      <c r="AD204" s="49"/>
      <c r="AE204" s="27" t="s">
        <v>7</v>
      </c>
      <c r="AF204" s="49">
        <f>+U204*X204/AA204*AC204</f>
        <v>231.2</v>
      </c>
      <c r="AG204" s="49"/>
      <c r="AH204" s="49"/>
      <c r="AI204" s="3" t="s">
        <v>13</v>
      </c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5"/>
    </row>
    <row r="205" spans="2:46" x14ac:dyDescent="0.2">
      <c r="B205" s="2"/>
      <c r="C205" s="3"/>
      <c r="D205" s="3"/>
      <c r="E205" s="3"/>
      <c r="F205" s="3"/>
      <c r="G205" s="3"/>
      <c r="H205" s="3" t="s">
        <v>97</v>
      </c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49">
        <f>+U204</f>
        <v>6.8</v>
      </c>
      <c r="V205" s="49"/>
      <c r="W205" s="27" t="s">
        <v>9</v>
      </c>
      <c r="X205" s="49">
        <f>+U205/2</f>
        <v>3.4</v>
      </c>
      <c r="Y205" s="49"/>
      <c r="Z205" s="27" t="s">
        <v>8</v>
      </c>
      <c r="AA205" s="3">
        <v>2</v>
      </c>
      <c r="AB205" s="27" t="s">
        <v>9</v>
      </c>
      <c r="AC205" s="49">
        <f>+AC204</f>
        <v>20</v>
      </c>
      <c r="AD205" s="49"/>
      <c r="AE205" s="27" t="s">
        <v>7</v>
      </c>
      <c r="AF205" s="49">
        <f>+U205*X205/AA205*AC205</f>
        <v>231.2</v>
      </c>
      <c r="AG205" s="49"/>
      <c r="AH205" s="49"/>
      <c r="AI205" s="3" t="s">
        <v>13</v>
      </c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5"/>
    </row>
    <row r="206" spans="2:46" x14ac:dyDescent="0.2">
      <c r="B206" s="2"/>
      <c r="C206" s="3"/>
      <c r="D206" s="3"/>
      <c r="E206" s="3"/>
      <c r="F206" s="3"/>
      <c r="G206" s="3"/>
      <c r="H206" s="3" t="s">
        <v>98</v>
      </c>
      <c r="I206" s="3"/>
      <c r="J206" s="3"/>
      <c r="K206" s="3"/>
      <c r="L206" s="3"/>
      <c r="M206" s="3"/>
      <c r="N206" s="3">
        <v>2</v>
      </c>
      <c r="O206" s="3" t="s">
        <v>25</v>
      </c>
      <c r="P206" s="49">
        <f>+J176</f>
        <v>6.8</v>
      </c>
      <c r="Q206" s="49"/>
      <c r="R206" s="27" t="s">
        <v>9</v>
      </c>
      <c r="S206" s="49">
        <f>+P206/2</f>
        <v>3.4</v>
      </c>
      <c r="T206" s="49"/>
      <c r="U206" s="27" t="s">
        <v>8</v>
      </c>
      <c r="V206" s="3">
        <v>2</v>
      </c>
      <c r="W206" s="27" t="s">
        <v>25</v>
      </c>
      <c r="X206" s="49">
        <f>+Q186+S186</f>
        <v>0.7</v>
      </c>
      <c r="Y206" s="49"/>
      <c r="Z206" s="3" t="s">
        <v>6</v>
      </c>
      <c r="AA206" s="49">
        <f>+S168</f>
        <v>0.4</v>
      </c>
      <c r="AB206" s="49"/>
      <c r="AC206" s="3" t="s">
        <v>38</v>
      </c>
      <c r="AD206" s="3">
        <v>2</v>
      </c>
      <c r="AE206" s="27" t="s">
        <v>12</v>
      </c>
      <c r="AF206" s="63">
        <f>N206*(P206*S206/V206*(X206+AA206)/AD206)</f>
        <v>12.715999999999999</v>
      </c>
      <c r="AG206" s="63"/>
      <c r="AH206" s="63"/>
      <c r="AI206" s="21" t="s">
        <v>13</v>
      </c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5"/>
    </row>
    <row r="207" spans="2:46" x14ac:dyDescent="0.2">
      <c r="B207" s="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 t="s">
        <v>79</v>
      </c>
      <c r="AD207" s="3"/>
      <c r="AE207" s="3"/>
      <c r="AF207" s="57">
        <f>SUM(AF204:AH206)</f>
        <v>475.11599999999999</v>
      </c>
      <c r="AG207" s="57"/>
      <c r="AH207" s="57"/>
      <c r="AI207" s="10" t="s">
        <v>13</v>
      </c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5"/>
    </row>
    <row r="208" spans="2:46" ht="12" thickBot="1" x14ac:dyDescent="0.25">
      <c r="B208" s="16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8"/>
    </row>
    <row r="209" spans="2:46" ht="12" thickBot="1" x14ac:dyDescent="0.25"/>
    <row r="210" spans="2:46" ht="48.75" customHeight="1" x14ac:dyDescent="0.2">
      <c r="B210" s="58" t="s">
        <v>116</v>
      </c>
      <c r="C210" s="59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  <c r="Y210" s="59"/>
      <c r="Z210" s="59"/>
      <c r="AA210" s="59"/>
      <c r="AB210" s="59"/>
      <c r="AC210" s="59"/>
      <c r="AD210" s="59"/>
      <c r="AE210" s="59"/>
      <c r="AF210" s="59"/>
      <c r="AG210" s="59"/>
      <c r="AH210" s="59"/>
      <c r="AI210" s="59"/>
      <c r="AJ210" s="59"/>
      <c r="AK210" s="59"/>
      <c r="AL210" s="59"/>
      <c r="AM210" s="59"/>
      <c r="AN210" s="59"/>
      <c r="AO210" s="59"/>
      <c r="AP210" s="59"/>
      <c r="AQ210" s="59"/>
      <c r="AR210" s="59"/>
      <c r="AS210" s="59"/>
      <c r="AT210" s="60"/>
    </row>
    <row r="211" spans="2:46" x14ac:dyDescent="0.2">
      <c r="B211" s="2"/>
      <c r="C211" s="6" t="s">
        <v>110</v>
      </c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4" t="s">
        <v>29</v>
      </c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5"/>
    </row>
    <row r="212" spans="2:46" x14ac:dyDescent="0.2">
      <c r="B212" s="2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5"/>
    </row>
    <row r="213" spans="2:46" x14ac:dyDescent="0.2">
      <c r="B213" s="2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5"/>
    </row>
    <row r="214" spans="2:46" x14ac:dyDescent="0.2">
      <c r="B214" s="2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5"/>
    </row>
    <row r="215" spans="2:46" x14ac:dyDescent="0.2">
      <c r="B215" s="2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5"/>
    </row>
    <row r="216" spans="2:46" x14ac:dyDescent="0.2">
      <c r="B216" s="2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5"/>
    </row>
    <row r="217" spans="2:46" x14ac:dyDescent="0.2">
      <c r="B217" s="2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 t="s">
        <v>100</v>
      </c>
      <c r="Y217" s="3"/>
      <c r="Z217" s="3"/>
      <c r="AA217" s="3"/>
      <c r="AB217" s="3"/>
      <c r="AC217" s="50">
        <v>20</v>
      </c>
      <c r="AD217" s="50"/>
      <c r="AE217" s="3" t="s">
        <v>0</v>
      </c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5"/>
    </row>
    <row r="218" spans="2:46" x14ac:dyDescent="0.2">
      <c r="B218" s="2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5"/>
    </row>
    <row r="219" spans="2:46" x14ac:dyDescent="0.2">
      <c r="B219" s="2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5"/>
    </row>
    <row r="220" spans="2:46" x14ac:dyDescent="0.2">
      <c r="B220" s="2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5"/>
    </row>
    <row r="221" spans="2:46" x14ac:dyDescent="0.2">
      <c r="B221" s="2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5"/>
    </row>
    <row r="222" spans="2:46" x14ac:dyDescent="0.2">
      <c r="B222" s="2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 t="s">
        <v>99</v>
      </c>
      <c r="AB222" s="50">
        <v>3</v>
      </c>
      <c r="AC222" s="50"/>
      <c r="AD222" s="3" t="s">
        <v>0</v>
      </c>
      <c r="AE222" s="3"/>
      <c r="AF222" s="4" t="str">
        <f>IF(AB222&lt;1,"ahşap kalıp iskelesi ödenmez.","")</f>
        <v/>
      </c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5"/>
    </row>
    <row r="223" spans="2:46" x14ac:dyDescent="0.2">
      <c r="B223" s="2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5"/>
    </row>
    <row r="224" spans="2:46" x14ac:dyDescent="0.2">
      <c r="B224" s="2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64" t="s">
        <v>104</v>
      </c>
      <c r="AH224" s="64"/>
      <c r="AI224" s="64"/>
      <c r="AJ224" s="64"/>
      <c r="AK224" s="64"/>
      <c r="AL224" s="64"/>
      <c r="AM224" s="64"/>
      <c r="AN224" s="64"/>
      <c r="AO224" s="64"/>
      <c r="AP224" s="3"/>
      <c r="AQ224" s="3"/>
      <c r="AR224" s="3"/>
      <c r="AS224" s="3"/>
      <c r="AT224" s="5"/>
    </row>
    <row r="225" spans="2:46" x14ac:dyDescent="0.2">
      <c r="B225" s="2"/>
      <c r="C225" s="3"/>
      <c r="D225" s="3"/>
      <c r="E225" s="3"/>
      <c r="F225" s="49">
        <f>AB222*I227/L229</f>
        <v>1.3999999999999997</v>
      </c>
      <c r="G225" s="49"/>
      <c r="H225" s="3" t="s">
        <v>0</v>
      </c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64"/>
      <c r="AH225" s="64"/>
      <c r="AI225" s="64"/>
      <c r="AJ225" s="64"/>
      <c r="AK225" s="64"/>
      <c r="AL225" s="64"/>
      <c r="AM225" s="64"/>
      <c r="AN225" s="64"/>
      <c r="AO225" s="64"/>
      <c r="AP225" s="3"/>
      <c r="AQ225" s="3"/>
      <c r="AR225" s="3"/>
      <c r="AS225" s="3"/>
      <c r="AT225" s="5"/>
    </row>
    <row r="226" spans="2:46" x14ac:dyDescent="0.2">
      <c r="B226" s="2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64"/>
      <c r="AH226" s="64"/>
      <c r="AI226" s="64"/>
      <c r="AJ226" s="64"/>
      <c r="AK226" s="64"/>
      <c r="AL226" s="64"/>
      <c r="AM226" s="64"/>
      <c r="AN226" s="64"/>
      <c r="AO226" s="64"/>
      <c r="AP226" s="3"/>
      <c r="AQ226" s="3"/>
      <c r="AR226" s="3"/>
      <c r="AS226" s="3"/>
      <c r="AT226" s="5"/>
    </row>
    <row r="227" spans="2:46" x14ac:dyDescent="0.2">
      <c r="B227" s="2"/>
      <c r="C227" s="3"/>
      <c r="D227" s="3"/>
      <c r="E227" s="3"/>
      <c r="F227" s="3"/>
      <c r="G227" s="3"/>
      <c r="H227" s="3"/>
      <c r="I227" s="49">
        <f>+L229-M227</f>
        <v>0.7</v>
      </c>
      <c r="J227" s="49"/>
      <c r="K227" s="3" t="s">
        <v>0</v>
      </c>
      <c r="L227" s="3"/>
      <c r="M227" s="50">
        <v>0.8</v>
      </c>
      <c r="N227" s="50"/>
      <c r="O227" s="3" t="s">
        <v>0</v>
      </c>
      <c r="P227" s="3"/>
      <c r="Q227" s="3"/>
      <c r="R227" s="3"/>
      <c r="S227" s="3"/>
      <c r="T227" s="3"/>
      <c r="U227" s="3" t="s">
        <v>34</v>
      </c>
      <c r="V227" s="3"/>
      <c r="W227" s="49">
        <f>+AB222/2</f>
        <v>1.5</v>
      </c>
      <c r="X227" s="49"/>
      <c r="Y227" s="3" t="s">
        <v>0</v>
      </c>
      <c r="Z227" s="3"/>
      <c r="AA227" s="3"/>
      <c r="AB227" s="3"/>
      <c r="AC227" s="3"/>
      <c r="AD227" s="3"/>
      <c r="AE227" s="3"/>
      <c r="AF227" s="3"/>
      <c r="AG227" s="64"/>
      <c r="AH227" s="64"/>
      <c r="AI227" s="64"/>
      <c r="AJ227" s="64"/>
      <c r="AK227" s="64"/>
      <c r="AL227" s="64"/>
      <c r="AM227" s="64"/>
      <c r="AN227" s="64"/>
      <c r="AO227" s="64"/>
      <c r="AP227" s="3"/>
      <c r="AQ227" s="3"/>
      <c r="AR227" s="3"/>
      <c r="AS227" s="3"/>
      <c r="AT227" s="5"/>
    </row>
    <row r="228" spans="2:46" x14ac:dyDescent="0.2">
      <c r="B228" s="2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5"/>
    </row>
    <row r="229" spans="2:46" x14ac:dyDescent="0.2">
      <c r="B229" s="2"/>
      <c r="C229" s="3"/>
      <c r="D229" s="3"/>
      <c r="E229" s="3"/>
      <c r="F229" s="3"/>
      <c r="G229" s="3"/>
      <c r="H229" s="3"/>
      <c r="I229" s="3"/>
      <c r="J229" s="3" t="s">
        <v>34</v>
      </c>
      <c r="K229" s="3"/>
      <c r="L229" s="49">
        <f>+AB222/2</f>
        <v>1.5</v>
      </c>
      <c r="M229" s="49"/>
      <c r="N229" s="3" t="s">
        <v>0</v>
      </c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5"/>
    </row>
    <row r="230" spans="2:46" x14ac:dyDescent="0.2">
      <c r="B230" s="2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5"/>
    </row>
    <row r="231" spans="2:46" x14ac:dyDescent="0.2">
      <c r="B231" s="2"/>
      <c r="C231" s="3"/>
      <c r="D231" s="3"/>
      <c r="E231" s="3"/>
      <c r="F231" s="3"/>
      <c r="G231" s="3"/>
      <c r="H231" s="3"/>
      <c r="I231" s="3"/>
      <c r="J231" s="3" t="s">
        <v>102</v>
      </c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49">
        <f>+AB222</f>
        <v>3</v>
      </c>
      <c r="AD231" s="49"/>
      <c r="AE231" s="27" t="s">
        <v>9</v>
      </c>
      <c r="AF231" s="49">
        <f>+AC231/2</f>
        <v>1.5</v>
      </c>
      <c r="AG231" s="49"/>
      <c r="AH231" s="27" t="s">
        <v>8</v>
      </c>
      <c r="AI231" s="3">
        <v>2</v>
      </c>
      <c r="AJ231" s="27" t="s">
        <v>9</v>
      </c>
      <c r="AK231" s="49">
        <f>+AC217</f>
        <v>20</v>
      </c>
      <c r="AL231" s="49"/>
      <c r="AM231" s="27" t="s">
        <v>7</v>
      </c>
      <c r="AN231" s="49">
        <f>+AC231*AF231/AI231*AK231</f>
        <v>45</v>
      </c>
      <c r="AO231" s="49"/>
      <c r="AP231" s="49"/>
      <c r="AQ231" s="3" t="s">
        <v>13</v>
      </c>
      <c r="AR231" s="3"/>
      <c r="AS231" s="3"/>
      <c r="AT231" s="5"/>
    </row>
    <row r="232" spans="2:46" x14ac:dyDescent="0.2">
      <c r="B232" s="2"/>
      <c r="C232" s="3"/>
      <c r="D232" s="3"/>
      <c r="E232" s="3"/>
      <c r="F232" s="3"/>
      <c r="G232" s="3"/>
      <c r="H232" s="3"/>
      <c r="I232" s="3"/>
      <c r="J232" s="3" t="s">
        <v>103</v>
      </c>
      <c r="K232" s="3"/>
      <c r="L232" s="3"/>
      <c r="M232" s="3"/>
      <c r="N232" s="3"/>
      <c r="O232" s="3"/>
      <c r="P232" s="3"/>
      <c r="Q232" s="3"/>
      <c r="R232" s="49">
        <f>+AC231</f>
        <v>3</v>
      </c>
      <c r="S232" s="49"/>
      <c r="T232" s="27" t="s">
        <v>9</v>
      </c>
      <c r="U232" s="49">
        <f>+R232/2</f>
        <v>1.5</v>
      </c>
      <c r="V232" s="49"/>
      <c r="W232" s="27" t="s">
        <v>8</v>
      </c>
      <c r="X232" s="3">
        <v>2</v>
      </c>
      <c r="Y232" s="27" t="s">
        <v>9</v>
      </c>
      <c r="Z232" s="49">
        <f>+AK231</f>
        <v>20</v>
      </c>
      <c r="AA232" s="49"/>
      <c r="AB232" s="27" t="s">
        <v>16</v>
      </c>
      <c r="AC232" s="49">
        <f>IF(I227&lt;0,0,+I227)</f>
        <v>0.7</v>
      </c>
      <c r="AD232" s="49"/>
      <c r="AE232" s="27" t="s">
        <v>9</v>
      </c>
      <c r="AF232" s="49">
        <f>+F225</f>
        <v>1.3999999999999997</v>
      </c>
      <c r="AG232" s="49"/>
      <c r="AH232" s="27" t="s">
        <v>8</v>
      </c>
      <c r="AI232" s="3">
        <v>2</v>
      </c>
      <c r="AJ232" s="27" t="s">
        <v>9</v>
      </c>
      <c r="AK232" s="49">
        <f>+AC217</f>
        <v>20</v>
      </c>
      <c r="AL232" s="49"/>
      <c r="AM232" s="27" t="s">
        <v>7</v>
      </c>
      <c r="AN232" s="63">
        <f>R232*U232/X232*Z232-AC232*AF232/AI232*AK232</f>
        <v>35.200000000000003</v>
      </c>
      <c r="AO232" s="63"/>
      <c r="AP232" s="63"/>
      <c r="AQ232" s="21" t="s">
        <v>13</v>
      </c>
      <c r="AR232" s="3"/>
      <c r="AS232" s="3"/>
      <c r="AT232" s="5"/>
    </row>
    <row r="233" spans="2:46" x14ac:dyDescent="0.2">
      <c r="B233" s="2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 t="s">
        <v>79</v>
      </c>
      <c r="AL233" s="3"/>
      <c r="AM233" s="3"/>
      <c r="AN233" s="57">
        <f>SUM(AN231:AP232)</f>
        <v>80.2</v>
      </c>
      <c r="AO233" s="57"/>
      <c r="AP233" s="57"/>
      <c r="AQ233" s="10" t="s">
        <v>13</v>
      </c>
      <c r="AR233" s="3"/>
      <c r="AS233" s="3"/>
      <c r="AT233" s="5"/>
    </row>
    <row r="234" spans="2:46" ht="12" thickBot="1" x14ac:dyDescent="0.25">
      <c r="B234" s="16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8"/>
    </row>
    <row r="235" spans="2:46" ht="12" thickBot="1" x14ac:dyDescent="0.25"/>
    <row r="236" spans="2:46" ht="47.25" customHeight="1" x14ac:dyDescent="0.2">
      <c r="B236" s="58" t="s">
        <v>114</v>
      </c>
      <c r="C236" s="59"/>
      <c r="D236" s="59"/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59"/>
      <c r="AA236" s="59"/>
      <c r="AB236" s="59"/>
      <c r="AC236" s="59"/>
      <c r="AD236" s="59"/>
      <c r="AE236" s="59"/>
      <c r="AF236" s="59"/>
      <c r="AG236" s="59"/>
      <c r="AH236" s="59"/>
      <c r="AI236" s="59"/>
      <c r="AJ236" s="59"/>
      <c r="AK236" s="59"/>
      <c r="AL236" s="59"/>
      <c r="AM236" s="59"/>
      <c r="AN236" s="59"/>
      <c r="AO236" s="59"/>
      <c r="AP236" s="59"/>
      <c r="AQ236" s="59"/>
      <c r="AR236" s="59"/>
      <c r="AS236" s="59"/>
      <c r="AT236" s="60"/>
    </row>
    <row r="237" spans="2:46" x14ac:dyDescent="0.2">
      <c r="B237" s="2"/>
      <c r="C237" s="6" t="s">
        <v>113</v>
      </c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4" t="s">
        <v>29</v>
      </c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5"/>
    </row>
    <row r="238" spans="2:46" x14ac:dyDescent="0.2">
      <c r="B238" s="2"/>
      <c r="C238" s="6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5"/>
    </row>
    <row r="239" spans="2:46" x14ac:dyDescent="0.2">
      <c r="B239" s="2"/>
      <c r="C239" s="3"/>
      <c r="D239" s="3"/>
      <c r="E239" s="3"/>
      <c r="F239" s="3"/>
      <c r="G239" s="3" t="s">
        <v>99</v>
      </c>
      <c r="H239" s="50">
        <v>1.5</v>
      </c>
      <c r="I239" s="50"/>
      <c r="J239" s="3" t="s">
        <v>0</v>
      </c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5"/>
    </row>
    <row r="240" spans="2:46" x14ac:dyDescent="0.2">
      <c r="B240" s="2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5"/>
    </row>
    <row r="241" spans="2:46" x14ac:dyDescent="0.2">
      <c r="B241" s="2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5"/>
    </row>
    <row r="242" spans="2:46" x14ac:dyDescent="0.2">
      <c r="B242" s="2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5"/>
    </row>
    <row r="243" spans="2:46" x14ac:dyDescent="0.2">
      <c r="B243" s="2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5"/>
    </row>
    <row r="244" spans="2:46" x14ac:dyDescent="0.2">
      <c r="B244" s="2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5"/>
    </row>
    <row r="245" spans="2:46" x14ac:dyDescent="0.2">
      <c r="B245" s="2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5"/>
    </row>
    <row r="246" spans="2:46" x14ac:dyDescent="0.2">
      <c r="B246" s="2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5"/>
    </row>
    <row r="247" spans="2:46" x14ac:dyDescent="0.2">
      <c r="B247" s="2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5"/>
    </row>
    <row r="248" spans="2:46" x14ac:dyDescent="0.2">
      <c r="B248" s="2"/>
      <c r="C248" s="3"/>
      <c r="D248" s="3"/>
      <c r="E248" s="3"/>
      <c r="F248" s="8" t="s">
        <v>0</v>
      </c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5"/>
    </row>
    <row r="249" spans="2:46" x14ac:dyDescent="0.2">
      <c r="B249" s="2"/>
      <c r="C249" s="3"/>
      <c r="D249" s="3"/>
      <c r="E249" s="3"/>
      <c r="F249" s="61">
        <v>3</v>
      </c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 t="s">
        <v>108</v>
      </c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5"/>
    </row>
    <row r="250" spans="2:46" x14ac:dyDescent="0.2">
      <c r="B250" s="2"/>
      <c r="C250" s="3"/>
      <c r="D250" s="3"/>
      <c r="E250" s="3"/>
      <c r="F250" s="61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 t="s">
        <v>109</v>
      </c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5"/>
    </row>
    <row r="251" spans="2:46" x14ac:dyDescent="0.2">
      <c r="B251" s="2"/>
      <c r="C251" s="3"/>
      <c r="D251" s="3"/>
      <c r="E251" s="3"/>
      <c r="F251" s="61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5"/>
    </row>
    <row r="252" spans="2:46" x14ac:dyDescent="0.2">
      <c r="B252" s="2"/>
      <c r="C252" s="3"/>
      <c r="D252" s="3"/>
      <c r="E252" s="3"/>
      <c r="F252" s="62" t="s">
        <v>106</v>
      </c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5"/>
    </row>
    <row r="253" spans="2:46" x14ac:dyDescent="0.2">
      <c r="B253" s="2"/>
      <c r="C253" s="3"/>
      <c r="D253" s="3"/>
      <c r="E253" s="3"/>
      <c r="F253" s="62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5"/>
    </row>
    <row r="254" spans="2:46" x14ac:dyDescent="0.2">
      <c r="B254" s="2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5"/>
    </row>
    <row r="255" spans="2:46" x14ac:dyDescent="0.2">
      <c r="B255" s="2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5"/>
    </row>
    <row r="256" spans="2:46" x14ac:dyDescent="0.2">
      <c r="B256" s="2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5"/>
    </row>
    <row r="257" spans="2:46" x14ac:dyDescent="0.2">
      <c r="B257" s="2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5"/>
    </row>
    <row r="258" spans="2:46" x14ac:dyDescent="0.2">
      <c r="B258" s="2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5"/>
    </row>
    <row r="259" spans="2:46" x14ac:dyDescent="0.2">
      <c r="B259" s="2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5"/>
    </row>
    <row r="260" spans="2:46" x14ac:dyDescent="0.2">
      <c r="B260" s="2"/>
      <c r="C260" s="3"/>
      <c r="D260" s="3"/>
      <c r="E260" s="3"/>
      <c r="F260" s="3"/>
      <c r="G260" s="3"/>
      <c r="H260" s="3"/>
      <c r="I260" s="3" t="s">
        <v>105</v>
      </c>
      <c r="J260" s="3"/>
      <c r="K260" s="3"/>
      <c r="L260" s="3"/>
      <c r="M260" s="3"/>
      <c r="N260" s="3"/>
      <c r="O260" s="50">
        <v>2.5</v>
      </c>
      <c r="P260" s="50"/>
      <c r="Q260" s="3" t="s">
        <v>0</v>
      </c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5"/>
    </row>
    <row r="261" spans="2:46" x14ac:dyDescent="0.2">
      <c r="B261" s="2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5"/>
    </row>
    <row r="262" spans="2:46" x14ac:dyDescent="0.2">
      <c r="B262" s="2"/>
      <c r="C262" s="3"/>
      <c r="D262" s="3"/>
      <c r="E262" s="3"/>
      <c r="F262" s="3"/>
      <c r="G262" s="3"/>
      <c r="H262" s="3" t="s">
        <v>35</v>
      </c>
      <c r="I262" s="3"/>
      <c r="J262" s="49">
        <f>+H239</f>
        <v>1.5</v>
      </c>
      <c r="K262" s="49"/>
      <c r="L262" s="3" t="s">
        <v>0</v>
      </c>
      <c r="M262" s="3"/>
      <c r="N262" s="3"/>
      <c r="O262" s="3"/>
      <c r="P262" s="3"/>
      <c r="Q262" s="3"/>
      <c r="R262" s="3"/>
      <c r="S262" s="3"/>
      <c r="T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5"/>
    </row>
    <row r="263" spans="2:46" x14ac:dyDescent="0.2">
      <c r="B263" s="2"/>
      <c r="C263" s="3"/>
      <c r="D263" s="3"/>
      <c r="E263" s="3"/>
      <c r="F263" s="3"/>
      <c r="G263" s="3"/>
      <c r="H263" s="3" t="s">
        <v>107</v>
      </c>
      <c r="I263" s="3"/>
      <c r="J263" s="3"/>
      <c r="K263" s="49">
        <f>+F249</f>
        <v>3</v>
      </c>
      <c r="L263" s="49"/>
      <c r="M263" s="3" t="s">
        <v>8</v>
      </c>
      <c r="N263" s="3">
        <v>2</v>
      </c>
      <c r="O263" s="3" t="s">
        <v>7</v>
      </c>
      <c r="P263" s="49">
        <f>+K263/N263</f>
        <v>1.5</v>
      </c>
      <c r="Q263" s="49"/>
      <c r="R263" s="3" t="s">
        <v>0</v>
      </c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5"/>
    </row>
    <row r="264" spans="2:46" x14ac:dyDescent="0.2">
      <c r="B264" s="2"/>
      <c r="C264" s="3"/>
      <c r="D264" s="3"/>
      <c r="E264" s="3"/>
      <c r="F264" s="3"/>
      <c r="G264" s="3"/>
      <c r="H264" s="49">
        <f>+J262</f>
        <v>1.5</v>
      </c>
      <c r="I264" s="49"/>
      <c r="J264" s="3" t="s">
        <v>0</v>
      </c>
      <c r="K264" s="27" t="str">
        <f>IF(H264&lt;=L264,"&lt;","&gt;")</f>
        <v>&lt;</v>
      </c>
      <c r="L264" s="49">
        <f>+P263</f>
        <v>1.5</v>
      </c>
      <c r="M264" s="49"/>
      <c r="N264" s="3" t="s">
        <v>0</v>
      </c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5"/>
    </row>
    <row r="265" spans="2:46" x14ac:dyDescent="0.2">
      <c r="B265" s="2"/>
      <c r="C265" s="3"/>
      <c r="D265" s="3"/>
      <c r="E265" s="3"/>
      <c r="F265" s="3"/>
      <c r="G265" s="3"/>
      <c r="H265" s="3" t="s">
        <v>115</v>
      </c>
      <c r="I265" s="3"/>
      <c r="J265" s="3"/>
      <c r="K265" s="3"/>
      <c r="L265" s="3"/>
      <c r="M265" s="3"/>
      <c r="S265" s="3">
        <v>3</v>
      </c>
      <c r="T265" s="27" t="s">
        <v>9</v>
      </c>
      <c r="U265" s="49">
        <f>+H239</f>
        <v>1.5</v>
      </c>
      <c r="V265" s="49"/>
      <c r="W265" s="27" t="s">
        <v>9</v>
      </c>
      <c r="X265" s="49">
        <f>IF(H264&gt;L264,F249,F249/2)</f>
        <v>1.5</v>
      </c>
      <c r="Y265" s="49"/>
      <c r="Z265" s="27" t="s">
        <v>9</v>
      </c>
      <c r="AA265" s="49">
        <f>+O260</f>
        <v>2.5</v>
      </c>
      <c r="AB265" s="49"/>
      <c r="AC265" s="27" t="s">
        <v>7</v>
      </c>
      <c r="AD265" s="57">
        <f>+S265*U265*X265*AA265</f>
        <v>16.875</v>
      </c>
      <c r="AE265" s="57"/>
      <c r="AF265" s="57"/>
      <c r="AG265" s="10" t="s">
        <v>13</v>
      </c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5"/>
    </row>
    <row r="266" spans="2:46" ht="12" thickBot="1" x14ac:dyDescent="0.25">
      <c r="B266" s="16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7"/>
      <c r="AS266" s="17"/>
      <c r="AT266" s="18"/>
    </row>
  </sheetData>
  <sheetProtection algorithmName="SHA-512" hashValue="UmW4kngD7rJX0dL5pJ56Zg8MZ0AtHDWvPEt2xtDZgFopx0J3P8wK2UXjMm51YPvnQT5k7UrotVyvnojMUY7f5g==" saltValue="DJrmFfmExIHwKn3clyW7aA==" spinCount="100000" sheet="1" objects="1" scenarios="1"/>
  <mergeCells count="306">
    <mergeCell ref="U64:V64"/>
    <mergeCell ref="X64:Y64"/>
    <mergeCell ref="AA64:AD64"/>
    <mergeCell ref="AA65:AD65"/>
    <mergeCell ref="V71:W71"/>
    <mergeCell ref="I156:J156"/>
    <mergeCell ref="L149:M149"/>
    <mergeCell ref="N149:U149"/>
    <mergeCell ref="H150:K150"/>
    <mergeCell ref="L150:M150"/>
    <mergeCell ref="N150:U150"/>
    <mergeCell ref="H147:K147"/>
    <mergeCell ref="L147:M147"/>
    <mergeCell ref="N147:U147"/>
    <mergeCell ref="H148:K148"/>
    <mergeCell ref="L148:M148"/>
    <mergeCell ref="N148:U148"/>
    <mergeCell ref="L156:M156"/>
    <mergeCell ref="I155:J155"/>
    <mergeCell ref="L155:M155"/>
    <mergeCell ref="V72:X72"/>
    <mergeCell ref="U133:V133"/>
    <mergeCell ref="W97:W99"/>
    <mergeCell ref="J55:K55"/>
    <mergeCell ref="P36:Q36"/>
    <mergeCell ref="D70:E70"/>
    <mergeCell ref="O70:P70"/>
    <mergeCell ref="AK49:AL49"/>
    <mergeCell ref="AG55:AH55"/>
    <mergeCell ref="AH53:AI53"/>
    <mergeCell ref="S57:T57"/>
    <mergeCell ref="V57:W57"/>
    <mergeCell ref="AA57:AB57"/>
    <mergeCell ref="AD53:AE53"/>
    <mergeCell ref="AA63:AD63"/>
    <mergeCell ref="AD57:AF57"/>
    <mergeCell ref="X63:Y63"/>
    <mergeCell ref="S60:U60"/>
    <mergeCell ref="U63:V63"/>
    <mergeCell ref="S59:T59"/>
    <mergeCell ref="V59:W59"/>
    <mergeCell ref="AA59:AB59"/>
    <mergeCell ref="AD59:AF59"/>
    <mergeCell ref="J64:K64"/>
    <mergeCell ref="M64:N64"/>
    <mergeCell ref="T58:V58"/>
    <mergeCell ref="Q58:R58"/>
    <mergeCell ref="P63:Q63"/>
    <mergeCell ref="H67:K67"/>
    <mergeCell ref="C14:C16"/>
    <mergeCell ref="AA27:AB27"/>
    <mergeCell ref="F40:F41"/>
    <mergeCell ref="D50:E51"/>
    <mergeCell ref="C47:C48"/>
    <mergeCell ref="C44:C46"/>
    <mergeCell ref="F50:F51"/>
    <mergeCell ref="E45:E47"/>
    <mergeCell ref="R30:U30"/>
    <mergeCell ref="D30:E30"/>
    <mergeCell ref="G30:H30"/>
    <mergeCell ref="L30:M30"/>
    <mergeCell ref="O30:P30"/>
    <mergeCell ref="D40:E41"/>
    <mergeCell ref="L50:M50"/>
    <mergeCell ref="M67:P67"/>
    <mergeCell ref="K58:L58"/>
    <mergeCell ref="N58:O58"/>
    <mergeCell ref="G60:I60"/>
    <mergeCell ref="K60:M60"/>
    <mergeCell ref="V4:W4"/>
    <mergeCell ref="V25:W25"/>
    <mergeCell ref="V9:W9"/>
    <mergeCell ref="V23:W23"/>
    <mergeCell ref="AB23:AC23"/>
    <mergeCell ref="AE23:AF23"/>
    <mergeCell ref="V6:W6"/>
    <mergeCell ref="AJ15:AK15"/>
    <mergeCell ref="AK13:AL13"/>
    <mergeCell ref="AK24:AQ27"/>
    <mergeCell ref="AM6:AS8"/>
    <mergeCell ref="AM10:AN11"/>
    <mergeCell ref="AO10:AO11"/>
    <mergeCell ref="AO20:AO21"/>
    <mergeCell ref="AM20:AN21"/>
    <mergeCell ref="AN15:AN17"/>
    <mergeCell ref="AP15:AP17"/>
    <mergeCell ref="P23:Q23"/>
    <mergeCell ref="H15:I15"/>
    <mergeCell ref="G13:H13"/>
    <mergeCell ref="D20:E21"/>
    <mergeCell ref="F20:F21"/>
    <mergeCell ref="D10:E11"/>
    <mergeCell ref="F10:F11"/>
    <mergeCell ref="AI6:AJ6"/>
    <mergeCell ref="AE6:AF6"/>
    <mergeCell ref="K57:L57"/>
    <mergeCell ref="N57:O57"/>
    <mergeCell ref="M53:N53"/>
    <mergeCell ref="H53:I53"/>
    <mergeCell ref="J63:K63"/>
    <mergeCell ref="M63:N63"/>
    <mergeCell ref="M6:N6"/>
    <mergeCell ref="I6:J6"/>
    <mergeCell ref="E15:E17"/>
    <mergeCell ref="M23:N23"/>
    <mergeCell ref="AJ33:AM33"/>
    <mergeCell ref="D33:E33"/>
    <mergeCell ref="G33:H33"/>
    <mergeCell ref="J33:K33"/>
    <mergeCell ref="M33:N33"/>
    <mergeCell ref="P33:Q33"/>
    <mergeCell ref="S33:T33"/>
    <mergeCell ref="S36:V36"/>
    <mergeCell ref="V33:W33"/>
    <mergeCell ref="Y33:Z33"/>
    <mergeCell ref="AB33:AC33"/>
    <mergeCell ref="AE33:AF33"/>
    <mergeCell ref="D36:E36"/>
    <mergeCell ref="G36:H36"/>
    <mergeCell ref="J36:K36"/>
    <mergeCell ref="M36:N36"/>
    <mergeCell ref="O60:Q60"/>
    <mergeCell ref="K59:L59"/>
    <mergeCell ref="N59:O59"/>
    <mergeCell ref="AF132:AG132"/>
    <mergeCell ref="Y81:Z81"/>
    <mergeCell ref="I73:J73"/>
    <mergeCell ref="O73:R73"/>
    <mergeCell ref="W95:W96"/>
    <mergeCell ref="U95:U96"/>
    <mergeCell ref="W91:W94"/>
    <mergeCell ref="U91:U94"/>
    <mergeCell ref="Q86:Q87"/>
    <mergeCell ref="Q82:Q85"/>
    <mergeCell ref="C122:AS124"/>
    <mergeCell ref="C74:F74"/>
    <mergeCell ref="J74:L74"/>
    <mergeCell ref="Q74:S74"/>
    <mergeCell ref="Q88:Q90"/>
    <mergeCell ref="U97:U99"/>
    <mergeCell ref="E72:F72"/>
    <mergeCell ref="C73:F73"/>
    <mergeCell ref="C67:F67"/>
    <mergeCell ref="R72:T72"/>
    <mergeCell ref="P64:Q64"/>
    <mergeCell ref="V126:W126"/>
    <mergeCell ref="AA126:AC126"/>
    <mergeCell ref="AF126:AG126"/>
    <mergeCell ref="C127:D127"/>
    <mergeCell ref="H127:I127"/>
    <mergeCell ref="L127:M127"/>
    <mergeCell ref="Q127:R127"/>
    <mergeCell ref="T127:U127"/>
    <mergeCell ref="Y127:Z127"/>
    <mergeCell ref="R126:S126"/>
    <mergeCell ref="W155:Y155"/>
    <mergeCell ref="F156:G156"/>
    <mergeCell ref="Y94:Z94"/>
    <mergeCell ref="U120:V120"/>
    <mergeCell ref="P101:Q101"/>
    <mergeCell ref="Y100:Z100"/>
    <mergeCell ref="W156:Y156"/>
    <mergeCell ref="Z146:AA146"/>
    <mergeCell ref="H145:K145"/>
    <mergeCell ref="L145:M145"/>
    <mergeCell ref="N145:U145"/>
    <mergeCell ref="G129:H129"/>
    <mergeCell ref="L129:M129"/>
    <mergeCell ref="R132:S132"/>
    <mergeCell ref="V132:W132"/>
    <mergeCell ref="AA132:AC132"/>
    <mergeCell ref="C143:G144"/>
    <mergeCell ref="H143:M144"/>
    <mergeCell ref="N143:U144"/>
    <mergeCell ref="C145:G145"/>
    <mergeCell ref="C146:G146"/>
    <mergeCell ref="H146:K146"/>
    <mergeCell ref="L146:M146"/>
    <mergeCell ref="N146:U146"/>
    <mergeCell ref="W186:X186"/>
    <mergeCell ref="Q186:R186"/>
    <mergeCell ref="AD172:AE172"/>
    <mergeCell ref="F157:G157"/>
    <mergeCell ref="I157:J157"/>
    <mergeCell ref="L157:M157"/>
    <mergeCell ref="W157:Y157"/>
    <mergeCell ref="I158:J158"/>
    <mergeCell ref="L158:M158"/>
    <mergeCell ref="W158:Y158"/>
    <mergeCell ref="E158:G158"/>
    <mergeCell ref="H176:H178"/>
    <mergeCell ref="W163:Y163"/>
    <mergeCell ref="W161:Y161"/>
    <mergeCell ref="S168:T168"/>
    <mergeCell ref="W162:Y162"/>
    <mergeCell ref="S197:U197"/>
    <mergeCell ref="M199:N199"/>
    <mergeCell ref="P199:Q199"/>
    <mergeCell ref="S199:T199"/>
    <mergeCell ref="V199:X199"/>
    <mergeCell ref="M191:N191"/>
    <mergeCell ref="P191:Q191"/>
    <mergeCell ref="F159:G159"/>
    <mergeCell ref="I159:J159"/>
    <mergeCell ref="L159:M159"/>
    <mergeCell ref="W159:Y159"/>
    <mergeCell ref="F160:G160"/>
    <mergeCell ref="I160:J160"/>
    <mergeCell ref="L160:M160"/>
    <mergeCell ref="W160:Y160"/>
    <mergeCell ref="I183:J183"/>
    <mergeCell ref="J176:J178"/>
    <mergeCell ref="H195:I195"/>
    <mergeCell ref="K195:L195"/>
    <mergeCell ref="P195:Q195"/>
    <mergeCell ref="S195:U195"/>
    <mergeCell ref="M196:N196"/>
    <mergeCell ref="P196:Q196"/>
    <mergeCell ref="S196:U196"/>
    <mergeCell ref="H200:I200"/>
    <mergeCell ref="K200:L200"/>
    <mergeCell ref="P200:Q200"/>
    <mergeCell ref="S200:T200"/>
    <mergeCell ref="V200:X200"/>
    <mergeCell ref="F225:G225"/>
    <mergeCell ref="L229:M229"/>
    <mergeCell ref="AC231:AD231"/>
    <mergeCell ref="AF231:AG231"/>
    <mergeCell ref="AC204:AD204"/>
    <mergeCell ref="AF204:AH204"/>
    <mergeCell ref="V201:X201"/>
    <mergeCell ref="U204:V204"/>
    <mergeCell ref="X204:Y204"/>
    <mergeCell ref="AK231:AL231"/>
    <mergeCell ref="AN231:AP231"/>
    <mergeCell ref="AC217:AD217"/>
    <mergeCell ref="U205:V205"/>
    <mergeCell ref="X205:Y205"/>
    <mergeCell ref="AC205:AD205"/>
    <mergeCell ref="AF205:AH205"/>
    <mergeCell ref="P206:Q206"/>
    <mergeCell ref="S206:T206"/>
    <mergeCell ref="X206:Y206"/>
    <mergeCell ref="AA206:AB206"/>
    <mergeCell ref="AF206:AH206"/>
    <mergeCell ref="B2:AT2"/>
    <mergeCell ref="B77:AT77"/>
    <mergeCell ref="B139:AT139"/>
    <mergeCell ref="B166:AT166"/>
    <mergeCell ref="B236:AT236"/>
    <mergeCell ref="B210:AT210"/>
    <mergeCell ref="F249:F251"/>
    <mergeCell ref="O260:P260"/>
    <mergeCell ref="H239:I239"/>
    <mergeCell ref="F252:F253"/>
    <mergeCell ref="R232:S232"/>
    <mergeCell ref="U232:V232"/>
    <mergeCell ref="Z232:AA232"/>
    <mergeCell ref="AC232:AD232"/>
    <mergeCell ref="AF232:AG232"/>
    <mergeCell ref="AK232:AL232"/>
    <mergeCell ref="AN232:AP232"/>
    <mergeCell ref="AN233:AP233"/>
    <mergeCell ref="AG224:AO227"/>
    <mergeCell ref="AF207:AH207"/>
    <mergeCell ref="AB222:AC222"/>
    <mergeCell ref="W227:X227"/>
    <mergeCell ref="I227:J227"/>
    <mergeCell ref="M227:N227"/>
    <mergeCell ref="U265:V265"/>
    <mergeCell ref="X265:Y265"/>
    <mergeCell ref="AA265:AB265"/>
    <mergeCell ref="AD265:AF265"/>
    <mergeCell ref="J262:K262"/>
    <mergeCell ref="K263:L263"/>
    <mergeCell ref="P263:Q263"/>
    <mergeCell ref="H264:I264"/>
    <mergeCell ref="L264:M264"/>
    <mergeCell ref="M192:N192"/>
    <mergeCell ref="P192:Q192"/>
    <mergeCell ref="S191:U191"/>
    <mergeCell ref="S192:U192"/>
    <mergeCell ref="M193:N193"/>
    <mergeCell ref="P193:Q193"/>
    <mergeCell ref="S193:U193"/>
    <mergeCell ref="M194:N194"/>
    <mergeCell ref="P194:Q194"/>
    <mergeCell ref="S194:U194"/>
    <mergeCell ref="R188:S188"/>
    <mergeCell ref="N186:O186"/>
    <mergeCell ref="S186:T186"/>
    <mergeCell ref="H72:I72"/>
    <mergeCell ref="K72:M72"/>
    <mergeCell ref="O72:P72"/>
    <mergeCell ref="C149:G149"/>
    <mergeCell ref="C150:G150"/>
    <mergeCell ref="H149:K149"/>
    <mergeCell ref="F155:G155"/>
    <mergeCell ref="C147:G147"/>
    <mergeCell ref="C148:G148"/>
    <mergeCell ref="C136:D136"/>
    <mergeCell ref="H136:J136"/>
    <mergeCell ref="I128:J128"/>
    <mergeCell ref="L128:M128"/>
    <mergeCell ref="O128:P128"/>
    <mergeCell ref="P133:Q133"/>
  </mergeCells>
  <printOptions horizontalCentered="1"/>
  <pageMargins left="0.11811023622047245" right="0.11811023622047245" top="0.15748031496062992" bottom="0.15748031496062992" header="0" footer="0"/>
  <pageSetup paperSize="9" scale="97" fitToHeight="2" orientation="portrait" r:id="rId1"/>
  <ignoredErrors>
    <ignoredError sqref="W158 L159:T15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Gurcan Berberoglu</dc:creator>
  <cp:lastModifiedBy>Gurcan Berberoglu</cp:lastModifiedBy>
  <cp:lastPrinted>2021-06-17T16:03:25Z</cp:lastPrinted>
  <dcterms:created xsi:type="dcterms:W3CDTF">2021-06-16T20:28:40Z</dcterms:created>
  <dcterms:modified xsi:type="dcterms:W3CDTF">2021-06-21T14:21:56Z</dcterms:modified>
</cp:coreProperties>
</file>